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steady-state/H1299_volume/"/>
    </mc:Choice>
  </mc:AlternateContent>
  <xr:revisionPtr revIDLastSave="0" documentId="13_ncr:1_{5FA97230-2796-DC4C-9075-4BAAD64D741C}" xr6:coauthVersionLast="45" xr6:coauthVersionMax="45" xr10:uidLastSave="{00000000-0000-0000-0000-000000000000}"/>
  <bookViews>
    <workbookView xWindow="220" yWindow="940" windowWidth="14040" windowHeight="16480" activeTab="1" xr2:uid="{00000000-000D-0000-FFFF-FFFF00000000}"/>
  </bookViews>
  <sheets>
    <sheet name="CC_diameter" sheetId="3" r:id="rId1"/>
    <sheet name="CC_volume" sheetId="1" r:id="rId2"/>
    <sheet name="conversion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" i="1" l="1"/>
  <c r="N89" i="1"/>
  <c r="P89" i="1" s="1"/>
  <c r="P88" i="1"/>
  <c r="O88" i="1"/>
  <c r="N88" i="1"/>
  <c r="O87" i="1"/>
  <c r="N87" i="1"/>
  <c r="P87" i="1" s="1"/>
  <c r="O82" i="1"/>
  <c r="N82" i="1"/>
  <c r="P82" i="1" s="1"/>
  <c r="P81" i="1"/>
  <c r="O81" i="1"/>
  <c r="N81" i="1"/>
  <c r="O80" i="1"/>
  <c r="P80" i="1" s="1"/>
  <c r="N80" i="1"/>
  <c r="O75" i="1"/>
  <c r="N75" i="1"/>
  <c r="P75" i="1" s="1"/>
  <c r="O74" i="1"/>
  <c r="N74" i="1"/>
  <c r="P74" i="1" s="1"/>
  <c r="P73" i="1"/>
  <c r="O73" i="1"/>
  <c r="N73" i="1"/>
  <c r="O68" i="1"/>
  <c r="P68" i="1" s="1"/>
  <c r="N68" i="1"/>
  <c r="O67" i="1"/>
  <c r="N67" i="1"/>
  <c r="P67" i="1" s="1"/>
  <c r="O66" i="1"/>
  <c r="N66" i="1"/>
  <c r="P66" i="1" s="1"/>
  <c r="P61" i="1"/>
  <c r="O61" i="1"/>
  <c r="N61" i="1"/>
  <c r="O60" i="1"/>
  <c r="P60" i="1" s="1"/>
  <c r="N60" i="1"/>
  <c r="O59" i="1"/>
  <c r="N59" i="1"/>
  <c r="P59" i="1" s="1"/>
  <c r="O54" i="1"/>
  <c r="N54" i="1"/>
  <c r="P54" i="1" s="1"/>
  <c r="P53" i="1"/>
  <c r="O53" i="1"/>
  <c r="N53" i="1"/>
  <c r="O52" i="1"/>
  <c r="P52" i="1" s="1"/>
  <c r="N52" i="1"/>
  <c r="O47" i="1"/>
  <c r="N47" i="1"/>
  <c r="P47" i="1" s="1"/>
  <c r="O46" i="1"/>
  <c r="N46" i="1"/>
  <c r="P46" i="1" s="1"/>
  <c r="P45" i="1"/>
  <c r="O45" i="1"/>
  <c r="N45" i="1"/>
  <c r="O40" i="1"/>
  <c r="P40" i="1" s="1"/>
  <c r="N40" i="1"/>
  <c r="O39" i="1"/>
  <c r="N39" i="1"/>
  <c r="P39" i="1" s="1"/>
  <c r="O38" i="1"/>
  <c r="N38" i="1"/>
  <c r="P38" i="1" s="1"/>
  <c r="P33" i="1"/>
  <c r="O33" i="1"/>
  <c r="N33" i="1"/>
  <c r="O32" i="1"/>
  <c r="P32" i="1" s="1"/>
  <c r="N32" i="1"/>
  <c r="O31" i="1"/>
  <c r="N31" i="1"/>
  <c r="P31" i="1" s="1"/>
  <c r="O26" i="1"/>
  <c r="N26" i="1"/>
  <c r="P26" i="1" s="1"/>
  <c r="P25" i="1"/>
  <c r="O25" i="1"/>
  <c r="N25" i="1"/>
  <c r="O24" i="1"/>
  <c r="P24" i="1" s="1"/>
  <c r="N24" i="1"/>
  <c r="O19" i="1"/>
  <c r="N19" i="1"/>
  <c r="P19" i="1" s="1"/>
  <c r="O18" i="1"/>
  <c r="N18" i="1"/>
  <c r="P18" i="1" s="1"/>
  <c r="P17" i="1"/>
  <c r="O17" i="1"/>
  <c r="N17" i="1"/>
  <c r="O12" i="1"/>
  <c r="P12" i="1" s="1"/>
  <c r="N12" i="1"/>
  <c r="O11" i="1"/>
  <c r="N11" i="1"/>
  <c r="P11" i="1" s="1"/>
  <c r="O10" i="1"/>
  <c r="N10" i="1"/>
  <c r="P10" i="1" s="1"/>
  <c r="I24" i="2" l="1"/>
  <c r="I103" i="1"/>
  <c r="I114" i="1"/>
  <c r="I113" i="1"/>
  <c r="I112" i="1"/>
  <c r="I111" i="1"/>
  <c r="I110" i="1"/>
  <c r="I109" i="1"/>
  <c r="I108" i="1"/>
  <c r="I107" i="1"/>
  <c r="I106" i="1"/>
  <c r="I105" i="1"/>
  <c r="I104" i="1"/>
  <c r="K92" i="1"/>
  <c r="L92" i="1" s="1"/>
  <c r="M92" i="1" s="1"/>
  <c r="K85" i="1"/>
  <c r="L85" i="1" s="1"/>
  <c r="M85" i="1" s="1"/>
  <c r="L78" i="1"/>
  <c r="M78" i="1" s="1"/>
  <c r="K78" i="1"/>
  <c r="K71" i="1"/>
  <c r="L71" i="1" s="1"/>
  <c r="M71" i="1" s="1"/>
  <c r="K64" i="1"/>
  <c r="L64" i="1" s="1"/>
  <c r="M64" i="1" s="1"/>
  <c r="K57" i="1"/>
  <c r="L57" i="1" s="1"/>
  <c r="M57" i="1" s="1"/>
  <c r="K50" i="1"/>
  <c r="L50" i="1" s="1"/>
  <c r="M50" i="1" s="1"/>
  <c r="K43" i="1"/>
  <c r="L43" i="1" s="1"/>
  <c r="M43" i="1" s="1"/>
  <c r="L36" i="1"/>
  <c r="M36" i="1" s="1"/>
  <c r="K36" i="1"/>
  <c r="K29" i="1"/>
  <c r="L29" i="1" s="1"/>
  <c r="M29" i="1" s="1"/>
  <c r="K22" i="1"/>
  <c r="L22" i="1" s="1"/>
  <c r="M22" i="1" s="1"/>
  <c r="L15" i="1"/>
  <c r="K15" i="1"/>
  <c r="M15" i="1"/>
  <c r="F6" i="2" l="1"/>
  <c r="I25" i="2" s="1"/>
  <c r="F7" i="2"/>
  <c r="I26" i="2" s="1"/>
  <c r="F8" i="2"/>
  <c r="I27" i="2" s="1"/>
  <c r="F9" i="2"/>
  <c r="I28" i="2" s="1"/>
  <c r="F10" i="2"/>
  <c r="I29" i="2" s="1"/>
  <c r="F11" i="2"/>
  <c r="I30" i="2" s="1"/>
  <c r="F12" i="2"/>
  <c r="I31" i="2" s="1"/>
  <c r="F13" i="2"/>
  <c r="I32" i="2" s="1"/>
  <c r="F14" i="2"/>
  <c r="I33" i="2" s="1"/>
  <c r="F15" i="2"/>
  <c r="I34" i="2" s="1"/>
  <c r="F16" i="2"/>
  <c r="I35" i="2" s="1"/>
  <c r="F5" i="2"/>
  <c r="I109" i="3"/>
  <c r="I104" i="3"/>
  <c r="I103" i="3"/>
  <c r="I114" i="3"/>
  <c r="I113" i="3"/>
  <c r="I112" i="3"/>
  <c r="I111" i="3"/>
  <c r="I110" i="3"/>
  <c r="I108" i="3"/>
  <c r="I107" i="3"/>
  <c r="I106" i="3"/>
  <c r="I105" i="3"/>
  <c r="H103" i="1"/>
  <c r="H103" i="3"/>
  <c r="E92" i="3"/>
  <c r="D92" i="3"/>
  <c r="F92" i="3" s="1"/>
  <c r="H114" i="3" s="1"/>
  <c r="M90" i="3"/>
  <c r="L90" i="3"/>
  <c r="C92" i="3" s="1"/>
  <c r="K90" i="3"/>
  <c r="H92" i="3" s="1"/>
  <c r="I92" i="3" s="1"/>
  <c r="K92" i="3" s="1"/>
  <c r="J90" i="3"/>
  <c r="O89" i="3"/>
  <c r="O88" i="3"/>
  <c r="N88" i="3"/>
  <c r="P88" i="3" s="1"/>
  <c r="O87" i="3"/>
  <c r="E85" i="3"/>
  <c r="C85" i="3"/>
  <c r="M83" i="3"/>
  <c r="L83" i="3"/>
  <c r="K83" i="3"/>
  <c r="B85" i="3" s="1"/>
  <c r="J83" i="3"/>
  <c r="O82" i="3"/>
  <c r="N82" i="3"/>
  <c r="P82" i="3" s="1"/>
  <c r="O81" i="3"/>
  <c r="O80" i="3"/>
  <c r="E78" i="3"/>
  <c r="M76" i="3"/>
  <c r="L76" i="3"/>
  <c r="K76" i="3"/>
  <c r="H78" i="3" s="1"/>
  <c r="I78" i="3" s="1"/>
  <c r="K78" i="3" s="1"/>
  <c r="L78" i="3" s="1"/>
  <c r="J76" i="3"/>
  <c r="D78" i="3" s="1"/>
  <c r="F78" i="3" s="1"/>
  <c r="H113" i="3" s="1"/>
  <c r="O75" i="3"/>
  <c r="O74" i="3"/>
  <c r="O73" i="3"/>
  <c r="N73" i="3"/>
  <c r="P73" i="3" s="1"/>
  <c r="E71" i="3"/>
  <c r="D71" i="3"/>
  <c r="F71" i="3" s="1"/>
  <c r="H107" i="3" s="1"/>
  <c r="M69" i="3"/>
  <c r="L69" i="3"/>
  <c r="C71" i="3" s="1"/>
  <c r="K69" i="3"/>
  <c r="H71" i="3" s="1"/>
  <c r="I71" i="3" s="1"/>
  <c r="K71" i="3" s="1"/>
  <c r="J69" i="3"/>
  <c r="O68" i="3"/>
  <c r="O67" i="3"/>
  <c r="N67" i="3"/>
  <c r="P67" i="3" s="1"/>
  <c r="O66" i="3"/>
  <c r="E64" i="3"/>
  <c r="B64" i="3"/>
  <c r="M62" i="3"/>
  <c r="L62" i="3"/>
  <c r="K62" i="3"/>
  <c r="H64" i="3" s="1"/>
  <c r="I64" i="3" s="1"/>
  <c r="K64" i="3" s="1"/>
  <c r="L64" i="3" s="1"/>
  <c r="J62" i="3"/>
  <c r="D64" i="3" s="1"/>
  <c r="F64" i="3" s="1"/>
  <c r="H112" i="3" s="1"/>
  <c r="O61" i="3"/>
  <c r="O60" i="3"/>
  <c r="O59" i="3"/>
  <c r="E57" i="3"/>
  <c r="D57" i="3"/>
  <c r="F57" i="3" s="1"/>
  <c r="H106" i="3" s="1"/>
  <c r="M55" i="3"/>
  <c r="L55" i="3"/>
  <c r="C57" i="3" s="1"/>
  <c r="K55" i="3"/>
  <c r="H57" i="3" s="1"/>
  <c r="I57" i="3" s="1"/>
  <c r="K57" i="3" s="1"/>
  <c r="L57" i="3" s="1"/>
  <c r="J55" i="3"/>
  <c r="O54" i="3"/>
  <c r="O53" i="3"/>
  <c r="N53" i="3"/>
  <c r="P53" i="3" s="1"/>
  <c r="O52" i="3"/>
  <c r="E50" i="3"/>
  <c r="B50" i="3"/>
  <c r="M48" i="3"/>
  <c r="L48" i="3"/>
  <c r="K48" i="3"/>
  <c r="H50" i="3" s="1"/>
  <c r="I50" i="3" s="1"/>
  <c r="K50" i="3" s="1"/>
  <c r="L50" i="3" s="1"/>
  <c r="J48" i="3"/>
  <c r="D50" i="3" s="1"/>
  <c r="F50" i="3" s="1"/>
  <c r="H111" i="3" s="1"/>
  <c r="O47" i="3"/>
  <c r="O46" i="3"/>
  <c r="O45" i="3"/>
  <c r="E43" i="3"/>
  <c r="D43" i="3"/>
  <c r="F43" i="3" s="1"/>
  <c r="H105" i="3" s="1"/>
  <c r="M41" i="3"/>
  <c r="L41" i="3"/>
  <c r="C43" i="3" s="1"/>
  <c r="K41" i="3"/>
  <c r="H43" i="3" s="1"/>
  <c r="I43" i="3" s="1"/>
  <c r="K43" i="3" s="1"/>
  <c r="L43" i="3" s="1"/>
  <c r="J41" i="3"/>
  <c r="O40" i="3"/>
  <c r="O39" i="3"/>
  <c r="N39" i="3"/>
  <c r="P39" i="3" s="1"/>
  <c r="O38" i="3"/>
  <c r="E36" i="3"/>
  <c r="B36" i="3"/>
  <c r="M34" i="3"/>
  <c r="L34" i="3"/>
  <c r="K34" i="3"/>
  <c r="H36" i="3" s="1"/>
  <c r="I36" i="3" s="1"/>
  <c r="K36" i="3" s="1"/>
  <c r="L36" i="3" s="1"/>
  <c r="J34" i="3"/>
  <c r="D36" i="3" s="1"/>
  <c r="F36" i="3" s="1"/>
  <c r="H110" i="3" s="1"/>
  <c r="O33" i="3"/>
  <c r="O32" i="3"/>
  <c r="O31" i="3"/>
  <c r="E29" i="3"/>
  <c r="D29" i="3"/>
  <c r="F29" i="3" s="1"/>
  <c r="H104" i="3" s="1"/>
  <c r="M27" i="3"/>
  <c r="L27" i="3"/>
  <c r="C29" i="3" s="1"/>
  <c r="K27" i="3"/>
  <c r="H29" i="3" s="1"/>
  <c r="I29" i="3" s="1"/>
  <c r="K29" i="3" s="1"/>
  <c r="L29" i="3" s="1"/>
  <c r="J27" i="3"/>
  <c r="O26" i="3"/>
  <c r="O25" i="3"/>
  <c r="N25" i="3"/>
  <c r="P25" i="3" s="1"/>
  <c r="O24" i="3"/>
  <c r="E22" i="3"/>
  <c r="C22" i="3"/>
  <c r="B22" i="3"/>
  <c r="M20" i="3"/>
  <c r="L20" i="3"/>
  <c r="K20" i="3"/>
  <c r="H22" i="3" s="1"/>
  <c r="I22" i="3" s="1"/>
  <c r="K22" i="3" s="1"/>
  <c r="L22" i="3" s="1"/>
  <c r="J20" i="3"/>
  <c r="D22" i="3" s="1"/>
  <c r="F22" i="3" s="1"/>
  <c r="H109" i="3" s="1"/>
  <c r="O19" i="3"/>
  <c r="O18" i="3"/>
  <c r="O17" i="3"/>
  <c r="E15" i="3"/>
  <c r="D15" i="3"/>
  <c r="F15" i="3" s="1"/>
  <c r="M13" i="3"/>
  <c r="L13" i="3"/>
  <c r="C15" i="3" s="1"/>
  <c r="K13" i="3"/>
  <c r="H15" i="3" s="1"/>
  <c r="I15" i="3" s="1"/>
  <c r="K15" i="3" s="1"/>
  <c r="L15" i="3" s="1"/>
  <c r="J13" i="3"/>
  <c r="O12" i="3"/>
  <c r="O11" i="3"/>
  <c r="N11" i="3"/>
  <c r="P11" i="3" s="1"/>
  <c r="O10" i="3"/>
  <c r="M8" i="3"/>
  <c r="L8" i="3"/>
  <c r="C78" i="3" s="1"/>
  <c r="K8" i="3"/>
  <c r="B71" i="3" s="1"/>
  <c r="J8" i="3"/>
  <c r="N89" i="3" s="1"/>
  <c r="P89" i="3" s="1"/>
  <c r="M71" i="3" l="1"/>
  <c r="L71" i="3"/>
  <c r="M92" i="3"/>
  <c r="L92" i="3"/>
  <c r="H85" i="3"/>
  <c r="I85" i="3" s="1"/>
  <c r="K85" i="3" s="1"/>
  <c r="N10" i="3"/>
  <c r="P10" i="3" s="1"/>
  <c r="N19" i="3"/>
  <c r="P19" i="3" s="1"/>
  <c r="N33" i="3"/>
  <c r="P33" i="3" s="1"/>
  <c r="C36" i="3"/>
  <c r="N38" i="3"/>
  <c r="P38" i="3" s="1"/>
  <c r="N47" i="3"/>
  <c r="P47" i="3" s="1"/>
  <c r="C50" i="3"/>
  <c r="N52" i="3"/>
  <c r="P52" i="3" s="1"/>
  <c r="N61" i="3"/>
  <c r="P61" i="3" s="1"/>
  <c r="C64" i="3"/>
  <c r="N66" i="3"/>
  <c r="P66" i="3" s="1"/>
  <c r="B78" i="3"/>
  <c r="N81" i="3"/>
  <c r="P81" i="3" s="1"/>
  <c r="D85" i="3"/>
  <c r="F85" i="3" s="1"/>
  <c r="H108" i="3" s="1"/>
  <c r="N87" i="3"/>
  <c r="P87" i="3" s="1"/>
  <c r="B15" i="3"/>
  <c r="N18" i="3"/>
  <c r="P18" i="3" s="1"/>
  <c r="B29" i="3"/>
  <c r="N32" i="3"/>
  <c r="P32" i="3" s="1"/>
  <c r="B43" i="3"/>
  <c r="N46" i="3"/>
  <c r="P46" i="3" s="1"/>
  <c r="B57" i="3"/>
  <c r="N60" i="3"/>
  <c r="P60" i="3" s="1"/>
  <c r="N75" i="3"/>
  <c r="P75" i="3" s="1"/>
  <c r="N80" i="3"/>
  <c r="P80" i="3" s="1"/>
  <c r="B92" i="3"/>
  <c r="N24" i="3"/>
  <c r="P24" i="3" s="1"/>
  <c r="N12" i="3"/>
  <c r="P12" i="3" s="1"/>
  <c r="N17" i="3"/>
  <c r="P17" i="3" s="1"/>
  <c r="N26" i="3"/>
  <c r="P26" i="3" s="1"/>
  <c r="N31" i="3"/>
  <c r="P31" i="3" s="1"/>
  <c r="N40" i="3"/>
  <c r="P40" i="3" s="1"/>
  <c r="N45" i="3"/>
  <c r="P45" i="3" s="1"/>
  <c r="N54" i="3"/>
  <c r="P54" i="3" s="1"/>
  <c r="N59" i="3"/>
  <c r="P59" i="3" s="1"/>
  <c r="N68" i="3"/>
  <c r="P68" i="3" s="1"/>
  <c r="N74" i="3"/>
  <c r="P74" i="3" s="1"/>
  <c r="L85" i="3" l="1"/>
  <c r="M85" i="3"/>
  <c r="H92" i="1" l="1"/>
  <c r="K90" i="1"/>
  <c r="H78" i="1"/>
  <c r="H71" i="1"/>
  <c r="H64" i="1"/>
  <c r="H57" i="1"/>
  <c r="H50" i="1"/>
  <c r="H43" i="1"/>
  <c r="H36" i="1"/>
  <c r="H29" i="1"/>
  <c r="H22" i="1"/>
  <c r="H15" i="1"/>
  <c r="K13" i="1"/>
  <c r="J13" i="1"/>
  <c r="K8" i="1"/>
  <c r="J8" i="1"/>
  <c r="E85" i="1" l="1"/>
  <c r="E71" i="1"/>
  <c r="E92" i="1"/>
  <c r="E78" i="1"/>
  <c r="E57" i="1"/>
  <c r="M90" i="1"/>
  <c r="L90" i="1"/>
  <c r="J90" i="1"/>
  <c r="M83" i="1"/>
  <c r="L83" i="1"/>
  <c r="K83" i="1"/>
  <c r="H85" i="1" s="1"/>
  <c r="J83" i="1"/>
  <c r="M76" i="1"/>
  <c r="L76" i="1"/>
  <c r="K76" i="1"/>
  <c r="J76" i="1"/>
  <c r="M69" i="1"/>
  <c r="L69" i="1"/>
  <c r="K69" i="1"/>
  <c r="I71" i="1" s="1"/>
  <c r="J69" i="1"/>
  <c r="E64" i="1"/>
  <c r="E50" i="1"/>
  <c r="M62" i="1"/>
  <c r="L62" i="1"/>
  <c r="K62" i="1"/>
  <c r="J62" i="1"/>
  <c r="M55" i="1"/>
  <c r="L55" i="1"/>
  <c r="K55" i="1"/>
  <c r="J55" i="1"/>
  <c r="E43" i="1"/>
  <c r="J41" i="1"/>
  <c r="M48" i="1"/>
  <c r="L48" i="1"/>
  <c r="K48" i="1"/>
  <c r="J48" i="1"/>
  <c r="M41" i="1"/>
  <c r="L41" i="1"/>
  <c r="K41" i="1"/>
  <c r="E36" i="1"/>
  <c r="E29" i="1"/>
  <c r="J34" i="1"/>
  <c r="M34" i="1"/>
  <c r="L34" i="1"/>
  <c r="K34" i="1"/>
  <c r="J27" i="1"/>
  <c r="M27" i="1"/>
  <c r="L27" i="1"/>
  <c r="K27" i="1"/>
  <c r="E22" i="1"/>
  <c r="M20" i="1"/>
  <c r="L20" i="1"/>
  <c r="K20" i="1"/>
  <c r="J20" i="1"/>
  <c r="E15" i="1"/>
  <c r="L13" i="1"/>
  <c r="M13" i="1"/>
  <c r="M8" i="1"/>
  <c r="L8" i="1"/>
  <c r="C71" i="1" s="1"/>
  <c r="D92" i="1" l="1"/>
  <c r="F92" i="1" s="1"/>
  <c r="H114" i="1" s="1"/>
  <c r="C78" i="1"/>
  <c r="C85" i="1"/>
  <c r="C92" i="1"/>
  <c r="B78" i="1"/>
  <c r="D85" i="1"/>
  <c r="F85" i="1" s="1"/>
  <c r="H108" i="1" s="1"/>
  <c r="B85" i="1"/>
  <c r="B92" i="1"/>
  <c r="D78" i="1"/>
  <c r="F78" i="1" s="1"/>
  <c r="H113" i="1" s="1"/>
  <c r="I92" i="1"/>
  <c r="I85" i="1"/>
  <c r="I78" i="1"/>
  <c r="D57" i="1"/>
  <c r="F57" i="1" s="1"/>
  <c r="H106" i="1" s="1"/>
  <c r="C64" i="1"/>
  <c r="D71" i="1"/>
  <c r="F71" i="1" s="1"/>
  <c r="H107" i="1" s="1"/>
  <c r="B71" i="1"/>
  <c r="B57" i="1"/>
  <c r="B64" i="1"/>
  <c r="D64" i="1"/>
  <c r="F64" i="1" s="1"/>
  <c r="H112" i="1" s="1"/>
  <c r="I64" i="1"/>
  <c r="C57" i="1"/>
  <c r="I50" i="1"/>
  <c r="I57" i="1"/>
  <c r="B43" i="1"/>
  <c r="C50" i="1"/>
  <c r="C36" i="1"/>
  <c r="D50" i="1"/>
  <c r="F50" i="1" s="1"/>
  <c r="H111" i="1" s="1"/>
  <c r="B50" i="1"/>
  <c r="C43" i="1"/>
  <c r="D43" i="1"/>
  <c r="F43" i="1" s="1"/>
  <c r="H105" i="1" s="1"/>
  <c r="I43" i="1"/>
  <c r="I36" i="1"/>
  <c r="B36" i="1"/>
  <c r="D36" i="1"/>
  <c r="F36" i="1" s="1"/>
  <c r="H110" i="1" s="1"/>
  <c r="C29" i="1"/>
  <c r="B29" i="1"/>
  <c r="D29" i="1"/>
  <c r="F29" i="1" s="1"/>
  <c r="H104" i="1" s="1"/>
  <c r="I29" i="1"/>
  <c r="C22" i="1"/>
  <c r="B22" i="1"/>
  <c r="B15" i="1"/>
  <c r="D22" i="1"/>
  <c r="F22" i="1" s="1"/>
  <c r="H109" i="1" s="1"/>
  <c r="C15" i="1"/>
  <c r="I22" i="1"/>
  <c r="D15" i="1"/>
  <c r="F15" i="1" s="1"/>
  <c r="I15" i="1"/>
</calcChain>
</file>

<file path=xl/sharedStrings.xml><?xml version="1.0" encoding="utf-8"?>
<sst xmlns="http://schemas.openxmlformats.org/spreadsheetml/2006/main" count="866" uniqueCount="134">
  <si>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</si>
  <si>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</si>
  <si>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</si>
  <si>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</si>
  <si>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</si>
  <si>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</si>
  <si>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</si>
  <si>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</si>
  <si>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</si>
  <si>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</si>
  <si>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</si>
  <si>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</si>
  <si>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</si>
  <si>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t0_1</t>
  </si>
  <si>
    <t>t0_2</t>
  </si>
  <si>
    <t>t0_3</t>
  </si>
  <si>
    <t>t0_4</t>
  </si>
  <si>
    <t>t0_5</t>
  </si>
  <si>
    <t>t0_6</t>
  </si>
  <si>
    <t>0mM-met_no-sal_1</t>
  </si>
  <si>
    <t>0mM-met_no-sal_2</t>
  </si>
  <si>
    <t>0mM-met_no-sal_3</t>
  </si>
  <si>
    <t>0mM-met_sal-mix_1</t>
  </si>
  <si>
    <t>0mM-met_sal-mix_2</t>
  </si>
  <si>
    <t>0mM-met_sal-mix_3</t>
  </si>
  <si>
    <t>15mM-met_no-sal_1</t>
  </si>
  <si>
    <t>15mM-met_no-sal_2</t>
  </si>
  <si>
    <t>15mM-met_no-sal_3</t>
  </si>
  <si>
    <t>15mM-met_sal-mix_1</t>
  </si>
  <si>
    <t>15mM-met_sal-mix_2</t>
  </si>
  <si>
    <t>15mM-met_sal-mix_3</t>
  </si>
  <si>
    <t>1mM-met_no-sal_1</t>
  </si>
  <si>
    <t>1mM-met_no-sal_2</t>
  </si>
  <si>
    <t>1mM-met_no-sal_3</t>
  </si>
  <si>
    <t>1mM-met_sal-mix_1</t>
  </si>
  <si>
    <t>1mM-met_sal-mix_2</t>
  </si>
  <si>
    <t>1mM-met_sal-mix_3</t>
  </si>
  <si>
    <t>2mM-met_no-sal_1</t>
  </si>
  <si>
    <t>2mM-met_no-sal_2</t>
  </si>
  <si>
    <t>2mM-met_no-sal_3</t>
  </si>
  <si>
    <t>2mM-met_sal-mix_1</t>
  </si>
  <si>
    <t>2mM-met_sal-mix_2</t>
  </si>
  <si>
    <t>2mM-met_sal-mix_3</t>
  </si>
  <si>
    <t>4mM-met_no-sal_1</t>
  </si>
  <si>
    <t>4mM-met_no-sal_2</t>
  </si>
  <si>
    <t>4mM-met_no-sal_3</t>
  </si>
  <si>
    <t>4mM-met_sal-mix_1</t>
  </si>
  <si>
    <t>4mM-met_sal-mix_2</t>
  </si>
  <si>
    <t>4mM-met_sal-mix_3</t>
  </si>
  <si>
    <t>8mM-met_no-sal_1</t>
  </si>
  <si>
    <t>8mM-met_no-sal_2</t>
  </si>
  <si>
    <t>8mM-met_no-sal_3</t>
  </si>
  <si>
    <t>8mM-met_sal-mix_1</t>
  </si>
  <si>
    <t>8mM-met_sal-mix_2</t>
  </si>
  <si>
    <t>8mM-met_sal-mix_3</t>
  </si>
  <si>
    <t>H1299-Nuc-RFP_Asp-levels-post-salvage</t>
  </si>
  <si>
    <t xml:space="preserve">H1299-Nuc-RFP_Asp-levels_post-salvage_harvest </t>
  </si>
  <si>
    <t>H1299-Nuc-RFP_Asp-levels_post-salvage_harvest</t>
  </si>
  <si>
    <t>H1299-Nuc-RFP_Asp-levels-post-salvage_t0_1_22 Dec 2020_01.#m4</t>
  </si>
  <si>
    <t>H1299-Nuc-RFP_Asp-levels-post-salvage_t0_2_22 Dec 2020_01.#m4</t>
  </si>
  <si>
    <t>H1299-Nuc-RFP_Asp-levels-post-salvage_t0_3_22 Dec 2020_01.#m4</t>
  </si>
  <si>
    <t>H1299-Nuc-RFP_Asp-levels-post-salvage_t0_4_22 Dec 2020_01.#m4</t>
  </si>
  <si>
    <t>H1299-Nuc-RFP_Asp-levels-post-salvage_t0_5_22 Dec 2020_01.#m4</t>
  </si>
  <si>
    <t>H1299-Nuc-RFP_Asp-levels-post-salvage_t0_6_22 Dec 2020_01.#m4</t>
  </si>
  <si>
    <t>H1299-Nuc-RFP_Asp-levels_post-salvage_harvest _0mM-met_no-sal_1_28 Dec 2020_01.#m4</t>
  </si>
  <si>
    <t>H1299-Nuc-RFP_Asp-levels_post-salvage_harvest _0mM-met_no-sal_2_28 Dec 2020_01.#m4</t>
  </si>
  <si>
    <t>H1299-Nuc-RFP_Asp-levels_post-salvage_harvest _0mM-met_no-sal_3_28 Dec 2020_01.#m4</t>
  </si>
  <si>
    <t>H1299-Nuc-RFP_Asp-levels_post-salvage_harvest _0mM-met_sal-mix_1_28 Dec 2020_01.#m4</t>
  </si>
  <si>
    <t>H1299-Nuc-RFP_Asp-levels_post-salvage_harvest _0mM-met_sal-mix_2_28 Dec 2020_01.#m4</t>
  </si>
  <si>
    <t>H1299-Nuc-RFP_Asp-levels_post-salvage_harvest _0mM-met_sal-mix_3_28 Dec 2020_01.#m4</t>
  </si>
  <si>
    <t>H1299-Nuc-RFP_Asp-levels_post-salvage_harvest_15mM-met_no-sal_1_25 Jan 2021_01.#m4</t>
  </si>
  <si>
    <t>H1299-Nuc-RFP_Asp-levels_post-salvage_harvest_15mM-met_no-sal_2_25 Jan 2021_01.#m4</t>
  </si>
  <si>
    <t>H1299-Nuc-RFP_Asp-levels_post-salvage_harvest_15mM-met_no-sal_3_25 Jan 2021_01.#m4</t>
  </si>
  <si>
    <t>H1299-Nuc-RFP_Asp-levels_post-salvage_harvest_15mM-met_sal-mix_1_ 5 Jan 2021_01.#m4</t>
  </si>
  <si>
    <t>H1299-Nuc-RFP_Asp-levels_post-salvage_harvest_15mM-met_sal-mix_2_ 5 Jan 2021_01.#m4</t>
  </si>
  <si>
    <t>H1299-Nuc-RFP_Asp-levels_post-salvage_harvest_15mM-met_sal-mix_3_ 5 Jan 2021_01.#m4</t>
  </si>
  <si>
    <t>H1299-Nuc-RFP_Asp-levels_post-salvage_harvest_1mM-met_no-sal_1_28 Dec 2020_01.#m4</t>
  </si>
  <si>
    <t>H1299-Nuc-RFP_Asp-levels_post-salvage_harvest_1mM-met_no-sal_2_28 Dec 2020_01.#m4</t>
  </si>
  <si>
    <t>H1299-Nuc-RFP_Asp-levels_post-salvage_harvest_1mM-met_no-sal_3_28 Dec 2020_01.#m4</t>
  </si>
  <si>
    <t>H1299-Nuc-RFP_Asp-levels_post-salvage_harvest_1mM-met_sal-mix_1_28 Dec 2020_01.#m4</t>
  </si>
  <si>
    <t>H1299-Nuc-RFP_Asp-levels_post-salvage_harvest_1mM-met_sal-mix_2_28 Dec 2020_01.#m4</t>
  </si>
  <si>
    <t>H1299-Nuc-RFP_Asp-levels_post-salvage_harvest_1mM-met_sal-mix_3_28 Dec 2020_01.#m4</t>
  </si>
  <si>
    <t>H1299-Nuc-RFP_Asp-levels_post-salvage_harvest_2mM-met_no-sal_1_31 Dec 2020_01.#m4</t>
  </si>
  <si>
    <t>H1299-Nuc-RFP_Asp-levels_post-salvage_harvest_2mM-met_no-sal_2_31 Dec 2020_01.#m4</t>
  </si>
  <si>
    <t>H1299-Nuc-RFP_Asp-levels_post-salvage_harvest_2mM-met_no-sal_3_31 Dec 2020_01.#m4</t>
  </si>
  <si>
    <t>H1299-Nuc-RFP_Asp-levels_post-salvage_harvest_2mM-met_sal-mix_1_31 Dec 2020_01.#m4</t>
  </si>
  <si>
    <t>H1299-Nuc-RFP_Asp-levels_post-salvage_harvest_2mM-met_sal-mix_2_31 Dec 2020_01.#m4</t>
  </si>
  <si>
    <t>H1299-Nuc-RFP_Asp-levels_post-salvage_harvest_2mM-met_sal-mix_3_31 Dec 2020_01.#m4</t>
  </si>
  <si>
    <t>H1299-Nuc-RFP_Asp-levels_post-salvage_harvest_4mM-met_no-sal_1_14 Jan 2021_01.#m4</t>
  </si>
  <si>
    <t>H1299-Nuc-RFP_Asp-levels_post-salvage_harvest_4mM-met_no-sal_2_14 Jan 2021_01.#m4</t>
  </si>
  <si>
    <t>H1299-Nuc-RFP_Asp-levels_post-salvage_harvest_4mM-met_no-sal_3_14 Jan 2021_01.#m4</t>
  </si>
  <si>
    <t>H1299-Nuc-RFP_Asp-levels_post-salvage_harvest_4mM-met_sal-mix_1_31 Dec 2020_01.#m4</t>
  </si>
  <si>
    <t>H1299-Nuc-RFP_Asp-levels_post-salvage_harvest_4mM-met_sal-mix_2_31 Dec 2020_01.#m4</t>
  </si>
  <si>
    <t>H1299-Nuc-RFP_Asp-levels_post-salvage_harvest_4mM-met_sal-mix_3_31 Dec 2020_01.#m4</t>
  </si>
  <si>
    <t>H1299-Nuc-RFP_Asp-levels_post-salvage_harvest_8mM-met_no-sal_1_14 Jan 2021_01.#m4</t>
  </si>
  <si>
    <t>H1299-Nuc-RFP_Asp-levels_post-salvage_harvest_8mM-met_no-sal_2_14 Jan 2021_01.#m4</t>
  </si>
  <si>
    <t>H1299-Nuc-RFP_Asp-levels_post-salvage_harvest_8mM-met_no-sal_3_14 Jan 2021_01.#m4</t>
  </si>
  <si>
    <t>H1299-Nuc-RFP_Asp-levels_post-salvage_harvest_8mM-met_sal-mix_1_ 2 Jan 2021_01.#m4</t>
  </si>
  <si>
    <t>H1299-Nuc-RFP_Asp-levels_post-salvage_harvest_8mM-met_sal-mix_2_ 2 Jan 2021_01.#m4</t>
  </si>
  <si>
    <t>H1299-Nuc-RFP_Asp-levels_post-salvage_harvest_8mM-met_sal-mix_3_ 2 Jan 2021_01.#m4</t>
  </si>
  <si>
    <t>Volumetric,  2000  uL</t>
  </si>
  <si>
    <t>Delta mean diameter</t>
  </si>
  <si>
    <t>Delta median diameter</t>
  </si>
  <si>
    <t>X cell number</t>
  </si>
  <si>
    <t>Delta time (days)</t>
  </si>
  <si>
    <t>Proliferation rate (1/d)</t>
  </si>
  <si>
    <t>Cell volume (fL)</t>
  </si>
  <si>
    <t>Total cell volume (uL)</t>
  </si>
  <si>
    <t>Cell vol. in 800uL solvent</t>
  </si>
  <si>
    <t>Transfer to get 0.6uL cell vol.</t>
  </si>
  <si>
    <t>Data</t>
  </si>
  <si>
    <t>Metformin conc. (mM)</t>
  </si>
  <si>
    <t>Sal. Mix</t>
  </si>
  <si>
    <t>No</t>
  </si>
  <si>
    <t>Yes</t>
  </si>
  <si>
    <t>700uL eq. cell vol.</t>
  </si>
  <si>
    <t>Metformin (mM)</t>
  </si>
  <si>
    <t>Salvage_mix</t>
  </si>
  <si>
    <t>Cell_line</t>
  </si>
  <si>
    <t>H1299</t>
  </si>
  <si>
    <t>Proliferation_rate</t>
  </si>
  <si>
    <t>H1299-Nuc-RFP_Asp-levels_post-salvage_harvest_0mM-met_no-sal_1_28 Dec 2020_01.#m4</t>
  </si>
  <si>
    <t>H1299-Nuc-RFP_Asp-levels_post-salvage_harvest_0mM-met_no-sal_2_28 Dec 2020_01.#m4</t>
  </si>
  <si>
    <t>H1299-Nuc-RFP_Asp-levels_post-salvage_harvest_0mM-met_no-sal_3_28 Dec 2020_01.#m4</t>
  </si>
  <si>
    <t>H1299-Nuc-RFP_Asp-levels_post-salvage_harvest_0mM-met_sal-mix_1_28 Dec 2020_01.#m4</t>
  </si>
  <si>
    <t>H1299-Nuc-RFP_Asp-levels_post-salvage_harvest_0mM-met_sal-mix_2_28 Dec 2020_01.#m4</t>
  </si>
  <si>
    <t>H1299-Nuc-RFP_Asp-levels_post-salvage_harvest_0mM-met_sal-mix_3_28 Dec 2020_01.#m4</t>
  </si>
  <si>
    <t>Transfer volume</t>
  </si>
  <si>
    <t>CC-volume volume</t>
  </si>
  <si>
    <t>CC-diameter volume</t>
  </si>
  <si>
    <t>Vol-dia</t>
  </si>
  <si>
    <t>Dilution factor</t>
  </si>
  <si>
    <t>Cell vol. in 850uL solvent</t>
  </si>
  <si>
    <t>Cell vol. per uL in 850uL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</si>
</sst>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"/>
    <numFmt numFmtId="166" formatCode="0.000"/>
    <numFmt numFmtId="167" formatCode="0.0000"/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[1]Sheet1!$F$103:$F$108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[1]Sheet1!$H$103:$H$108</c:f>
              <c:numCache>
                <c:formatCode>General</c:formatCode>
                <c:ptCount val="6"/>
                <c:pt idx="0">
                  <c:v>1.0857493002250651</c:v>
                </c:pt>
                <c:pt idx="1">
                  <c:v>0.95096956753365181</c:v>
                </c:pt>
                <c:pt idx="2">
                  <c:v>0.63549885476812917</c:v>
                </c:pt>
                <c:pt idx="3">
                  <c:v>0.25074031135096403</c:v>
                </c:pt>
                <c:pt idx="4">
                  <c:v>0.14969751089421998</c:v>
                </c:pt>
                <c:pt idx="5">
                  <c:v>3.9542614247586289E-2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5-BB44-8CF8-13718ACE3409}"/>
            </c:ext>
          </c:extLst>
        </c:ser>
        <c:ser>
          <c:idx val="1"/>
          <c:order val="1"/>
          <c:tx>
            <c:v>Yes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[1]Sheet1!$F$109:$F$114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[1]Sheet1!$H$109:$H$114</c:f>
              <c:numCache>
                <c:formatCode>General</c:formatCode>
                <c:ptCount val="6"/>
                <c:pt idx="0">
                  <c:v>1.055920729927142</c:v>
                </c:pt>
                <c:pt idx="1">
                  <c:v>0.96383804023872588</c:v>
                </c:pt>
                <c:pt idx="2">
                  <c:v>0.78479416549884595</c:v>
                </c:pt>
                <c:pt idx="3">
                  <c:v>0.58770286093819279</c:v>
                </c:pt>
                <c:pt idx="4">
                  <c:v>0.49477041817410694</c:v>
                </c:pt>
                <c:pt idx="5">
                  <c:v>0.26815418994628348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5-BB44-8CF8-13718ACE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CC_volume!$F$103:$F$108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CC_volume!$H$103:$H$108</c:f>
              <c:numCache>
                <c:formatCode>0.0</c:formatCode>
                <c:ptCount val="6"/>
                <c:pt idx="0">
                  <c:v>1.0927823981042766</c:v>
                </c:pt>
                <c:pt idx="1">
                  <c:v>0.95838145384627715</c:v>
                </c:pt>
                <c:pt idx="2">
                  <c:v>0.64051766609062455</c:v>
                </c:pt>
                <c:pt idx="3">
                  <c:v>0.25293895737241257</c:v>
                </c:pt>
                <c:pt idx="4">
                  <c:v>0.15204549451392679</c:v>
                </c:pt>
                <c:pt idx="5">
                  <c:v>4.1166239804353938E-2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6-3F41-A812-54E786C44619}"/>
            </c:ext>
          </c:extLst>
        </c:ser>
        <c:ser>
          <c:idx val="1"/>
          <c:order val="1"/>
          <c:tx>
            <c:v>Yes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CC_volume!$F$109:$F$114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</c:numCache>
            </c:numRef>
          </c:xVal>
          <c:yVal>
            <c:numRef>
              <c:f>CC_volume!$H$109:$H$114</c:f>
              <c:numCache>
                <c:formatCode>0.0</c:formatCode>
                <c:ptCount val="6"/>
                <c:pt idx="0">
                  <c:v>1.0629029646448638</c:v>
                </c:pt>
                <c:pt idx="1">
                  <c:v>0.97113627847606976</c:v>
                </c:pt>
                <c:pt idx="2">
                  <c:v>0.78892399929753732</c:v>
                </c:pt>
                <c:pt idx="3">
                  <c:v>0.59285026405191743</c:v>
                </c:pt>
                <c:pt idx="4">
                  <c:v>0.49892337133526171</c:v>
                </c:pt>
                <c:pt idx="5">
                  <c:v>0.27119314986467113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6-3F41-A812-54E786C4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72"/>
        <c:axId val="1926736"/>
      </c:scatterChart>
      <c:valAx>
        <c:axId val="2020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36"/>
        <c:crosses val="autoZero"/>
        <c:crossBetween val="midCat"/>
      </c:valAx>
      <c:valAx>
        <c:axId val="1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118</xdr:row>
      <xdr:rowOff>63500</xdr:rowOff>
    </xdr:from>
    <xdr:to>
      <xdr:col>9</xdr:col>
      <xdr:colOff>224367</xdr:colOff>
      <xdr:row>132</xdr:row>
      <xdr:rowOff>94343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9D341-5954-F24E-BD0A-369A25C9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118</xdr:row>
      <xdr:rowOff>63500</xdr:rowOff>
    </xdr:from>
    <xdr:to>
      <xdr:col>9</xdr:col>
      <xdr:colOff>224367</xdr:colOff>
      <xdr:row>132</xdr:row>
      <xdr:rowOff>94343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5ED3A-0EA4-1A4C-A6C4-25A9937EA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dav/Desktop/Asp_post_salvage/H1299_diameter/merged_results_H1299_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3">
          <cell r="F103">
            <v>0.1</v>
          </cell>
          <cell r="H103">
            <v>1.0857493002250651</v>
          </cell>
        </row>
        <row r="104">
          <cell r="F104">
            <v>1</v>
          </cell>
          <cell r="H104">
            <v>0.95096956753365181</v>
          </cell>
        </row>
        <row r="105">
          <cell r="F105">
            <v>2</v>
          </cell>
          <cell r="H105">
            <v>0.63549885476812917</v>
          </cell>
        </row>
        <row r="106">
          <cell r="F106">
            <v>4</v>
          </cell>
          <cell r="H106">
            <v>0.25074031135096403</v>
          </cell>
        </row>
        <row r="107">
          <cell r="F107">
            <v>8</v>
          </cell>
          <cell r="H107">
            <v>0.14969751089421998</v>
          </cell>
        </row>
        <row r="108">
          <cell r="F108">
            <v>15</v>
          </cell>
          <cell r="H108">
            <v>3.9542614247586289E-2</v>
          </cell>
        </row>
        <row r="109">
          <cell r="F109">
            <v>0.1</v>
          </cell>
          <cell r="H109">
            <v>1.055920729927142</v>
          </cell>
        </row>
        <row r="110">
          <cell r="F110">
            <v>1</v>
          </cell>
          <cell r="H110">
            <v>0.96383804023872588</v>
          </cell>
        </row>
        <row r="111">
          <cell r="F111">
            <v>2</v>
          </cell>
          <cell r="H111">
            <v>0.78479416549884595</v>
          </cell>
        </row>
        <row r="112">
          <cell r="F112">
            <v>4</v>
          </cell>
          <cell r="H112">
            <v>0.58770286093819279</v>
          </cell>
        </row>
        <row r="113">
          <cell r="F113">
            <v>8</v>
          </cell>
          <cell r="H113">
            <v>0.49477041817410694</v>
          </cell>
        </row>
        <row r="114">
          <cell r="F114">
            <v>15</v>
          </cell>
          <cell r="H114">
            <v>0.26815418994628348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75A8-C70E-D24F-A987-D98BBDED4DC1}">
  <dimension ref="A1:S203"/>
  <sheetViews>
    <sheetView topLeftCell="J80" workbookViewId="0">
      <selection activeCell="S96" sqref="N2:S96"/>
    </sheetView>
  </sheetViews>
  <sheetFormatPr baseColWidth="10" defaultColWidth="8.83203125" defaultRowHeight="15" x14ac:dyDescent="0.2"/>
  <cols>
    <col min="1" max="1" width="22.5" customWidth="1"/>
    <col min="2" max="2" width="11.1640625" customWidth="1"/>
    <col min="5" max="5" width="17.6640625" bestFit="1" customWidth="1"/>
    <col min="6" max="6" width="14" customWidth="1"/>
    <col min="7" max="7" width="12.33203125" customWidth="1"/>
    <col min="8" max="8" width="12.6640625" customWidth="1"/>
    <col min="13" max="13" width="9.6640625" bestFit="1" customWidth="1"/>
    <col min="14" max="14" width="10.83203125" customWidth="1"/>
    <col min="15" max="16" width="11.33203125" customWidth="1"/>
    <col min="17" max="17" width="8.5" bestFit="1" customWidth="1"/>
    <col min="19" max="19" width="10" customWidth="1"/>
  </cols>
  <sheetData>
    <row r="1" spans="1:19" s="3" customFormat="1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103</v>
      </c>
      <c r="O1" s="5" t="s">
        <v>104</v>
      </c>
      <c r="P1" s="4" t="s">
        <v>120</v>
      </c>
      <c r="Q1" s="4" t="s">
        <v>117</v>
      </c>
      <c r="R1" s="4" t="s">
        <v>118</v>
      </c>
      <c r="S1" s="4" t="s">
        <v>116</v>
      </c>
    </row>
    <row r="2" spans="1:19" x14ac:dyDescent="0.2">
      <c r="A2" t="s">
        <v>13</v>
      </c>
      <c r="B2" t="s">
        <v>55</v>
      </c>
      <c r="C2" t="s">
        <v>58</v>
      </c>
      <c r="D2" t="s">
        <v>100</v>
      </c>
      <c r="E2" s="1">
        <v>44187.644444444442</v>
      </c>
      <c r="F2">
        <v>1251</v>
      </c>
      <c r="G2">
        <v>1254</v>
      </c>
      <c r="H2">
        <v>12.65</v>
      </c>
      <c r="I2">
        <v>35.380000000000003</v>
      </c>
      <c r="J2">
        <v>9620</v>
      </c>
      <c r="K2">
        <v>25.61</v>
      </c>
      <c r="L2">
        <v>25.78</v>
      </c>
      <c r="M2">
        <v>3.3370000000000002</v>
      </c>
    </row>
    <row r="3" spans="1:19" x14ac:dyDescent="0.2">
      <c r="A3" t="s">
        <v>14</v>
      </c>
      <c r="B3" t="s">
        <v>55</v>
      </c>
      <c r="C3" t="s">
        <v>59</v>
      </c>
      <c r="D3" t="s">
        <v>100</v>
      </c>
      <c r="E3" s="1">
        <v>44187.645833333343</v>
      </c>
      <c r="F3">
        <v>1191</v>
      </c>
      <c r="G3">
        <v>1194</v>
      </c>
      <c r="H3">
        <v>12.65</v>
      </c>
      <c r="I3">
        <v>35.15</v>
      </c>
      <c r="J3">
        <v>9310</v>
      </c>
      <c r="K3">
        <v>25.49</v>
      </c>
      <c r="L3">
        <v>25.74</v>
      </c>
      <c r="M3">
        <v>3.5960000000000001</v>
      </c>
    </row>
    <row r="4" spans="1:19" x14ac:dyDescent="0.2">
      <c r="A4" t="s">
        <v>15</v>
      </c>
      <c r="B4" t="s">
        <v>55</v>
      </c>
      <c r="C4" t="s">
        <v>60</v>
      </c>
      <c r="D4" t="s">
        <v>100</v>
      </c>
      <c r="E4" s="1">
        <v>44187.646527777782</v>
      </c>
      <c r="F4">
        <v>1102</v>
      </c>
      <c r="G4">
        <v>1104</v>
      </c>
      <c r="H4">
        <v>12.65</v>
      </c>
      <c r="I4">
        <v>35.15</v>
      </c>
      <c r="J4">
        <v>7710</v>
      </c>
      <c r="K4">
        <v>25.79</v>
      </c>
      <c r="L4">
        <v>26.03</v>
      </c>
      <c r="M4">
        <v>3.5409999999999999</v>
      </c>
    </row>
    <row r="5" spans="1:19" x14ac:dyDescent="0.2">
      <c r="A5" t="s">
        <v>16</v>
      </c>
      <c r="B5" t="s">
        <v>55</v>
      </c>
      <c r="C5" t="s">
        <v>61</v>
      </c>
      <c r="D5" t="s">
        <v>100</v>
      </c>
      <c r="E5" s="1">
        <v>44187.647916666669</v>
      </c>
      <c r="F5">
        <v>1086</v>
      </c>
      <c r="G5">
        <v>1088</v>
      </c>
      <c r="H5">
        <v>12.65</v>
      </c>
      <c r="I5">
        <v>35.15</v>
      </c>
      <c r="J5">
        <v>6760</v>
      </c>
      <c r="K5">
        <v>25.67</v>
      </c>
      <c r="L5">
        <v>26.06</v>
      </c>
      <c r="M5">
        <v>3.6680000000000001</v>
      </c>
    </row>
    <row r="6" spans="1:19" x14ac:dyDescent="0.2">
      <c r="A6" t="s">
        <v>17</v>
      </c>
      <c r="B6" t="s">
        <v>55</v>
      </c>
      <c r="C6" t="s">
        <v>62</v>
      </c>
      <c r="D6" t="s">
        <v>100</v>
      </c>
      <c r="E6" s="1">
        <v>44187.649305555547</v>
      </c>
      <c r="F6">
        <v>1175</v>
      </c>
      <c r="G6">
        <v>1177</v>
      </c>
      <c r="H6">
        <v>12.65</v>
      </c>
      <c r="I6">
        <v>35.15</v>
      </c>
      <c r="J6">
        <v>8310</v>
      </c>
      <c r="K6">
        <v>26.11</v>
      </c>
      <c r="L6">
        <v>26.33</v>
      </c>
      <c r="M6">
        <v>3.6469999999999998</v>
      </c>
    </row>
    <row r="7" spans="1:19" x14ac:dyDescent="0.2">
      <c r="A7" t="s">
        <v>18</v>
      </c>
      <c r="B7" t="s">
        <v>55</v>
      </c>
      <c r="C7" t="s">
        <v>63</v>
      </c>
      <c r="D7" t="s">
        <v>100</v>
      </c>
      <c r="E7" s="1">
        <v>44187.650694444441</v>
      </c>
      <c r="F7">
        <v>1083</v>
      </c>
      <c r="G7">
        <v>1085</v>
      </c>
      <c r="H7">
        <v>12.65</v>
      </c>
      <c r="I7">
        <v>35.15</v>
      </c>
      <c r="J7">
        <v>7220</v>
      </c>
      <c r="K7">
        <v>26.16</v>
      </c>
      <c r="L7">
        <v>26.42</v>
      </c>
      <c r="M7">
        <v>3.6749999999999998</v>
      </c>
    </row>
    <row r="8" spans="1:19" x14ac:dyDescent="0.2">
      <c r="A8" t="s">
        <v>10</v>
      </c>
      <c r="E8" s="1"/>
      <c r="J8">
        <f>AVERAGE(J2:J7)</f>
        <v>8155</v>
      </c>
      <c r="K8">
        <f>AVERAGE(K2:K7)</f>
        <v>25.804999999999996</v>
      </c>
      <c r="L8">
        <f t="shared" ref="L8:M8" si="0">AVERAGE(L2:L7)</f>
        <v>26.060000000000002</v>
      </c>
      <c r="M8">
        <f t="shared" si="0"/>
        <v>3.5773333333333333</v>
      </c>
    </row>
    <row r="10" spans="1:19" x14ac:dyDescent="0.2">
      <c r="A10" t="s">
        <v>19</v>
      </c>
      <c r="B10" t="s">
        <v>56</v>
      </c>
      <c r="C10" t="s">
        <v>64</v>
      </c>
      <c r="D10" t="s">
        <v>100</v>
      </c>
      <c r="E10" s="1">
        <v>44192.999305555553</v>
      </c>
      <c r="F10">
        <v>10848</v>
      </c>
      <c r="G10">
        <v>11064</v>
      </c>
      <c r="H10">
        <v>14.9</v>
      </c>
      <c r="I10">
        <v>35.15</v>
      </c>
      <c r="J10">
        <v>459100</v>
      </c>
      <c r="K10">
        <v>22.76</v>
      </c>
      <c r="L10">
        <v>22.55</v>
      </c>
      <c r="M10">
        <v>2.4870000000000001</v>
      </c>
      <c r="N10" s="9">
        <f>J10/$J$8</f>
        <v>56.296750459840588</v>
      </c>
      <c r="O10" s="9">
        <f>E10-$E$2</f>
        <v>5.3548611111109494</v>
      </c>
      <c r="P10" s="11">
        <f>LOG(N10,2)/O10</f>
        <v>1.0859254094979574</v>
      </c>
      <c r="Q10" t="s">
        <v>113</v>
      </c>
      <c r="R10" t="s">
        <v>119</v>
      </c>
      <c r="S10">
        <v>0</v>
      </c>
    </row>
    <row r="11" spans="1:19" x14ac:dyDescent="0.2">
      <c r="A11" t="s">
        <v>20</v>
      </c>
      <c r="B11" t="s">
        <v>56</v>
      </c>
      <c r="C11" t="s">
        <v>65</v>
      </c>
      <c r="D11" t="s">
        <v>100</v>
      </c>
      <c r="E11" s="1">
        <v>44193.000694444447</v>
      </c>
      <c r="F11">
        <v>11632</v>
      </c>
      <c r="G11">
        <v>11893</v>
      </c>
      <c r="H11">
        <v>14.9</v>
      </c>
      <c r="I11">
        <v>35.15</v>
      </c>
      <c r="J11">
        <v>490000</v>
      </c>
      <c r="K11">
        <v>22.96</v>
      </c>
      <c r="L11">
        <v>22.77</v>
      </c>
      <c r="M11">
        <v>2.5489999999999999</v>
      </c>
      <c r="N11" s="9">
        <f>J11/$J$8</f>
        <v>60.085836909871247</v>
      </c>
      <c r="O11" s="9">
        <f>E11-$E$2</f>
        <v>5.3562500000043656</v>
      </c>
      <c r="P11" s="11">
        <f>LOG(N11,2)/O11</f>
        <v>1.1031884363240319</v>
      </c>
      <c r="Q11" t="s">
        <v>113</v>
      </c>
      <c r="R11" t="s">
        <v>119</v>
      </c>
      <c r="S11">
        <v>0</v>
      </c>
    </row>
    <row r="12" spans="1:19" x14ac:dyDescent="0.2">
      <c r="A12" t="s">
        <v>21</v>
      </c>
      <c r="B12" t="s">
        <v>56</v>
      </c>
      <c r="C12" t="s">
        <v>66</v>
      </c>
      <c r="D12" t="s">
        <v>100</v>
      </c>
      <c r="E12" s="1">
        <v>44193.002083333333</v>
      </c>
      <c r="F12">
        <v>10642</v>
      </c>
      <c r="G12">
        <v>10859</v>
      </c>
      <c r="H12">
        <v>14.9</v>
      </c>
      <c r="I12">
        <v>35.15</v>
      </c>
      <c r="J12">
        <v>427300</v>
      </c>
      <c r="K12">
        <v>23.24</v>
      </c>
      <c r="L12">
        <v>23.04</v>
      </c>
      <c r="M12">
        <v>2.5299999999999998</v>
      </c>
      <c r="N12" s="9">
        <f>J12/$J$8</f>
        <v>52.397302268546902</v>
      </c>
      <c r="O12" s="9">
        <f>E12-$E$2</f>
        <v>5.3576388888905058</v>
      </c>
      <c r="P12" s="11">
        <f>LOG(N12,2)/O12</f>
        <v>1.0660331441336366</v>
      </c>
      <c r="Q12" t="s">
        <v>113</v>
      </c>
      <c r="R12" t="s">
        <v>119</v>
      </c>
      <c r="S12">
        <v>0</v>
      </c>
    </row>
    <row r="13" spans="1:19" x14ac:dyDescent="0.2">
      <c r="A13" t="s">
        <v>10</v>
      </c>
      <c r="E13" s="1"/>
      <c r="J13">
        <f>AVERAGE(J10:J12)</f>
        <v>458800</v>
      </c>
      <c r="K13">
        <f>AVERAGE(K10:K12)</f>
        <v>22.986666666666665</v>
      </c>
      <c r="L13">
        <f t="shared" ref="L13:M13" si="1">AVERAGE(L10:L12)</f>
        <v>22.786666666666665</v>
      </c>
      <c r="M13">
        <f t="shared" si="1"/>
        <v>2.5219999999999998</v>
      </c>
      <c r="P13" s="11"/>
    </row>
    <row r="14" spans="1:19" s="3" customFormat="1" ht="32" customHeight="1" x14ac:dyDescent="0.2">
      <c r="A14" s="4"/>
      <c r="B14" s="4" t="s">
        <v>101</v>
      </c>
      <c r="C14" s="4" t="s">
        <v>102</v>
      </c>
      <c r="D14" s="4" t="s">
        <v>103</v>
      </c>
      <c r="E14" s="5" t="s">
        <v>104</v>
      </c>
      <c r="F14" s="4" t="s">
        <v>105</v>
      </c>
      <c r="G14" s="4"/>
      <c r="H14" s="4" t="s">
        <v>106</v>
      </c>
      <c r="I14" s="4" t="s">
        <v>107</v>
      </c>
      <c r="K14" s="4" t="s">
        <v>108</v>
      </c>
      <c r="L14" s="4" t="s">
        <v>109</v>
      </c>
      <c r="N14" s="9"/>
      <c r="O14" s="9"/>
      <c r="P14" s="11"/>
      <c r="Q14"/>
      <c r="S14"/>
    </row>
    <row r="15" spans="1:19" x14ac:dyDescent="0.2">
      <c r="A15" s="6" t="s">
        <v>110</v>
      </c>
      <c r="B15" s="7">
        <f>K13-$K$8</f>
        <v>-2.8183333333333316</v>
      </c>
      <c r="C15" s="7">
        <f>L13-$L$8</f>
        <v>-3.273333333333337</v>
      </c>
      <c r="D15" s="7">
        <f>J13/$J$8</f>
        <v>56.259963212752915</v>
      </c>
      <c r="E15" s="7">
        <f>5+8/24+31/(60*24)</f>
        <v>5.3548611111111111</v>
      </c>
      <c r="F15" s="7">
        <f>LOG(D15,2)/E15</f>
        <v>1.0857493002250651</v>
      </c>
      <c r="G15" s="7"/>
      <c r="H15" s="7">
        <f>4/3*PI()*(K13/2)^3</f>
        <v>6359.5533741833642</v>
      </c>
      <c r="I15" s="7">
        <f>H15/1000000000*J13</f>
        <v>2.9177630880753278</v>
      </c>
      <c r="K15" s="8">
        <f>I15*800/1050</f>
        <v>2.2230575909145354</v>
      </c>
      <c r="L15" s="7">
        <f>0.6/K15*800</f>
        <v>215.91883267519606</v>
      </c>
      <c r="N15" s="9"/>
      <c r="O15" s="9"/>
      <c r="P15" s="11"/>
    </row>
    <row r="16" spans="1:19" x14ac:dyDescent="0.2">
      <c r="N16" s="9"/>
      <c r="O16" s="9"/>
      <c r="P16" s="11"/>
    </row>
    <row r="17" spans="1:19" x14ac:dyDescent="0.2">
      <c r="A17" t="s">
        <v>22</v>
      </c>
      <c r="B17" t="s">
        <v>56</v>
      </c>
      <c r="C17" t="s">
        <v>67</v>
      </c>
      <c r="D17" t="s">
        <v>100</v>
      </c>
      <c r="E17" s="1">
        <v>44193.01458333333</v>
      </c>
      <c r="F17">
        <v>11024</v>
      </c>
      <c r="G17">
        <v>11263</v>
      </c>
      <c r="H17">
        <v>14.9</v>
      </c>
      <c r="I17">
        <v>35.15</v>
      </c>
      <c r="J17">
        <v>445900</v>
      </c>
      <c r="K17">
        <v>22.99</v>
      </c>
      <c r="L17">
        <v>22.74</v>
      </c>
      <c r="M17">
        <v>2.6669999999999998</v>
      </c>
      <c r="N17" s="9">
        <f>J17/$J$8</f>
        <v>54.678111587982833</v>
      </c>
      <c r="O17" s="9">
        <f>E17-$E$2</f>
        <v>5.3701388888875954</v>
      </c>
      <c r="P17" s="11">
        <f>LOG(N17,2)/O17</f>
        <v>1.0749985488150411</v>
      </c>
      <c r="Q17" t="s">
        <v>114</v>
      </c>
      <c r="R17" t="s">
        <v>119</v>
      </c>
      <c r="S17">
        <v>0</v>
      </c>
    </row>
    <row r="18" spans="1:19" x14ac:dyDescent="0.2">
      <c r="A18" t="s">
        <v>23</v>
      </c>
      <c r="B18" t="s">
        <v>56</v>
      </c>
      <c r="C18" t="s">
        <v>68</v>
      </c>
      <c r="D18" t="s">
        <v>100</v>
      </c>
      <c r="E18" s="1">
        <v>44193.015972222223</v>
      </c>
      <c r="F18">
        <v>9954</v>
      </c>
      <c r="G18">
        <v>10144</v>
      </c>
      <c r="H18">
        <v>14.9</v>
      </c>
      <c r="I18">
        <v>35.15</v>
      </c>
      <c r="J18">
        <v>391600</v>
      </c>
      <c r="K18">
        <v>23.21</v>
      </c>
      <c r="L18">
        <v>22.96</v>
      </c>
      <c r="M18">
        <v>2.694</v>
      </c>
      <c r="N18" s="9">
        <f>J18/$J$8</f>
        <v>48.019619865113427</v>
      </c>
      <c r="O18" s="9">
        <f>E18-$E$2</f>
        <v>5.3715277777810115</v>
      </c>
      <c r="P18" s="11">
        <f>LOG(N18,2)/O18</f>
        <v>1.0398442135742945</v>
      </c>
      <c r="Q18" t="s">
        <v>114</v>
      </c>
      <c r="R18" t="s">
        <v>119</v>
      </c>
      <c r="S18">
        <v>0</v>
      </c>
    </row>
    <row r="19" spans="1:19" x14ac:dyDescent="0.2">
      <c r="A19" t="s">
        <v>24</v>
      </c>
      <c r="B19" t="s">
        <v>56</v>
      </c>
      <c r="C19" t="s">
        <v>69</v>
      </c>
      <c r="D19" t="s">
        <v>100</v>
      </c>
      <c r="E19" s="1">
        <v>44193.017361111109</v>
      </c>
      <c r="F19">
        <v>10194</v>
      </c>
      <c r="G19">
        <v>10400</v>
      </c>
      <c r="H19">
        <v>14.9</v>
      </c>
      <c r="I19">
        <v>35.15</v>
      </c>
      <c r="J19">
        <v>408500</v>
      </c>
      <c r="K19">
        <v>23.41</v>
      </c>
      <c r="L19">
        <v>23.23</v>
      </c>
      <c r="M19">
        <v>2.6989999999999998</v>
      </c>
      <c r="N19" s="9">
        <f>J19/$J$8</f>
        <v>50.09196811771919</v>
      </c>
      <c r="O19" s="9">
        <f>E19-$E$2</f>
        <v>5.3729166666671517</v>
      </c>
      <c r="P19" s="11">
        <f>LOG(N19,2)/O19</f>
        <v>1.0509203364791961</v>
      </c>
      <c r="Q19" t="s">
        <v>114</v>
      </c>
      <c r="R19" t="s">
        <v>119</v>
      </c>
      <c r="S19">
        <v>0</v>
      </c>
    </row>
    <row r="20" spans="1:19" x14ac:dyDescent="0.2">
      <c r="A20" t="s">
        <v>10</v>
      </c>
      <c r="E20" s="1"/>
      <c r="J20">
        <f>AVERAGE(J17:J19)</f>
        <v>415333.33333333331</v>
      </c>
      <c r="K20">
        <f>AVERAGE(K17:K19)</f>
        <v>23.203333333333333</v>
      </c>
      <c r="L20">
        <f>AVERAGE(L17:L19)</f>
        <v>22.97666666666667</v>
      </c>
      <c r="M20">
        <f>AVERAGE(M17:M19)</f>
        <v>2.6866666666666661</v>
      </c>
      <c r="N20" s="7"/>
      <c r="O20" s="7"/>
      <c r="P20" s="12"/>
    </row>
    <row r="21" spans="1:19" s="3" customFormat="1" ht="32" customHeight="1" x14ac:dyDescent="0.2">
      <c r="A21" s="4"/>
      <c r="B21" s="4" t="s">
        <v>101</v>
      </c>
      <c r="C21" s="4" t="s">
        <v>102</v>
      </c>
      <c r="D21" s="4" t="s">
        <v>103</v>
      </c>
      <c r="E21" s="5" t="s">
        <v>104</v>
      </c>
      <c r="F21" s="4" t="s">
        <v>105</v>
      </c>
      <c r="G21" s="4"/>
      <c r="H21" s="4" t="s">
        <v>106</v>
      </c>
      <c r="I21" s="4" t="s">
        <v>107</v>
      </c>
      <c r="K21" s="4" t="s">
        <v>108</v>
      </c>
      <c r="L21" s="4" t="s">
        <v>109</v>
      </c>
      <c r="N21"/>
      <c r="O21"/>
      <c r="P21" s="11"/>
      <c r="Q21"/>
      <c r="S21"/>
    </row>
    <row r="22" spans="1:19" x14ac:dyDescent="0.2">
      <c r="A22" s="6" t="s">
        <v>110</v>
      </c>
      <c r="B22" s="7">
        <f>K20-$K$8</f>
        <v>-2.601666666666663</v>
      </c>
      <c r="C22" s="7">
        <f>L20-$L$8</f>
        <v>-3.0833333333333321</v>
      </c>
      <c r="D22" s="7">
        <f>J20/$J$8</f>
        <v>50.929899856938484</v>
      </c>
      <c r="E22" s="7">
        <f>5+8/24+53/(60*24)</f>
        <v>5.3701388888888886</v>
      </c>
      <c r="F22" s="7">
        <f>LOG(D22,2)/E22</f>
        <v>1.055920729927142</v>
      </c>
      <c r="G22" s="7"/>
      <c r="H22" s="7">
        <f>4/3*PI()*(K20/2)^3</f>
        <v>6541.0844984758178</v>
      </c>
      <c r="I22" s="7">
        <f>H22/1000000000*J20</f>
        <v>2.7167304283669562</v>
      </c>
      <c r="K22" s="8">
        <f>I22*800/1050</f>
        <v>2.0698898501843477</v>
      </c>
      <c r="L22" s="7">
        <f>0.6/K22*800</f>
        <v>231.89639775143127</v>
      </c>
      <c r="P22" s="11"/>
    </row>
    <row r="23" spans="1:19" x14ac:dyDescent="0.2">
      <c r="P23" s="11"/>
    </row>
    <row r="24" spans="1:19" x14ac:dyDescent="0.2">
      <c r="A24" t="s">
        <v>31</v>
      </c>
      <c r="B24" t="s">
        <v>57</v>
      </c>
      <c r="C24" t="s">
        <v>76</v>
      </c>
      <c r="D24" t="s">
        <v>100</v>
      </c>
      <c r="E24" s="1">
        <v>44193.029166666667</v>
      </c>
      <c r="F24">
        <v>35441</v>
      </c>
      <c r="G24">
        <v>38007</v>
      </c>
      <c r="H24">
        <v>14.9</v>
      </c>
      <c r="I24">
        <v>35.15</v>
      </c>
      <c r="J24">
        <v>323100</v>
      </c>
      <c r="K24">
        <v>23.07</v>
      </c>
      <c r="L24">
        <v>22.82</v>
      </c>
      <c r="M24">
        <v>2.59</v>
      </c>
      <c r="N24" s="9">
        <f>J24/$J$8</f>
        <v>39.619865113427345</v>
      </c>
      <c r="O24" s="9">
        <f>E24-$E$2</f>
        <v>5.3847222222248092</v>
      </c>
      <c r="P24" s="11">
        <f>LOG(N24,2)/O24</f>
        <v>0.98578010979509156</v>
      </c>
      <c r="Q24" t="s">
        <v>113</v>
      </c>
      <c r="R24" t="s">
        <v>119</v>
      </c>
      <c r="S24">
        <v>1</v>
      </c>
    </row>
    <row r="25" spans="1:19" x14ac:dyDescent="0.2">
      <c r="A25" t="s">
        <v>32</v>
      </c>
      <c r="B25" t="s">
        <v>57</v>
      </c>
      <c r="C25" t="s">
        <v>77</v>
      </c>
      <c r="D25" t="s">
        <v>100</v>
      </c>
      <c r="E25" s="1">
        <v>44193.030555555553</v>
      </c>
      <c r="F25">
        <v>31202</v>
      </c>
      <c r="G25">
        <v>33241</v>
      </c>
      <c r="H25">
        <v>14.9</v>
      </c>
      <c r="I25">
        <v>35.15</v>
      </c>
      <c r="J25">
        <v>270100</v>
      </c>
      <c r="K25">
        <v>23.37</v>
      </c>
      <c r="L25">
        <v>23.12</v>
      </c>
      <c r="M25">
        <v>2.722</v>
      </c>
      <c r="N25" s="9">
        <f>J25/$J$8</f>
        <v>33.120784794604539</v>
      </c>
      <c r="O25" s="9">
        <f>E25-$E$2</f>
        <v>5.3861111111109494</v>
      </c>
      <c r="P25" s="11">
        <f>LOG(N25,2)/O25</f>
        <v>0.93753449353607776</v>
      </c>
      <c r="Q25" t="s">
        <v>113</v>
      </c>
      <c r="R25" t="s">
        <v>119</v>
      </c>
      <c r="S25">
        <v>1</v>
      </c>
    </row>
    <row r="26" spans="1:19" x14ac:dyDescent="0.2">
      <c r="A26" t="s">
        <v>33</v>
      </c>
      <c r="B26" t="s">
        <v>57</v>
      </c>
      <c r="C26" t="s">
        <v>78</v>
      </c>
      <c r="D26" t="s">
        <v>100</v>
      </c>
      <c r="E26" s="1">
        <v>44193.03125</v>
      </c>
      <c r="F26">
        <v>30353</v>
      </c>
      <c r="G26">
        <v>32292</v>
      </c>
      <c r="H26">
        <v>14.9</v>
      </c>
      <c r="I26">
        <v>35.15</v>
      </c>
      <c r="J26">
        <v>258000</v>
      </c>
      <c r="K26">
        <v>23.67</v>
      </c>
      <c r="L26">
        <v>23.45</v>
      </c>
      <c r="M26">
        <v>2.7240000000000002</v>
      </c>
      <c r="N26" s="9">
        <f>J26/$J$8</f>
        <v>31.637032495401595</v>
      </c>
      <c r="O26" s="9">
        <f>E26-$E$2</f>
        <v>5.3868055555576575</v>
      </c>
      <c r="P26" s="11">
        <f>LOG(N26,2)/O26</f>
        <v>0.92513871664524627</v>
      </c>
      <c r="Q26" t="s">
        <v>113</v>
      </c>
      <c r="R26" t="s">
        <v>119</v>
      </c>
      <c r="S26">
        <v>1</v>
      </c>
    </row>
    <row r="27" spans="1:19" x14ac:dyDescent="0.2">
      <c r="A27" t="s">
        <v>10</v>
      </c>
      <c r="E27" s="1"/>
      <c r="J27">
        <f>AVERAGE(J24:J26)</f>
        <v>283733.33333333331</v>
      </c>
      <c r="K27">
        <f>AVERAGE(K24:K26)</f>
        <v>23.37</v>
      </c>
      <c r="L27">
        <f>AVERAGE(L24:L26)</f>
        <v>23.13</v>
      </c>
      <c r="M27">
        <f>AVERAGE(M24:M26)</f>
        <v>2.6786666666666665</v>
      </c>
      <c r="N27" s="9"/>
      <c r="O27" s="9"/>
      <c r="P27" s="11"/>
    </row>
    <row r="28" spans="1:19" s="3" customFormat="1" ht="32" customHeight="1" x14ac:dyDescent="0.2">
      <c r="A28" s="4"/>
      <c r="B28" s="4" t="s">
        <v>101</v>
      </c>
      <c r="C28" s="4" t="s">
        <v>102</v>
      </c>
      <c r="D28" s="4" t="s">
        <v>103</v>
      </c>
      <c r="E28" s="5" t="s">
        <v>104</v>
      </c>
      <c r="F28" s="4" t="s">
        <v>105</v>
      </c>
      <c r="G28" s="4"/>
      <c r="H28" s="4" t="s">
        <v>106</v>
      </c>
      <c r="I28" s="4" t="s">
        <v>107</v>
      </c>
      <c r="K28" s="4" t="s">
        <v>108</v>
      </c>
      <c r="L28" s="4" t="s">
        <v>109</v>
      </c>
      <c r="N28" s="9"/>
      <c r="O28" s="9"/>
      <c r="P28" s="11"/>
      <c r="Q28"/>
      <c r="S28"/>
    </row>
    <row r="29" spans="1:19" x14ac:dyDescent="0.2">
      <c r="A29" s="6" t="s">
        <v>110</v>
      </c>
      <c r="B29" s="7">
        <f>K27-$K$8</f>
        <v>-2.4349999999999952</v>
      </c>
      <c r="C29" s="7">
        <f>L27-$L$8</f>
        <v>-2.9300000000000033</v>
      </c>
      <c r="D29" s="7">
        <f>J27/$J$8</f>
        <v>34.792560801144489</v>
      </c>
      <c r="E29" s="7">
        <f>5+9/24+14/(60*24)</f>
        <v>5.384722222222222</v>
      </c>
      <c r="F29" s="7">
        <f>LOG(D29,2)/E29</f>
        <v>0.95096956753365181</v>
      </c>
      <c r="G29" s="7"/>
      <c r="H29" s="7">
        <f>4/3*PI()*(K27/2)^3</f>
        <v>6683.0507559910275</v>
      </c>
      <c r="I29" s="7">
        <f>H29/1000000000*J27</f>
        <v>1.8962042678331874</v>
      </c>
      <c r="K29" s="8">
        <f>I29*800/1050</f>
        <v>1.4447270612062382</v>
      </c>
      <c r="L29" s="7">
        <f>0.6/K29*800</f>
        <v>332.24268644849508</v>
      </c>
      <c r="N29" s="9"/>
      <c r="O29" s="9"/>
      <c r="P29" s="11"/>
    </row>
    <row r="30" spans="1:19" x14ac:dyDescent="0.2">
      <c r="N30" s="7"/>
      <c r="O30" s="7"/>
      <c r="P30" s="12"/>
    </row>
    <row r="31" spans="1:19" x14ac:dyDescent="0.2">
      <c r="A31" t="s">
        <v>34</v>
      </c>
      <c r="B31" t="s">
        <v>57</v>
      </c>
      <c r="C31" t="s">
        <v>79</v>
      </c>
      <c r="D31" t="s">
        <v>100</v>
      </c>
      <c r="E31" s="1">
        <v>44193.046527777777</v>
      </c>
      <c r="F31">
        <v>39816</v>
      </c>
      <c r="G31">
        <v>43124</v>
      </c>
      <c r="H31">
        <v>14.9</v>
      </c>
      <c r="I31">
        <v>35.15</v>
      </c>
      <c r="J31">
        <v>342000</v>
      </c>
      <c r="K31">
        <v>23.05</v>
      </c>
      <c r="L31">
        <v>22.77</v>
      </c>
      <c r="M31">
        <v>2.8010000000000002</v>
      </c>
      <c r="N31" s="9">
        <f>J31/$J$8</f>
        <v>41.93746167995095</v>
      </c>
      <c r="O31" s="9">
        <f>E31-$E$2</f>
        <v>5.4020833333343035</v>
      </c>
      <c r="P31" s="11">
        <f>LOG(N31,2)/O31</f>
        <v>0.9977942407307866</v>
      </c>
      <c r="Q31" t="s">
        <v>114</v>
      </c>
      <c r="R31" t="s">
        <v>119</v>
      </c>
      <c r="S31">
        <v>1</v>
      </c>
    </row>
    <row r="32" spans="1:19" x14ac:dyDescent="0.2">
      <c r="A32" t="s">
        <v>35</v>
      </c>
      <c r="B32" t="s">
        <v>57</v>
      </c>
      <c r="C32" t="s">
        <v>80</v>
      </c>
      <c r="D32" t="s">
        <v>100</v>
      </c>
      <c r="E32" s="1">
        <v>44193.04791666667</v>
      </c>
      <c r="F32">
        <v>32006</v>
      </c>
      <c r="G32">
        <v>34163</v>
      </c>
      <c r="H32">
        <v>14.9</v>
      </c>
      <c r="I32">
        <v>35.15</v>
      </c>
      <c r="J32">
        <v>266400</v>
      </c>
      <c r="K32">
        <v>23.57</v>
      </c>
      <c r="L32">
        <v>23.34</v>
      </c>
      <c r="M32">
        <v>2.7869999999999999</v>
      </c>
      <c r="N32" s="9">
        <f>J32/$J$8</f>
        <v>32.66707541385653</v>
      </c>
      <c r="O32" s="9">
        <f>E32-$E$2</f>
        <v>5.4034722222277196</v>
      </c>
      <c r="P32" s="11">
        <f>LOG(N32,2)/O32</f>
        <v>0.93083950252511727</v>
      </c>
      <c r="Q32" t="s">
        <v>114</v>
      </c>
      <c r="R32" t="s">
        <v>119</v>
      </c>
      <c r="S32">
        <v>1</v>
      </c>
    </row>
    <row r="33" spans="1:19" x14ac:dyDescent="0.2">
      <c r="A33" t="s">
        <v>36</v>
      </c>
      <c r="B33" t="s">
        <v>57</v>
      </c>
      <c r="C33" t="s">
        <v>81</v>
      </c>
      <c r="D33" t="s">
        <v>100</v>
      </c>
      <c r="E33" s="1">
        <v>44193.048611111109</v>
      </c>
      <c r="F33">
        <v>35168</v>
      </c>
      <c r="G33">
        <v>37766</v>
      </c>
      <c r="H33">
        <v>14.9</v>
      </c>
      <c r="I33">
        <v>35.15</v>
      </c>
      <c r="J33">
        <v>295100</v>
      </c>
      <c r="K33">
        <v>23.79</v>
      </c>
      <c r="L33">
        <v>23.54</v>
      </c>
      <c r="M33">
        <v>2.76</v>
      </c>
      <c r="N33" s="9">
        <f>J33/$J$8</f>
        <v>36.186388718577561</v>
      </c>
      <c r="O33" s="9">
        <f>E33-$E$2</f>
        <v>5.4041666666671517</v>
      </c>
      <c r="P33" s="11">
        <f>LOG(N33,2)/O33</f>
        <v>0.95803396766822269</v>
      </c>
      <c r="Q33" t="s">
        <v>114</v>
      </c>
      <c r="R33" t="s">
        <v>119</v>
      </c>
      <c r="S33">
        <v>1</v>
      </c>
    </row>
    <row r="34" spans="1:19" x14ac:dyDescent="0.2">
      <c r="A34" t="s">
        <v>10</v>
      </c>
      <c r="E34" s="1"/>
      <c r="J34">
        <f>AVERAGE(J31:J33)</f>
        <v>301166.66666666669</v>
      </c>
      <c r="K34">
        <f>AVERAGE(K31:K33)</f>
        <v>23.47</v>
      </c>
      <c r="L34">
        <f>AVERAGE(L31:L33)</f>
        <v>23.216666666666669</v>
      </c>
      <c r="M34">
        <f>AVERAGE(M31:M33)</f>
        <v>2.7826666666666662</v>
      </c>
      <c r="N34" s="9"/>
      <c r="O34" s="9"/>
      <c r="P34" s="11"/>
    </row>
    <row r="35" spans="1:19" s="3" customFormat="1" ht="32" customHeight="1" x14ac:dyDescent="0.2">
      <c r="A35" s="4"/>
      <c r="B35" s="4" t="s">
        <v>101</v>
      </c>
      <c r="C35" s="4" t="s">
        <v>102</v>
      </c>
      <c r="D35" s="4" t="s">
        <v>103</v>
      </c>
      <c r="E35" s="5" t="s">
        <v>104</v>
      </c>
      <c r="F35" s="4" t="s">
        <v>105</v>
      </c>
      <c r="G35" s="4"/>
      <c r="H35" s="4" t="s">
        <v>106</v>
      </c>
      <c r="I35" s="4" t="s">
        <v>107</v>
      </c>
      <c r="K35" s="4" t="s">
        <v>108</v>
      </c>
      <c r="L35" s="4" t="s">
        <v>109</v>
      </c>
      <c r="N35" s="9"/>
      <c r="O35" s="9"/>
      <c r="P35" s="11"/>
      <c r="Q35"/>
      <c r="S35"/>
    </row>
    <row r="36" spans="1:19" x14ac:dyDescent="0.2">
      <c r="A36" s="6" t="s">
        <v>110</v>
      </c>
      <c r="B36" s="7">
        <f>K34-$K$8</f>
        <v>-2.3349999999999973</v>
      </c>
      <c r="C36" s="7">
        <f>L34-$L$8</f>
        <v>-2.8433333333333337</v>
      </c>
      <c r="D36" s="7">
        <f>J34/$J$8</f>
        <v>36.930308604128349</v>
      </c>
      <c r="E36" s="7">
        <f>5+9/24+39/(60*24)</f>
        <v>5.4020833333333336</v>
      </c>
      <c r="F36" s="7">
        <f>LOG(D36,2)/E36</f>
        <v>0.96383804023872588</v>
      </c>
      <c r="G36" s="7"/>
      <c r="H36" s="7">
        <f>4/3*PI()*(K34/2)^3</f>
        <v>6769.2084999287417</v>
      </c>
      <c r="I36" s="7">
        <f>H36/1000000000*J34</f>
        <v>2.0386599598952064</v>
      </c>
      <c r="K36" s="8">
        <f>I36*800/1050</f>
        <v>1.5532647313487289</v>
      </c>
      <c r="L36" s="7">
        <f>0.6/K36*800</f>
        <v>309.02652349751543</v>
      </c>
      <c r="N36" s="9"/>
      <c r="O36" s="9"/>
      <c r="P36" s="11"/>
    </row>
    <row r="37" spans="1:19" x14ac:dyDescent="0.2">
      <c r="N37" s="9"/>
      <c r="O37" s="9"/>
      <c r="P37" s="11"/>
    </row>
    <row r="38" spans="1:19" x14ac:dyDescent="0.2">
      <c r="A38" t="s">
        <v>37</v>
      </c>
      <c r="B38" t="s">
        <v>57</v>
      </c>
      <c r="C38" t="s">
        <v>82</v>
      </c>
      <c r="D38" t="s">
        <v>100</v>
      </c>
      <c r="E38" s="1">
        <v>44196.793055555558</v>
      </c>
      <c r="F38">
        <v>12883</v>
      </c>
      <c r="G38">
        <v>13189</v>
      </c>
      <c r="H38">
        <v>14.9</v>
      </c>
      <c r="I38">
        <v>35.15</v>
      </c>
      <c r="J38">
        <v>549900</v>
      </c>
      <c r="K38">
        <v>22.6</v>
      </c>
      <c r="L38">
        <v>22.23</v>
      </c>
      <c r="M38">
        <v>3.14</v>
      </c>
      <c r="N38" s="9">
        <f>J38/$J$8</f>
        <v>67.431023911710611</v>
      </c>
      <c r="O38" s="9">
        <f>E38-$E$2</f>
        <v>9.148611111115315</v>
      </c>
      <c r="P38" s="11">
        <f>LOG(N38,2)/O38</f>
        <v>0.66407245052258757</v>
      </c>
      <c r="Q38" t="s">
        <v>113</v>
      </c>
      <c r="R38" t="s">
        <v>119</v>
      </c>
      <c r="S38">
        <v>2</v>
      </c>
    </row>
    <row r="39" spans="1:19" x14ac:dyDescent="0.2">
      <c r="A39" t="s">
        <v>38</v>
      </c>
      <c r="B39" t="s">
        <v>57</v>
      </c>
      <c r="C39" t="s">
        <v>83</v>
      </c>
      <c r="D39" t="s">
        <v>100</v>
      </c>
      <c r="E39" s="1">
        <v>44196.793749999997</v>
      </c>
      <c r="F39">
        <v>10960</v>
      </c>
      <c r="G39">
        <v>11193</v>
      </c>
      <c r="H39">
        <v>14.9</v>
      </c>
      <c r="I39">
        <v>35.25</v>
      </c>
      <c r="J39">
        <v>449900</v>
      </c>
      <c r="K39">
        <v>22.85</v>
      </c>
      <c r="L39">
        <v>22.54</v>
      </c>
      <c r="M39">
        <v>3.117</v>
      </c>
      <c r="N39" s="9">
        <f>J39/$J$8</f>
        <v>55.168608215818516</v>
      </c>
      <c r="O39" s="9">
        <f>E39-$E$2</f>
        <v>9.1493055555547471</v>
      </c>
      <c r="P39" s="11">
        <f>LOG(N39,2)/O39</f>
        <v>0.63237320522559781</v>
      </c>
      <c r="Q39" t="s">
        <v>113</v>
      </c>
      <c r="R39" t="s">
        <v>119</v>
      </c>
      <c r="S39">
        <v>2</v>
      </c>
    </row>
    <row r="40" spans="1:19" x14ac:dyDescent="0.2">
      <c r="A40" t="s">
        <v>39</v>
      </c>
      <c r="B40" t="s">
        <v>57</v>
      </c>
      <c r="C40" t="s">
        <v>84</v>
      </c>
      <c r="D40" t="s">
        <v>100</v>
      </c>
      <c r="E40" s="1">
        <v>44196.795138888891</v>
      </c>
      <c r="F40">
        <v>9366</v>
      </c>
      <c r="G40">
        <v>9544</v>
      </c>
      <c r="H40">
        <v>14.9</v>
      </c>
      <c r="I40">
        <v>35.25</v>
      </c>
      <c r="J40">
        <v>376500</v>
      </c>
      <c r="K40">
        <v>23.53</v>
      </c>
      <c r="L40">
        <v>23.16</v>
      </c>
      <c r="M40">
        <v>3.2559999999999998</v>
      </c>
      <c r="N40" s="9">
        <f>J40/$J$8</f>
        <v>46.167995095033724</v>
      </c>
      <c r="O40" s="9">
        <f>E40-$E$2</f>
        <v>9.1506944444481633</v>
      </c>
      <c r="P40" s="11">
        <f>LOG(N40,2)/O40</f>
        <v>0.60419689579834801</v>
      </c>
      <c r="Q40" t="s">
        <v>113</v>
      </c>
      <c r="R40" t="s">
        <v>119</v>
      </c>
      <c r="S40">
        <v>2</v>
      </c>
    </row>
    <row r="41" spans="1:19" x14ac:dyDescent="0.2">
      <c r="A41" t="s">
        <v>10</v>
      </c>
      <c r="E41" s="1"/>
      <c r="J41">
        <f>AVERAGE(J38:J40)</f>
        <v>458766.66666666669</v>
      </c>
      <c r="K41">
        <f>AVERAGE(K38:K40)</f>
        <v>22.993333333333336</v>
      </c>
      <c r="L41">
        <f>AVERAGE(L38:L40)</f>
        <v>22.643333333333331</v>
      </c>
      <c r="M41">
        <f>AVERAGE(M38:M40)</f>
        <v>3.1709999999999998</v>
      </c>
      <c r="P41" s="11"/>
    </row>
    <row r="42" spans="1:19" s="3" customFormat="1" ht="32" customHeight="1" x14ac:dyDescent="0.2">
      <c r="A42" s="4"/>
      <c r="B42" s="4" t="s">
        <v>101</v>
      </c>
      <c r="C42" s="4" t="s">
        <v>102</v>
      </c>
      <c r="D42" s="4" t="s">
        <v>103</v>
      </c>
      <c r="E42" s="5" t="s">
        <v>104</v>
      </c>
      <c r="F42" s="4" t="s">
        <v>105</v>
      </c>
      <c r="G42" s="4"/>
      <c r="H42" s="4" t="s">
        <v>106</v>
      </c>
      <c r="I42" s="4" t="s">
        <v>107</v>
      </c>
      <c r="K42" s="4" t="s">
        <v>108</v>
      </c>
      <c r="L42" s="4" t="s">
        <v>109</v>
      </c>
      <c r="N42"/>
      <c r="O42"/>
      <c r="P42" s="11"/>
      <c r="Q42"/>
      <c r="S42"/>
    </row>
    <row r="43" spans="1:19" x14ac:dyDescent="0.2">
      <c r="A43" s="6" t="s">
        <v>110</v>
      </c>
      <c r="B43" s="7">
        <f>K41-$K$8</f>
        <v>-2.8116666666666603</v>
      </c>
      <c r="C43" s="7">
        <f>L41-$L$8</f>
        <v>-3.4166666666666714</v>
      </c>
      <c r="D43" s="7">
        <f>J41/$J$8</f>
        <v>56.255875740854286</v>
      </c>
      <c r="E43" s="7">
        <f>9+3/24+34/(60*24)</f>
        <v>9.1486111111111104</v>
      </c>
      <c r="F43" s="7">
        <f>LOG(D43,2)/E43</f>
        <v>0.63549885476812917</v>
      </c>
      <c r="G43" s="7"/>
      <c r="H43" s="7">
        <f>4/3*PI()*(K41/2)^3</f>
        <v>6365.0882332064448</v>
      </c>
      <c r="I43" s="7">
        <f>H43/1000000000*J41</f>
        <v>2.9200903117873436</v>
      </c>
      <c r="K43" s="8">
        <f>I43*800/1050</f>
        <v>2.2248307137427377</v>
      </c>
      <c r="L43" s="7">
        <f>0.6/K43*800</f>
        <v>215.74675189219968</v>
      </c>
      <c r="P43" s="11"/>
    </row>
    <row r="44" spans="1:19" x14ac:dyDescent="0.2">
      <c r="N44" s="9"/>
      <c r="O44" s="9"/>
      <c r="P44" s="11"/>
    </row>
    <row r="45" spans="1:19" x14ac:dyDescent="0.2">
      <c r="A45" t="s">
        <v>40</v>
      </c>
      <c r="B45" t="s">
        <v>57</v>
      </c>
      <c r="C45" t="s">
        <v>85</v>
      </c>
      <c r="D45" t="s">
        <v>100</v>
      </c>
      <c r="E45" s="1">
        <v>44196.806944444441</v>
      </c>
      <c r="F45">
        <v>29415</v>
      </c>
      <c r="G45">
        <v>31017</v>
      </c>
      <c r="H45">
        <v>14.9</v>
      </c>
      <c r="I45">
        <v>35.25</v>
      </c>
      <c r="J45">
        <v>1294000</v>
      </c>
      <c r="K45">
        <v>21.69</v>
      </c>
      <c r="L45">
        <v>21.39</v>
      </c>
      <c r="M45">
        <v>2.6459999999999999</v>
      </c>
      <c r="N45" s="9">
        <f>J45/$J$8</f>
        <v>158.67565910484365</v>
      </c>
      <c r="O45" s="9">
        <f>E45-$E$2</f>
        <v>9.1624999999985448</v>
      </c>
      <c r="P45" s="11">
        <f>LOG(N45,2)/O45</f>
        <v>0.79781031651367085</v>
      </c>
      <c r="Q45" t="s">
        <v>114</v>
      </c>
      <c r="R45" t="s">
        <v>119</v>
      </c>
      <c r="S45">
        <v>2</v>
      </c>
    </row>
    <row r="46" spans="1:19" x14ac:dyDescent="0.2">
      <c r="A46" t="s">
        <v>41</v>
      </c>
      <c r="B46" t="s">
        <v>57</v>
      </c>
      <c r="C46" t="s">
        <v>86</v>
      </c>
      <c r="D46" t="s">
        <v>100</v>
      </c>
      <c r="E46" s="1">
        <v>44196.808333333327</v>
      </c>
      <c r="F46">
        <v>26877</v>
      </c>
      <c r="G46">
        <v>28248</v>
      </c>
      <c r="H46">
        <v>14.9</v>
      </c>
      <c r="I46">
        <v>35.25</v>
      </c>
      <c r="J46">
        <v>1167000</v>
      </c>
      <c r="K46">
        <v>22.01</v>
      </c>
      <c r="L46">
        <v>21.71</v>
      </c>
      <c r="M46">
        <v>2.6789999999999998</v>
      </c>
      <c r="N46" s="9">
        <f>J46/$J$8</f>
        <v>143.1023911710607</v>
      </c>
      <c r="O46" s="9">
        <f>E46-$E$2</f>
        <v>9.163888888884685</v>
      </c>
      <c r="P46" s="11">
        <f>LOG(N46,2)/O46</f>
        <v>0.7814263197206579</v>
      </c>
      <c r="Q46" t="s">
        <v>114</v>
      </c>
      <c r="R46" t="s">
        <v>119</v>
      </c>
      <c r="S46">
        <v>2</v>
      </c>
    </row>
    <row r="47" spans="1:19" x14ac:dyDescent="0.2">
      <c r="A47" t="s">
        <v>42</v>
      </c>
      <c r="B47" t="s">
        <v>57</v>
      </c>
      <c r="C47" t="s">
        <v>87</v>
      </c>
      <c r="D47" t="s">
        <v>100</v>
      </c>
      <c r="E47" s="1">
        <v>44196.80972222222</v>
      </c>
      <c r="F47">
        <v>25780</v>
      </c>
      <c r="G47">
        <v>27066</v>
      </c>
      <c r="H47">
        <v>14.9</v>
      </c>
      <c r="I47">
        <v>35.25</v>
      </c>
      <c r="J47">
        <v>1113000</v>
      </c>
      <c r="K47">
        <v>22.31</v>
      </c>
      <c r="L47">
        <v>22</v>
      </c>
      <c r="M47">
        <v>2.7170000000000001</v>
      </c>
      <c r="N47" s="9">
        <f>J47/$J$8</f>
        <v>136.48068669527896</v>
      </c>
      <c r="O47" s="9">
        <f>E47-$E$2</f>
        <v>9.1652777777781012</v>
      </c>
      <c r="P47" s="11">
        <f>LOG(N47,2)/O47</f>
        <v>0.77385030463574422</v>
      </c>
      <c r="Q47" t="s">
        <v>114</v>
      </c>
      <c r="R47" t="s">
        <v>119</v>
      </c>
      <c r="S47">
        <v>2</v>
      </c>
    </row>
    <row r="48" spans="1:19" x14ac:dyDescent="0.2">
      <c r="A48" t="s">
        <v>10</v>
      </c>
      <c r="E48" s="1"/>
      <c r="J48">
        <f>AVERAGE(J45:J47)</f>
        <v>1191333.3333333333</v>
      </c>
      <c r="K48">
        <f>AVERAGE(K45:K47)</f>
        <v>22.003333333333334</v>
      </c>
      <c r="L48">
        <f>AVERAGE(L45:L47)</f>
        <v>21.7</v>
      </c>
      <c r="M48">
        <f>AVERAGE(M45:M47)</f>
        <v>2.6806666666666668</v>
      </c>
      <c r="N48" s="9"/>
      <c r="O48" s="9"/>
      <c r="P48" s="11"/>
    </row>
    <row r="49" spans="1:19" s="3" customFormat="1" ht="32" customHeight="1" x14ac:dyDescent="0.2">
      <c r="A49" s="4"/>
      <c r="B49" s="4" t="s">
        <v>101</v>
      </c>
      <c r="C49" s="4" t="s">
        <v>102</v>
      </c>
      <c r="D49" s="4" t="s">
        <v>103</v>
      </c>
      <c r="E49" s="5" t="s">
        <v>104</v>
      </c>
      <c r="F49" s="4" t="s">
        <v>105</v>
      </c>
      <c r="G49" s="4"/>
      <c r="H49" s="4" t="s">
        <v>106</v>
      </c>
      <c r="I49" s="4" t="s">
        <v>107</v>
      </c>
      <c r="K49" s="4" t="s">
        <v>108</v>
      </c>
      <c r="L49" s="4" t="s">
        <v>109</v>
      </c>
      <c r="N49" s="9"/>
      <c r="O49" s="9"/>
      <c r="P49" s="11"/>
      <c r="Q49"/>
      <c r="S49"/>
    </row>
    <row r="50" spans="1:19" x14ac:dyDescent="0.2">
      <c r="A50" s="6" t="s">
        <v>110</v>
      </c>
      <c r="B50" s="7">
        <f>K48-$K$8</f>
        <v>-3.8016666666666623</v>
      </c>
      <c r="C50" s="7">
        <f>L48-$L$8</f>
        <v>-4.360000000000003</v>
      </c>
      <c r="D50" s="7">
        <f>J48/$J$8</f>
        <v>146.08624565706108</v>
      </c>
      <c r="E50" s="7">
        <f>9+3/24+54/(60*24)</f>
        <v>9.1624999999999996</v>
      </c>
      <c r="F50" s="7">
        <f>LOG(D50,2)/E50</f>
        <v>0.78479416549884595</v>
      </c>
      <c r="G50" s="7"/>
      <c r="H50" s="7">
        <f>4/3*PI()*(K48/2)^3</f>
        <v>5577.8143646364097</v>
      </c>
      <c r="I50" s="7">
        <f>H50/1000000000*J48</f>
        <v>6.6450361797368425</v>
      </c>
      <c r="K50" s="8">
        <f>I50*800/1050</f>
        <v>5.0628847083709276</v>
      </c>
      <c r="L50" s="7">
        <f>0.6/K50*800</f>
        <v>94.807610216043898</v>
      </c>
      <c r="N50" s="7"/>
      <c r="O50" s="7"/>
      <c r="P50" s="12"/>
    </row>
    <row r="51" spans="1:19" x14ac:dyDescent="0.2">
      <c r="P51" s="11"/>
    </row>
    <row r="52" spans="1:19" x14ac:dyDescent="0.2">
      <c r="A52" t="s">
        <v>43</v>
      </c>
      <c r="B52" t="s">
        <v>57</v>
      </c>
      <c r="C52" t="s">
        <v>88</v>
      </c>
      <c r="D52" t="s">
        <v>100</v>
      </c>
      <c r="E52" s="1">
        <v>44210.838194444441</v>
      </c>
      <c r="F52">
        <v>12344</v>
      </c>
      <c r="G52">
        <v>12607</v>
      </c>
      <c r="H52">
        <v>14.9</v>
      </c>
      <c r="I52">
        <v>35.15</v>
      </c>
      <c r="J52">
        <v>464300</v>
      </c>
      <c r="K52">
        <v>22.87</v>
      </c>
      <c r="L52">
        <v>22.61</v>
      </c>
      <c r="M52">
        <v>3.383</v>
      </c>
      <c r="N52" s="9">
        <f>J52/$J$8</f>
        <v>56.934396076026978</v>
      </c>
      <c r="O52" s="9">
        <f>E52-$E$2</f>
        <v>23.193749999998545</v>
      </c>
      <c r="P52" s="11">
        <f>LOG(N52,2)/O52</f>
        <v>0.25141379008321235</v>
      </c>
      <c r="Q52" t="s">
        <v>113</v>
      </c>
      <c r="R52" t="s">
        <v>119</v>
      </c>
      <c r="S52">
        <v>4</v>
      </c>
    </row>
    <row r="53" spans="1:19" x14ac:dyDescent="0.2">
      <c r="A53" t="s">
        <v>44</v>
      </c>
      <c r="B53" t="s">
        <v>57</v>
      </c>
      <c r="C53" t="s">
        <v>89</v>
      </c>
      <c r="D53" t="s">
        <v>100</v>
      </c>
      <c r="E53" s="1">
        <v>44210.839583333327</v>
      </c>
      <c r="F53">
        <v>12594</v>
      </c>
      <c r="G53">
        <v>12885</v>
      </c>
      <c r="H53">
        <v>14.9</v>
      </c>
      <c r="I53">
        <v>35.15</v>
      </c>
      <c r="J53">
        <v>483200</v>
      </c>
      <c r="K53">
        <v>22.92</v>
      </c>
      <c r="L53">
        <v>22.68</v>
      </c>
      <c r="M53">
        <v>3.3929999999999998</v>
      </c>
      <c r="N53" s="9">
        <f>J53/$J$8</f>
        <v>59.251992642550583</v>
      </c>
      <c r="O53" s="9">
        <f>E53-$E$2</f>
        <v>23.195138888884685</v>
      </c>
      <c r="P53" s="11">
        <f>LOG(N53,2)/O53</f>
        <v>0.25388042708907932</v>
      </c>
      <c r="Q53" t="s">
        <v>113</v>
      </c>
      <c r="R53" t="s">
        <v>119</v>
      </c>
      <c r="S53">
        <v>4</v>
      </c>
    </row>
    <row r="54" spans="1:19" x14ac:dyDescent="0.2">
      <c r="A54" t="s">
        <v>45</v>
      </c>
      <c r="B54" t="s">
        <v>57</v>
      </c>
      <c r="C54" t="s">
        <v>90</v>
      </c>
      <c r="D54" t="s">
        <v>100</v>
      </c>
      <c r="E54" s="1">
        <v>44210.840277777781</v>
      </c>
      <c r="F54">
        <v>11399</v>
      </c>
      <c r="G54">
        <v>11647</v>
      </c>
      <c r="H54">
        <v>14.9</v>
      </c>
      <c r="I54">
        <v>35.15</v>
      </c>
      <c r="J54">
        <v>430400</v>
      </c>
      <c r="K54">
        <v>23.32</v>
      </c>
      <c r="L54">
        <v>23.03</v>
      </c>
      <c r="M54">
        <v>3.5049999999999999</v>
      </c>
      <c r="N54" s="9">
        <f>J54/$J$8</f>
        <v>52.777437155119557</v>
      </c>
      <c r="O54" s="9">
        <f>E54-$E$2</f>
        <v>23.195833333338669</v>
      </c>
      <c r="P54" s="11">
        <f>LOG(N54,2)/O54</f>
        <v>0.24667574165176731</v>
      </c>
      <c r="Q54" t="s">
        <v>113</v>
      </c>
      <c r="R54" t="s">
        <v>119</v>
      </c>
      <c r="S54">
        <v>4</v>
      </c>
    </row>
    <row r="55" spans="1:19" x14ac:dyDescent="0.2">
      <c r="A55" t="s">
        <v>10</v>
      </c>
      <c r="E55" s="1"/>
      <c r="J55">
        <f>AVERAGE(J52:J54)</f>
        <v>459300</v>
      </c>
      <c r="K55">
        <f>AVERAGE(K52:K54)</f>
        <v>23.036666666666672</v>
      </c>
      <c r="L55">
        <f>AVERAGE(L52:L54)</f>
        <v>22.77333333333333</v>
      </c>
      <c r="M55">
        <f>AVERAGE(M52:M54)</f>
        <v>3.4269999999999996</v>
      </c>
      <c r="N55" s="9"/>
      <c r="O55" s="9"/>
      <c r="P55" s="11"/>
    </row>
    <row r="56" spans="1:19" s="3" customFormat="1" ht="32" customHeight="1" x14ac:dyDescent="0.2">
      <c r="A56" s="4"/>
      <c r="B56" s="4" t="s">
        <v>101</v>
      </c>
      <c r="C56" s="4" t="s">
        <v>102</v>
      </c>
      <c r="D56" s="4" t="s">
        <v>103</v>
      </c>
      <c r="E56" s="5" t="s">
        <v>104</v>
      </c>
      <c r="F56" s="4" t="s">
        <v>105</v>
      </c>
      <c r="G56" s="4"/>
      <c r="H56" s="4" t="s">
        <v>106</v>
      </c>
      <c r="I56" s="4" t="s">
        <v>107</v>
      </c>
      <c r="K56" s="4" t="s">
        <v>108</v>
      </c>
      <c r="L56" s="4" t="s">
        <v>109</v>
      </c>
      <c r="N56" s="9"/>
      <c r="O56" s="9"/>
      <c r="P56" s="11"/>
      <c r="Q56"/>
      <c r="S56"/>
    </row>
    <row r="57" spans="1:19" x14ac:dyDescent="0.2">
      <c r="A57" s="6" t="s">
        <v>110</v>
      </c>
      <c r="B57" s="7">
        <f>K55-$K$8</f>
        <v>-2.7683333333333238</v>
      </c>
      <c r="C57" s="7">
        <f>L55-$L$8</f>
        <v>-3.2866666666666724</v>
      </c>
      <c r="D57" s="7">
        <f>J55/$J$8</f>
        <v>56.321275291232375</v>
      </c>
      <c r="E57" s="7">
        <f>23+4/24+39/(24*60)</f>
        <v>23.193750000000001</v>
      </c>
      <c r="F57" s="7">
        <f>LOG(D57,2)/E57</f>
        <v>0.25074031135096403</v>
      </c>
      <c r="G57" s="7"/>
      <c r="H57" s="7">
        <f>4/3*PI()*(K55/2)^3</f>
        <v>6401.1431137811351</v>
      </c>
      <c r="I57" s="7">
        <f>H57/1000000000*J55</f>
        <v>2.9400450321596754</v>
      </c>
      <c r="K57" s="8">
        <f>I57*800/1050</f>
        <v>2.2400343102168954</v>
      </c>
      <c r="L57" s="7">
        <f>0.6/K57*800</f>
        <v>214.282432108606</v>
      </c>
      <c r="N57" s="9"/>
      <c r="O57" s="9"/>
      <c r="P57" s="11"/>
    </row>
    <row r="58" spans="1:19" x14ac:dyDescent="0.2">
      <c r="N58" s="9"/>
      <c r="O58" s="9"/>
      <c r="P58" s="11"/>
    </row>
    <row r="59" spans="1:19" x14ac:dyDescent="0.2">
      <c r="A59" t="s">
        <v>46</v>
      </c>
      <c r="B59" t="s">
        <v>57</v>
      </c>
      <c r="C59" t="s">
        <v>91</v>
      </c>
      <c r="D59" t="s">
        <v>100</v>
      </c>
      <c r="E59" s="1">
        <v>44196.821527777778</v>
      </c>
      <c r="F59">
        <v>39810</v>
      </c>
      <c r="G59">
        <v>43193</v>
      </c>
      <c r="H59">
        <v>14.9</v>
      </c>
      <c r="I59">
        <v>35.25</v>
      </c>
      <c r="J59">
        <v>354300</v>
      </c>
      <c r="K59">
        <v>23.23</v>
      </c>
      <c r="L59">
        <v>22.85</v>
      </c>
      <c r="M59">
        <v>3.198</v>
      </c>
      <c r="N59" s="9">
        <f>J59/$J$8</f>
        <v>43.445738810545677</v>
      </c>
      <c r="O59" s="9">
        <f>E59-$E$2</f>
        <v>9.1770833333357587</v>
      </c>
      <c r="P59" s="11">
        <f>LOG(N59,2)/O59</f>
        <v>0.59290545597737332</v>
      </c>
      <c r="Q59" t="s">
        <v>114</v>
      </c>
      <c r="R59" t="s">
        <v>119</v>
      </c>
      <c r="S59">
        <v>4</v>
      </c>
    </row>
    <row r="60" spans="1:19" x14ac:dyDescent="0.2">
      <c r="A60" t="s">
        <v>47</v>
      </c>
      <c r="B60" t="s">
        <v>57</v>
      </c>
      <c r="C60" t="s">
        <v>92</v>
      </c>
      <c r="D60" t="s">
        <v>100</v>
      </c>
      <c r="E60" s="1">
        <v>44196.822916666657</v>
      </c>
      <c r="F60">
        <v>40367</v>
      </c>
      <c r="G60">
        <v>43890</v>
      </c>
      <c r="H60">
        <v>14.9</v>
      </c>
      <c r="I60">
        <v>35.25</v>
      </c>
      <c r="J60">
        <v>354000</v>
      </c>
      <c r="K60">
        <v>23.44</v>
      </c>
      <c r="L60">
        <v>23.07</v>
      </c>
      <c r="M60">
        <v>3.2530000000000001</v>
      </c>
      <c r="N60" s="9">
        <f>J60/$J$8</f>
        <v>43.408951563458004</v>
      </c>
      <c r="O60" s="9">
        <f>E60-$E$2</f>
        <v>9.1784722222146229</v>
      </c>
      <c r="P60" s="11">
        <f>LOG(N60,2)/O60</f>
        <v>0.59268258828300624</v>
      </c>
      <c r="Q60" t="s">
        <v>114</v>
      </c>
      <c r="R60" t="s">
        <v>119</v>
      </c>
      <c r="S60">
        <v>4</v>
      </c>
    </row>
    <row r="61" spans="1:19" x14ac:dyDescent="0.2">
      <c r="A61" t="s">
        <v>48</v>
      </c>
      <c r="B61" t="s">
        <v>57</v>
      </c>
      <c r="C61" t="s">
        <v>93</v>
      </c>
      <c r="D61" t="s">
        <v>100</v>
      </c>
      <c r="E61" s="1">
        <v>44196.824305555558</v>
      </c>
      <c r="F61">
        <v>37902</v>
      </c>
      <c r="G61">
        <v>40998</v>
      </c>
      <c r="H61">
        <v>14.9</v>
      </c>
      <c r="I61">
        <v>35.25</v>
      </c>
      <c r="J61">
        <v>320000</v>
      </c>
      <c r="K61">
        <v>23.76</v>
      </c>
      <c r="L61">
        <v>23.43</v>
      </c>
      <c r="M61">
        <v>3.242</v>
      </c>
      <c r="N61" s="9">
        <f>J61/$J$8</f>
        <v>39.239730226854689</v>
      </c>
      <c r="O61" s="9">
        <f>E61-$E$2</f>
        <v>9.179861111115315</v>
      </c>
      <c r="P61" s="11">
        <f>LOG(N61,2)/O61</f>
        <v>0.57672367303463201</v>
      </c>
      <c r="Q61" t="s">
        <v>114</v>
      </c>
      <c r="R61" t="s">
        <v>119</v>
      </c>
      <c r="S61">
        <v>4</v>
      </c>
    </row>
    <row r="62" spans="1:19" x14ac:dyDescent="0.2">
      <c r="A62" t="s">
        <v>10</v>
      </c>
      <c r="E62" s="1"/>
      <c r="J62">
        <f>AVERAGE(J59:J61)</f>
        <v>342766.66666666669</v>
      </c>
      <c r="K62">
        <f>AVERAGE(K59:K61)</f>
        <v>23.47666666666667</v>
      </c>
      <c r="L62">
        <f>AVERAGE(L59:L61)</f>
        <v>23.116666666666664</v>
      </c>
      <c r="M62">
        <f>AVERAGE(M59:M61)</f>
        <v>3.2310000000000003</v>
      </c>
      <c r="P62" s="11"/>
    </row>
    <row r="63" spans="1:19" s="3" customFormat="1" ht="32" customHeight="1" x14ac:dyDescent="0.2">
      <c r="A63" s="4"/>
      <c r="B63" s="4" t="s">
        <v>101</v>
      </c>
      <c r="C63" s="4" t="s">
        <v>102</v>
      </c>
      <c r="D63" s="4" t="s">
        <v>103</v>
      </c>
      <c r="E63" s="5" t="s">
        <v>104</v>
      </c>
      <c r="F63" s="4" t="s">
        <v>105</v>
      </c>
      <c r="G63" s="4"/>
      <c r="H63" s="4" t="s">
        <v>106</v>
      </c>
      <c r="I63" s="4" t="s">
        <v>107</v>
      </c>
      <c r="K63" s="4" t="s">
        <v>108</v>
      </c>
      <c r="L63" s="4" t="s">
        <v>109</v>
      </c>
      <c r="N63"/>
      <c r="O63"/>
      <c r="P63" s="11"/>
      <c r="Q63"/>
      <c r="S63"/>
    </row>
    <row r="64" spans="1:19" x14ac:dyDescent="0.2">
      <c r="A64" s="6" t="s">
        <v>110</v>
      </c>
      <c r="B64" s="7">
        <f>K62-$K$8</f>
        <v>-2.328333333333326</v>
      </c>
      <c r="C64" s="7">
        <f>L62-$L$8</f>
        <v>-2.9433333333333387</v>
      </c>
      <c r="D64" s="7">
        <f>J62/$J$8</f>
        <v>42.031473533619462</v>
      </c>
      <c r="E64" s="7">
        <f>9+4/24+15/(60*24)</f>
        <v>9.1770833333333321</v>
      </c>
      <c r="F64" s="7">
        <f>LOG(D64,2)/E64</f>
        <v>0.58770286093819279</v>
      </c>
      <c r="G64" s="7"/>
      <c r="H64" s="7">
        <f>4/3*PI()*(K62/2)^3</f>
        <v>6774.9785310147772</v>
      </c>
      <c r="I64" s="7">
        <f>H64/1000000000*J62</f>
        <v>2.3222368078141651</v>
      </c>
      <c r="K64" s="8">
        <f>I64*800/1050</f>
        <v>1.7693232821441258</v>
      </c>
      <c r="L64" s="7">
        <f>0.6/K64*800</f>
        <v>271.2901620885923</v>
      </c>
      <c r="N64" s="9"/>
      <c r="O64" s="9"/>
      <c r="P64" s="11"/>
    </row>
    <row r="65" spans="1:19" x14ac:dyDescent="0.2">
      <c r="N65" s="9"/>
      <c r="O65" s="9"/>
      <c r="P65" s="11"/>
    </row>
    <row r="66" spans="1:19" x14ac:dyDescent="0.2">
      <c r="A66" t="s">
        <v>49</v>
      </c>
      <c r="B66" t="s">
        <v>57</v>
      </c>
      <c r="C66" t="s">
        <v>94</v>
      </c>
      <c r="D66" t="s">
        <v>100</v>
      </c>
      <c r="E66" s="1">
        <v>44210.852083333331</v>
      </c>
      <c r="F66">
        <v>14282</v>
      </c>
      <c r="G66">
        <v>14640</v>
      </c>
      <c r="H66">
        <v>14.9</v>
      </c>
      <c r="I66">
        <v>35.15</v>
      </c>
      <c r="J66">
        <v>115400</v>
      </c>
      <c r="K66">
        <v>21.85</v>
      </c>
      <c r="L66">
        <v>21.3</v>
      </c>
      <c r="M66">
        <v>3.448</v>
      </c>
      <c r="N66" s="9">
        <f>J66/$J$8</f>
        <v>14.150827713059472</v>
      </c>
      <c r="O66" s="9">
        <f>E66-$E$2</f>
        <v>23.207638888889051</v>
      </c>
      <c r="P66" s="11">
        <f>LOG(N66,2)/O66</f>
        <v>0.16472225180352928</v>
      </c>
      <c r="Q66" t="s">
        <v>113</v>
      </c>
      <c r="R66" t="s">
        <v>119</v>
      </c>
      <c r="S66">
        <v>8</v>
      </c>
    </row>
    <row r="67" spans="1:19" x14ac:dyDescent="0.2">
      <c r="A67" t="s">
        <v>50</v>
      </c>
      <c r="B67" t="s">
        <v>57</v>
      </c>
      <c r="C67" t="s">
        <v>95</v>
      </c>
      <c r="D67" t="s">
        <v>100</v>
      </c>
      <c r="E67" s="1">
        <v>44210.852777777778</v>
      </c>
      <c r="F67">
        <v>17715</v>
      </c>
      <c r="G67">
        <v>18285</v>
      </c>
      <c r="H67">
        <v>14.9</v>
      </c>
      <c r="I67">
        <v>35.15</v>
      </c>
      <c r="J67">
        <v>141500</v>
      </c>
      <c r="K67">
        <v>22.01</v>
      </c>
      <c r="L67">
        <v>21.47</v>
      </c>
      <c r="M67">
        <v>3.5350000000000001</v>
      </c>
      <c r="N67" s="9">
        <f>J67/$J$8</f>
        <v>17.351318209687307</v>
      </c>
      <c r="O67" s="9">
        <f>E67-$E$2</f>
        <v>23.208333333335759</v>
      </c>
      <c r="P67" s="11">
        <f>LOG(N67,2)/O67</f>
        <v>0.17739203012829985</v>
      </c>
      <c r="Q67" t="s">
        <v>113</v>
      </c>
      <c r="R67" t="s">
        <v>119</v>
      </c>
      <c r="S67">
        <v>8</v>
      </c>
    </row>
    <row r="68" spans="1:19" x14ac:dyDescent="0.2">
      <c r="A68" t="s">
        <v>51</v>
      </c>
      <c r="B68" t="s">
        <v>57</v>
      </c>
      <c r="C68" t="s">
        <v>96</v>
      </c>
      <c r="D68" t="s">
        <v>100</v>
      </c>
      <c r="E68" s="1">
        <v>44210.854166666657</v>
      </c>
      <c r="F68">
        <v>3559</v>
      </c>
      <c r="G68">
        <v>3583</v>
      </c>
      <c r="H68">
        <v>14.9</v>
      </c>
      <c r="I68">
        <v>35.15</v>
      </c>
      <c r="J68">
        <v>14970</v>
      </c>
      <c r="K68">
        <v>24.77</v>
      </c>
      <c r="L68">
        <v>24.56</v>
      </c>
      <c r="M68">
        <v>3.984</v>
      </c>
      <c r="N68" s="9">
        <f>J68/$J$8</f>
        <v>1.8356836296750461</v>
      </c>
      <c r="O68" s="9">
        <f>E68-$E$2</f>
        <v>23.209722222214623</v>
      </c>
      <c r="P68" s="11">
        <f>LOG(N68,2)/O68</f>
        <v>3.7756481139950324E-2</v>
      </c>
      <c r="Q68" t="s">
        <v>113</v>
      </c>
      <c r="R68" t="s">
        <v>119</v>
      </c>
      <c r="S68">
        <v>8</v>
      </c>
    </row>
    <row r="69" spans="1:19" x14ac:dyDescent="0.2">
      <c r="A69" t="s">
        <v>10</v>
      </c>
      <c r="E69" s="1"/>
      <c r="J69">
        <f>AVERAGE(J66:J68)</f>
        <v>90623.333333333328</v>
      </c>
      <c r="K69">
        <f>AVERAGE(K66:K68)</f>
        <v>22.876666666666665</v>
      </c>
      <c r="L69">
        <f>AVERAGE(L66:L68)</f>
        <v>22.443333333333332</v>
      </c>
      <c r="M69">
        <f>AVERAGE(M66:M68)</f>
        <v>3.6556666666666668</v>
      </c>
      <c r="N69" s="9"/>
      <c r="O69" s="9"/>
      <c r="P69" s="11"/>
    </row>
    <row r="70" spans="1:19" s="3" customFormat="1" ht="32" customHeight="1" x14ac:dyDescent="0.2">
      <c r="A70" s="4"/>
      <c r="B70" s="4" t="s">
        <v>101</v>
      </c>
      <c r="C70" s="4" t="s">
        <v>102</v>
      </c>
      <c r="D70" s="4" t="s">
        <v>103</v>
      </c>
      <c r="E70" s="5" t="s">
        <v>104</v>
      </c>
      <c r="F70" s="4" t="s">
        <v>105</v>
      </c>
      <c r="G70" s="4"/>
      <c r="H70" s="4" t="s">
        <v>106</v>
      </c>
      <c r="I70" s="4" t="s">
        <v>107</v>
      </c>
      <c r="K70" s="4" t="s">
        <v>108</v>
      </c>
      <c r="L70" s="4" t="s">
        <v>109</v>
      </c>
      <c r="M70" s="4" t="s">
        <v>115</v>
      </c>
      <c r="N70" s="7"/>
      <c r="O70" s="7"/>
      <c r="P70" s="12"/>
      <c r="Q70"/>
      <c r="S70"/>
    </row>
    <row r="71" spans="1:19" x14ac:dyDescent="0.2">
      <c r="A71" s="6" t="s">
        <v>110</v>
      </c>
      <c r="B71" s="7">
        <f>K69-$K$8</f>
        <v>-2.928333333333331</v>
      </c>
      <c r="C71" s="7">
        <f>L69-$L$8</f>
        <v>-3.6166666666666707</v>
      </c>
      <c r="D71" s="7">
        <f>J69/$J$8</f>
        <v>11.112609850807274</v>
      </c>
      <c r="E71" s="7">
        <f>23+4/24+59/(24*60)</f>
        <v>23.207638888888891</v>
      </c>
      <c r="F71" s="7">
        <f>LOG(D71,2)/E71</f>
        <v>0.14969751089421998</v>
      </c>
      <c r="G71" s="7"/>
      <c r="H71" s="7">
        <f>4/3*PI()*(K69/2)^3</f>
        <v>6268.6908838875252</v>
      </c>
      <c r="I71" s="7">
        <f>H71/1000000000*J69</f>
        <v>0.56808966353416712</v>
      </c>
      <c r="K71" s="8">
        <f>I71*800/1050</f>
        <v>0.43283021983555592</v>
      </c>
      <c r="L71" s="7">
        <f>0.6/K71*800</f>
        <v>1108.9798678621958</v>
      </c>
      <c r="M71" s="8">
        <f>K71*(700/800)</f>
        <v>0.37872644235611141</v>
      </c>
      <c r="P71" s="11"/>
    </row>
    <row r="72" spans="1:19" x14ac:dyDescent="0.2">
      <c r="P72" s="11"/>
    </row>
    <row r="73" spans="1:19" x14ac:dyDescent="0.2">
      <c r="A73" t="s">
        <v>52</v>
      </c>
      <c r="B73" t="s">
        <v>57</v>
      </c>
      <c r="C73" t="s">
        <v>97</v>
      </c>
      <c r="D73" t="s">
        <v>100</v>
      </c>
      <c r="E73" s="1">
        <v>44198.842361111107</v>
      </c>
      <c r="F73">
        <v>42450</v>
      </c>
      <c r="G73">
        <v>46124</v>
      </c>
      <c r="H73">
        <v>14.9</v>
      </c>
      <c r="I73">
        <v>35.15</v>
      </c>
      <c r="J73">
        <v>387600</v>
      </c>
      <c r="K73">
        <v>23.04</v>
      </c>
      <c r="L73">
        <v>22.66</v>
      </c>
      <c r="M73">
        <v>3.3119999999999998</v>
      </c>
      <c r="N73" s="9">
        <f>J73/$J$8</f>
        <v>47.529123237277744</v>
      </c>
      <c r="O73" s="9">
        <f>E73-$E$2</f>
        <v>11.197916666664241</v>
      </c>
      <c r="P73" s="11">
        <f>LOG(N73,2)/O73</f>
        <v>0.49748002681377634</v>
      </c>
      <c r="Q73" t="s">
        <v>114</v>
      </c>
      <c r="R73" t="s">
        <v>119</v>
      </c>
      <c r="S73">
        <v>8</v>
      </c>
    </row>
    <row r="74" spans="1:19" x14ac:dyDescent="0.2">
      <c r="A74" t="s">
        <v>53</v>
      </c>
      <c r="B74" t="s">
        <v>57</v>
      </c>
      <c r="C74" t="s">
        <v>98</v>
      </c>
      <c r="D74" t="s">
        <v>100</v>
      </c>
      <c r="E74" s="1">
        <v>44198.84375</v>
      </c>
      <c r="F74">
        <v>43225</v>
      </c>
      <c r="G74">
        <v>47149</v>
      </c>
      <c r="H74">
        <v>14.9</v>
      </c>
      <c r="I74">
        <v>35.15</v>
      </c>
      <c r="J74">
        <v>382700</v>
      </c>
      <c r="K74">
        <v>23.02</v>
      </c>
      <c r="L74">
        <v>22.65</v>
      </c>
      <c r="M74">
        <v>3.2949999999999999</v>
      </c>
      <c r="N74" s="9">
        <f>J74/$J$8</f>
        <v>46.928264868179028</v>
      </c>
      <c r="O74" s="9">
        <f>E74-$E$2</f>
        <v>11.199305555557657</v>
      </c>
      <c r="P74" s="11">
        <f>LOG(N74,2)/O74</f>
        <v>0.49577942009882942</v>
      </c>
      <c r="Q74" t="s">
        <v>114</v>
      </c>
      <c r="R74" t="s">
        <v>119</v>
      </c>
      <c r="S74">
        <v>8</v>
      </c>
    </row>
    <row r="75" spans="1:19" x14ac:dyDescent="0.2">
      <c r="A75" t="s">
        <v>54</v>
      </c>
      <c r="B75" t="s">
        <v>57</v>
      </c>
      <c r="C75" t="s">
        <v>99</v>
      </c>
      <c r="D75" t="s">
        <v>100</v>
      </c>
      <c r="E75" s="1">
        <v>44198.845138888893</v>
      </c>
      <c r="F75">
        <v>41988</v>
      </c>
      <c r="G75">
        <v>45753</v>
      </c>
      <c r="H75">
        <v>14.9</v>
      </c>
      <c r="I75">
        <v>35.15</v>
      </c>
      <c r="J75">
        <v>368300</v>
      </c>
      <c r="K75">
        <v>23.34</v>
      </c>
      <c r="L75">
        <v>22.96</v>
      </c>
      <c r="M75">
        <v>3.399</v>
      </c>
      <c r="N75" s="9">
        <f>J75/$J$8</f>
        <v>45.162477007970573</v>
      </c>
      <c r="O75" s="9">
        <f>E75-$E$2</f>
        <v>11.200694444451074</v>
      </c>
      <c r="P75" s="11">
        <f>LOG(N75,2)/O75</f>
        <v>0.49077784751091985</v>
      </c>
      <c r="Q75" t="s">
        <v>114</v>
      </c>
      <c r="R75" t="s">
        <v>119</v>
      </c>
      <c r="S75">
        <v>8</v>
      </c>
    </row>
    <row r="76" spans="1:19" x14ac:dyDescent="0.2">
      <c r="A76" t="s">
        <v>10</v>
      </c>
      <c r="E76" s="1"/>
      <c r="J76">
        <f>AVERAGE(J73:J75)</f>
        <v>379533.33333333331</v>
      </c>
      <c r="K76">
        <f>AVERAGE(K73:K75)</f>
        <v>23.133333333333336</v>
      </c>
      <c r="L76">
        <f>AVERAGE(L73:L75)</f>
        <v>22.756666666666671</v>
      </c>
      <c r="M76">
        <f>AVERAGE(M73:M75)</f>
        <v>3.3353333333333333</v>
      </c>
      <c r="N76" s="9"/>
      <c r="O76" s="9"/>
      <c r="P76" s="11"/>
    </row>
    <row r="77" spans="1:19" s="3" customFormat="1" ht="32" customHeight="1" x14ac:dyDescent="0.2">
      <c r="A77" s="4"/>
      <c r="B77" s="4" t="s">
        <v>101</v>
      </c>
      <c r="C77" s="4" t="s">
        <v>102</v>
      </c>
      <c r="D77" s="4" t="s">
        <v>103</v>
      </c>
      <c r="E77" s="5" t="s">
        <v>104</v>
      </c>
      <c r="F77" s="4" t="s">
        <v>105</v>
      </c>
      <c r="G77" s="4"/>
      <c r="H77" s="4" t="s">
        <v>106</v>
      </c>
      <c r="I77" s="4" t="s">
        <v>107</v>
      </c>
      <c r="K77" s="4" t="s">
        <v>108</v>
      </c>
      <c r="L77" s="4" t="s">
        <v>109</v>
      </c>
      <c r="N77" s="9"/>
      <c r="O77" s="9"/>
      <c r="P77" s="11"/>
      <c r="Q77"/>
      <c r="S77"/>
    </row>
    <row r="78" spans="1:19" x14ac:dyDescent="0.2">
      <c r="A78" s="6" t="s">
        <v>110</v>
      </c>
      <c r="B78" s="7">
        <f>K76-$K$8</f>
        <v>-2.6716666666666598</v>
      </c>
      <c r="C78" s="7">
        <f>L76-$L$8</f>
        <v>-3.303333333333331</v>
      </c>
      <c r="D78" s="7">
        <f>J76/$J$8</f>
        <v>46.539955037809115</v>
      </c>
      <c r="E78" s="7">
        <f>11+4/24+45/(60*24)</f>
        <v>11.197916666666666</v>
      </c>
      <c r="F78" s="7">
        <f>LOG(D78,2)/E78</f>
        <v>0.49477041817410694</v>
      </c>
      <c r="G78" s="7"/>
      <c r="H78" s="7">
        <f>4/3*PI()*(K76/2)^3</f>
        <v>6482.0633259088627</v>
      </c>
      <c r="I78" s="7">
        <f>H78/1000000000*J76</f>
        <v>2.4601591009599435</v>
      </c>
      <c r="K78" s="8">
        <f>I78*800/1050</f>
        <v>1.8744069340647187</v>
      </c>
      <c r="L78" s="7">
        <f>0.6/K78*800</f>
        <v>256.08099888912739</v>
      </c>
      <c r="N78" s="9"/>
      <c r="O78" s="9"/>
      <c r="P78" s="11"/>
    </row>
    <row r="79" spans="1:19" x14ac:dyDescent="0.2">
      <c r="N79" s="9"/>
      <c r="O79" s="9"/>
      <c r="P79" s="11"/>
    </row>
    <row r="80" spans="1:19" x14ac:dyDescent="0.2">
      <c r="A80" t="s">
        <v>25</v>
      </c>
      <c r="B80" t="s">
        <v>57</v>
      </c>
      <c r="C80" t="s">
        <v>70</v>
      </c>
      <c r="D80" t="s">
        <v>100</v>
      </c>
      <c r="E80" s="1">
        <v>44221.887499999997</v>
      </c>
      <c r="F80">
        <v>424</v>
      </c>
      <c r="G80">
        <v>424</v>
      </c>
      <c r="H80">
        <v>14.9</v>
      </c>
      <c r="I80">
        <v>35.15</v>
      </c>
      <c r="J80">
        <v>1690</v>
      </c>
      <c r="K80">
        <v>22.31</v>
      </c>
      <c r="L80">
        <v>21.31</v>
      </c>
      <c r="M80">
        <v>4.2430000000000003</v>
      </c>
      <c r="N80" s="9">
        <f>J80/$J$8</f>
        <v>0.20723482526057632</v>
      </c>
      <c r="O80" s="9">
        <f>E80-$E$2</f>
        <v>34.243055555554747</v>
      </c>
      <c r="P80" s="11">
        <f>LOG(N80,2)/O80</f>
        <v>-6.6310134816849428E-2</v>
      </c>
      <c r="Q80" t="s">
        <v>113</v>
      </c>
      <c r="R80" t="s">
        <v>119</v>
      </c>
      <c r="S80">
        <v>15</v>
      </c>
    </row>
    <row r="81" spans="1:19" x14ac:dyDescent="0.2">
      <c r="A81" t="s">
        <v>26</v>
      </c>
      <c r="B81" t="s">
        <v>57</v>
      </c>
      <c r="C81" t="s">
        <v>71</v>
      </c>
      <c r="D81" t="s">
        <v>100</v>
      </c>
      <c r="E81" s="1">
        <v>44221.888888888891</v>
      </c>
      <c r="F81">
        <v>7535</v>
      </c>
      <c r="G81">
        <v>7635</v>
      </c>
      <c r="H81">
        <v>14.9</v>
      </c>
      <c r="I81">
        <v>35.15</v>
      </c>
      <c r="J81">
        <v>60050</v>
      </c>
      <c r="K81">
        <v>22.09</v>
      </c>
      <c r="L81">
        <v>21.58</v>
      </c>
      <c r="M81">
        <v>3.4180000000000001</v>
      </c>
      <c r="N81" s="9">
        <f>J81/$J$8</f>
        <v>7.3635806253832001</v>
      </c>
      <c r="O81" s="9">
        <f>E81-$E$2</f>
        <v>34.244444444448163</v>
      </c>
      <c r="P81" s="11">
        <f>LOG(N81,2)/O81</f>
        <v>8.4113131651288753E-2</v>
      </c>
      <c r="Q81" t="s">
        <v>113</v>
      </c>
      <c r="R81" t="s">
        <v>119</v>
      </c>
      <c r="S81">
        <v>15</v>
      </c>
    </row>
    <row r="82" spans="1:19" x14ac:dyDescent="0.2">
      <c r="A82" t="s">
        <v>27</v>
      </c>
      <c r="B82" t="s">
        <v>57</v>
      </c>
      <c r="C82" t="s">
        <v>72</v>
      </c>
      <c r="D82" t="s">
        <v>100</v>
      </c>
      <c r="E82" s="1">
        <v>44221.890277777777</v>
      </c>
      <c r="F82">
        <v>428</v>
      </c>
      <c r="G82">
        <v>428</v>
      </c>
      <c r="H82">
        <v>14.9</v>
      </c>
      <c r="I82">
        <v>35.15</v>
      </c>
      <c r="J82">
        <v>800</v>
      </c>
      <c r="K82">
        <v>22.3</v>
      </c>
      <c r="L82">
        <v>21.88</v>
      </c>
      <c r="M82">
        <v>4.5209999999999999</v>
      </c>
      <c r="N82" s="9">
        <f>J82/$J$8</f>
        <v>9.8099325567136728E-2</v>
      </c>
      <c r="O82" s="9">
        <f>E82-$E$2</f>
        <v>34.245833333334303</v>
      </c>
      <c r="P82" s="11">
        <f>LOG(N82,2)/O82</f>
        <v>-9.7810818011663525E-2</v>
      </c>
      <c r="Q82" t="s">
        <v>113</v>
      </c>
      <c r="R82" t="s">
        <v>119</v>
      </c>
      <c r="S82">
        <v>15</v>
      </c>
    </row>
    <row r="83" spans="1:19" x14ac:dyDescent="0.2">
      <c r="A83" t="s">
        <v>10</v>
      </c>
      <c r="E83" s="1"/>
      <c r="J83">
        <f>AVERAGE(J80:J82)</f>
        <v>20846.666666666668</v>
      </c>
      <c r="K83">
        <f>AVERAGE(K80:K82)</f>
        <v>22.233333333333334</v>
      </c>
      <c r="L83">
        <f>AVERAGE(L80:L82)</f>
        <v>21.59</v>
      </c>
      <c r="M83">
        <f>AVERAGE(M80:M82)</f>
        <v>4.0606666666666671</v>
      </c>
      <c r="P83" s="11"/>
    </row>
    <row r="84" spans="1:19" s="3" customFormat="1" ht="32" customHeight="1" x14ac:dyDescent="0.2">
      <c r="A84" s="4"/>
      <c r="B84" s="4" t="s">
        <v>101</v>
      </c>
      <c r="C84" s="4" t="s">
        <v>102</v>
      </c>
      <c r="D84" s="4" t="s">
        <v>103</v>
      </c>
      <c r="E84" s="5" t="s">
        <v>104</v>
      </c>
      <c r="F84" s="4" t="s">
        <v>105</v>
      </c>
      <c r="G84" s="4"/>
      <c r="H84" s="4" t="s">
        <v>106</v>
      </c>
      <c r="I84" s="4" t="s">
        <v>107</v>
      </c>
      <c r="K84" s="4" t="s">
        <v>108</v>
      </c>
      <c r="L84" s="4" t="s">
        <v>109</v>
      </c>
      <c r="M84" s="4" t="s">
        <v>115</v>
      </c>
      <c r="N84" s="9"/>
      <c r="O84" s="9"/>
      <c r="P84" s="11"/>
      <c r="Q84"/>
      <c r="S84"/>
    </row>
    <row r="85" spans="1:19" x14ac:dyDescent="0.2">
      <c r="A85" s="6" t="s">
        <v>110</v>
      </c>
      <c r="B85" s="7">
        <f>K83-$K$8</f>
        <v>-3.5716666666666619</v>
      </c>
      <c r="C85" s="7">
        <f>L83-$L$8</f>
        <v>-4.4700000000000024</v>
      </c>
      <c r="D85" s="7">
        <f>J83/$J$8</f>
        <v>2.5563049254036381</v>
      </c>
      <c r="E85" s="7">
        <f>34+5/24+50/(24*60)</f>
        <v>34.243055555555557</v>
      </c>
      <c r="F85" s="7">
        <f>LOG(D85,2)/E85</f>
        <v>3.9542614247586289E-2</v>
      </c>
      <c r="G85" s="7"/>
      <c r="H85" s="7">
        <f>4/3*PI()*(K83/2)^3</f>
        <v>5754.5631443207449</v>
      </c>
      <c r="I85" s="7">
        <f>H85/1000000000*J83</f>
        <v>0.1199634596819398</v>
      </c>
      <c r="K85" s="8">
        <f>I85*800/1050</f>
        <v>9.1400731186239842E-2</v>
      </c>
      <c r="L85" s="7">
        <f>0.6/K85*800</f>
        <v>5251.5991258531949</v>
      </c>
      <c r="M85" s="8">
        <f>K85*(700/800)</f>
        <v>7.9975639787959865E-2</v>
      </c>
      <c r="N85" s="9"/>
      <c r="O85" s="9"/>
      <c r="P85" s="11"/>
    </row>
    <row r="86" spans="1:19" x14ac:dyDescent="0.2">
      <c r="N86" s="9"/>
      <c r="O86" s="9"/>
      <c r="P86" s="11"/>
    </row>
    <row r="87" spans="1:19" x14ac:dyDescent="0.2">
      <c r="A87" t="s">
        <v>28</v>
      </c>
      <c r="B87" t="s">
        <v>57</v>
      </c>
      <c r="C87" t="s">
        <v>73</v>
      </c>
      <c r="D87" t="s">
        <v>100</v>
      </c>
      <c r="E87" s="1">
        <v>44201.73541666667</v>
      </c>
      <c r="F87">
        <v>17606</v>
      </c>
      <c r="G87">
        <v>18167</v>
      </c>
      <c r="H87">
        <v>14.9</v>
      </c>
      <c r="I87">
        <v>35.15</v>
      </c>
      <c r="J87">
        <v>145000</v>
      </c>
      <c r="K87">
        <v>22.44</v>
      </c>
      <c r="L87">
        <v>22.05</v>
      </c>
      <c r="M87">
        <v>3.274</v>
      </c>
      <c r="N87" s="9">
        <f>J87/$J$8</f>
        <v>17.780502759043532</v>
      </c>
      <c r="O87" s="9">
        <f>E87-$E$2</f>
        <v>14.09097222222772</v>
      </c>
      <c r="P87" s="11">
        <f>LOG(N87,2)/O87</f>
        <v>0.29467265619386251</v>
      </c>
      <c r="Q87" t="s">
        <v>114</v>
      </c>
      <c r="R87" t="s">
        <v>119</v>
      </c>
      <c r="S87">
        <v>15</v>
      </c>
    </row>
    <row r="88" spans="1:19" x14ac:dyDescent="0.2">
      <c r="A88" t="s">
        <v>29</v>
      </c>
      <c r="B88" t="s">
        <v>57</v>
      </c>
      <c r="C88" t="s">
        <v>74</v>
      </c>
      <c r="D88" t="s">
        <v>100</v>
      </c>
      <c r="E88" s="1">
        <v>44201.736805555563</v>
      </c>
      <c r="F88">
        <v>19415</v>
      </c>
      <c r="G88">
        <v>20117</v>
      </c>
      <c r="H88">
        <v>14.9</v>
      </c>
      <c r="I88">
        <v>35.15</v>
      </c>
      <c r="J88">
        <v>155000</v>
      </c>
      <c r="K88">
        <v>22.62</v>
      </c>
      <c r="L88">
        <v>22.22</v>
      </c>
      <c r="M88">
        <v>3.3620000000000001</v>
      </c>
      <c r="N88" s="9">
        <f>J88/$J$8</f>
        <v>19.006744328632742</v>
      </c>
      <c r="O88" s="9">
        <f>E88-$E$2</f>
        <v>14.092361111121136</v>
      </c>
      <c r="P88" s="11">
        <f>LOG(N88,2)/O88</f>
        <v>0.30147109450554582</v>
      </c>
      <c r="Q88" t="s">
        <v>114</v>
      </c>
      <c r="R88" t="s">
        <v>119</v>
      </c>
      <c r="S88">
        <v>15</v>
      </c>
    </row>
    <row r="89" spans="1:19" x14ac:dyDescent="0.2">
      <c r="A89" t="s">
        <v>30</v>
      </c>
      <c r="B89" t="s">
        <v>57</v>
      </c>
      <c r="C89" t="s">
        <v>75</v>
      </c>
      <c r="D89" t="s">
        <v>100</v>
      </c>
      <c r="E89" s="1">
        <v>44201.737500000003</v>
      </c>
      <c r="F89">
        <v>5814</v>
      </c>
      <c r="G89">
        <v>5881</v>
      </c>
      <c r="H89">
        <v>14.9</v>
      </c>
      <c r="I89">
        <v>35.15</v>
      </c>
      <c r="J89">
        <v>35740</v>
      </c>
      <c r="K89">
        <v>24.51</v>
      </c>
      <c r="L89">
        <v>24.28</v>
      </c>
      <c r="M89">
        <v>3.653</v>
      </c>
      <c r="N89" s="9">
        <f>J89/$J$8</f>
        <v>4.3825873697118336</v>
      </c>
      <c r="O89" s="9">
        <f>E89-$E$2</f>
        <v>14.093055555560568</v>
      </c>
      <c r="P89" s="11">
        <f>LOG(N89,2)/O89</f>
        <v>0.15126477320161336</v>
      </c>
      <c r="Q89" t="s">
        <v>114</v>
      </c>
      <c r="R89" t="s">
        <v>119</v>
      </c>
      <c r="S89">
        <v>15</v>
      </c>
    </row>
    <row r="90" spans="1:19" x14ac:dyDescent="0.2">
      <c r="A90" t="s">
        <v>10</v>
      </c>
      <c r="E90" s="1"/>
      <c r="J90">
        <f>AVERAGE(J87:J89)</f>
        <v>111913.33333333333</v>
      </c>
      <c r="K90">
        <f>AVERAGE(K87:K89)</f>
        <v>23.19</v>
      </c>
      <c r="L90">
        <f>AVERAGE(L87:L89)</f>
        <v>22.849999999999998</v>
      </c>
      <c r="M90">
        <f>AVERAGE(M87:M89)</f>
        <v>3.4296666666666664</v>
      </c>
      <c r="N90" s="7"/>
      <c r="O90" s="7"/>
      <c r="P90" s="12"/>
    </row>
    <row r="91" spans="1:19" s="3" customFormat="1" ht="32" customHeight="1" x14ac:dyDescent="0.2">
      <c r="A91" s="4"/>
      <c r="B91" s="4" t="s">
        <v>101</v>
      </c>
      <c r="C91" s="4" t="s">
        <v>102</v>
      </c>
      <c r="D91" s="4" t="s">
        <v>103</v>
      </c>
      <c r="E91" s="5" t="s">
        <v>104</v>
      </c>
      <c r="F91" s="4" t="s">
        <v>105</v>
      </c>
      <c r="G91" s="4"/>
      <c r="H91" s="4" t="s">
        <v>106</v>
      </c>
      <c r="I91" s="4" t="s">
        <v>107</v>
      </c>
      <c r="K91" s="4" t="s">
        <v>108</v>
      </c>
      <c r="L91" s="4" t="s">
        <v>109</v>
      </c>
      <c r="M91" s="4" t="s">
        <v>115</v>
      </c>
      <c r="N91"/>
      <c r="O91"/>
      <c r="P91" s="11"/>
      <c r="Q91"/>
      <c r="S91"/>
    </row>
    <row r="92" spans="1:19" x14ac:dyDescent="0.2">
      <c r="A92" s="6" t="s">
        <v>110</v>
      </c>
      <c r="B92" s="7">
        <f>K90-$K$8</f>
        <v>-2.6149999999999949</v>
      </c>
      <c r="C92" s="7">
        <f>L90-$L$8</f>
        <v>-3.2100000000000044</v>
      </c>
      <c r="D92" s="7">
        <f>J90/$J$8</f>
        <v>13.723278152462701</v>
      </c>
      <c r="E92" s="7">
        <f>14+2/24+11/(60*24)</f>
        <v>14.090972222222224</v>
      </c>
      <c r="F92" s="7">
        <f>LOG(D92,2)/E92</f>
        <v>0.26815418994628348</v>
      </c>
      <c r="G92" s="7"/>
      <c r="H92" s="7">
        <f>4/3*PI()*(K90/2)^3</f>
        <v>6529.8148650647972</v>
      </c>
      <c r="I92" s="7">
        <f>H92/1000000000*J90</f>
        <v>0.73077334759895163</v>
      </c>
      <c r="K92" s="8">
        <f>I92*800/1050</f>
        <v>0.55677969340872502</v>
      </c>
      <c r="L92" s="7">
        <f>0.6/K92*800</f>
        <v>862.10040646658058</v>
      </c>
      <c r="M92" s="8">
        <f>K92*(700/800)</f>
        <v>0.48718223173263442</v>
      </c>
      <c r="P92" s="11"/>
    </row>
    <row r="93" spans="1:19" x14ac:dyDescent="0.2">
      <c r="P93" s="11"/>
    </row>
    <row r="94" spans="1:19" x14ac:dyDescent="0.2">
      <c r="N94" s="9"/>
      <c r="O94" s="9"/>
      <c r="P94" s="11"/>
    </row>
    <row r="95" spans="1:19" x14ac:dyDescent="0.2">
      <c r="N95" s="9"/>
      <c r="O95" s="9"/>
      <c r="P95" s="11"/>
      <c r="Q95" s="10"/>
    </row>
    <row r="96" spans="1:19" x14ac:dyDescent="0.2">
      <c r="N96" s="9"/>
      <c r="O96" s="9"/>
      <c r="P96" s="11"/>
    </row>
    <row r="97" spans="6:16" x14ac:dyDescent="0.2">
      <c r="N97" s="9"/>
      <c r="O97" s="9"/>
      <c r="P97" s="11"/>
    </row>
    <row r="98" spans="6:16" x14ac:dyDescent="0.2">
      <c r="N98" s="9"/>
      <c r="O98" s="9"/>
      <c r="P98" s="11"/>
    </row>
    <row r="99" spans="6:16" x14ac:dyDescent="0.2">
      <c r="N99" s="9"/>
      <c r="O99" s="9"/>
      <c r="P99" s="11"/>
    </row>
    <row r="100" spans="6:16" x14ac:dyDescent="0.2">
      <c r="N100" s="7"/>
      <c r="O100" s="7"/>
      <c r="P100" s="12"/>
    </row>
    <row r="101" spans="6:16" x14ac:dyDescent="0.2">
      <c r="P101" s="11"/>
    </row>
    <row r="102" spans="6:16" ht="32" x14ac:dyDescent="0.2">
      <c r="F102" s="3" t="s">
        <v>111</v>
      </c>
      <c r="G102" t="s">
        <v>112</v>
      </c>
      <c r="H102" s="3" t="s">
        <v>105</v>
      </c>
      <c r="I102" t="s">
        <v>127</v>
      </c>
      <c r="P102" s="11"/>
    </row>
    <row r="103" spans="6:16" x14ac:dyDescent="0.2">
      <c r="F103">
        <v>0.1</v>
      </c>
      <c r="G103" t="s">
        <v>113</v>
      </c>
      <c r="H103" s="9">
        <f>F15</f>
        <v>1.0857493002250651</v>
      </c>
      <c r="I103" s="9">
        <f>L15</f>
        <v>215.91883267519606</v>
      </c>
      <c r="P103" s="11"/>
    </row>
    <row r="104" spans="6:16" x14ac:dyDescent="0.2">
      <c r="F104">
        <v>1</v>
      </c>
      <c r="G104" t="s">
        <v>113</v>
      </c>
      <c r="H104" s="9">
        <f>F29</f>
        <v>0.95096956753365181</v>
      </c>
      <c r="I104" s="9">
        <f>L29</f>
        <v>332.24268644849508</v>
      </c>
      <c r="P104" s="11"/>
    </row>
    <row r="105" spans="6:16" x14ac:dyDescent="0.2">
      <c r="F105">
        <v>2</v>
      </c>
      <c r="G105" t="s">
        <v>113</v>
      </c>
      <c r="H105" s="9">
        <f>F43</f>
        <v>0.63549885476812917</v>
      </c>
      <c r="I105" s="9">
        <f>L43</f>
        <v>215.74675189219968</v>
      </c>
      <c r="P105" s="11"/>
    </row>
    <row r="106" spans="6:16" x14ac:dyDescent="0.2">
      <c r="F106">
        <v>4</v>
      </c>
      <c r="G106" t="s">
        <v>113</v>
      </c>
      <c r="H106" s="9">
        <f>F57</f>
        <v>0.25074031135096403</v>
      </c>
      <c r="I106" s="9">
        <f>L57</f>
        <v>214.282432108606</v>
      </c>
      <c r="P106" s="11"/>
    </row>
    <row r="107" spans="6:16" x14ac:dyDescent="0.2">
      <c r="F107">
        <v>8</v>
      </c>
      <c r="G107" t="s">
        <v>113</v>
      </c>
      <c r="H107" s="9">
        <f>F71</f>
        <v>0.14969751089421998</v>
      </c>
      <c r="I107" s="9">
        <f>L71</f>
        <v>1108.9798678621958</v>
      </c>
      <c r="P107" s="11"/>
    </row>
    <row r="108" spans="6:16" x14ac:dyDescent="0.2">
      <c r="F108">
        <v>15</v>
      </c>
      <c r="G108" t="s">
        <v>113</v>
      </c>
      <c r="H108" s="9">
        <f>F85</f>
        <v>3.9542614247586289E-2</v>
      </c>
      <c r="I108" s="9">
        <f>L85</f>
        <v>5251.5991258531949</v>
      </c>
      <c r="P108" s="11"/>
    </row>
    <row r="109" spans="6:16" x14ac:dyDescent="0.2">
      <c r="F109">
        <v>0.1</v>
      </c>
      <c r="G109" t="s">
        <v>114</v>
      </c>
      <c r="H109" s="9">
        <f>F22</f>
        <v>1.055920729927142</v>
      </c>
      <c r="I109" s="9">
        <f>L22</f>
        <v>231.89639775143127</v>
      </c>
    </row>
    <row r="110" spans="6:16" x14ac:dyDescent="0.2">
      <c r="F110">
        <v>1</v>
      </c>
      <c r="G110" t="s">
        <v>114</v>
      </c>
      <c r="H110" s="9">
        <f>F36</f>
        <v>0.96383804023872588</v>
      </c>
      <c r="I110" s="9">
        <f>L36</f>
        <v>309.02652349751543</v>
      </c>
    </row>
    <row r="111" spans="6:16" x14ac:dyDescent="0.2">
      <c r="F111">
        <v>2</v>
      </c>
      <c r="G111" t="s">
        <v>114</v>
      </c>
      <c r="H111" s="9">
        <f>F50</f>
        <v>0.78479416549884595</v>
      </c>
      <c r="I111" s="9">
        <f>L50</f>
        <v>94.807610216043898</v>
      </c>
    </row>
    <row r="112" spans="6:16" x14ac:dyDescent="0.2">
      <c r="F112">
        <v>4</v>
      </c>
      <c r="G112" t="s">
        <v>114</v>
      </c>
      <c r="H112" s="9">
        <f>F64</f>
        <v>0.58770286093819279</v>
      </c>
      <c r="I112" s="9">
        <f>L64</f>
        <v>271.2901620885923</v>
      </c>
    </row>
    <row r="113" spans="6:16" x14ac:dyDescent="0.2">
      <c r="F113">
        <v>8</v>
      </c>
      <c r="G113" t="s">
        <v>114</v>
      </c>
      <c r="H113" s="9">
        <f>F78</f>
        <v>0.49477041817410694</v>
      </c>
      <c r="I113" s="9">
        <f>L78</f>
        <v>256.08099888912739</v>
      </c>
    </row>
    <row r="114" spans="6:16" x14ac:dyDescent="0.2">
      <c r="F114">
        <v>15</v>
      </c>
      <c r="G114" t="s">
        <v>114</v>
      </c>
      <c r="H114" s="9">
        <f>F92</f>
        <v>0.26815418994628348</v>
      </c>
      <c r="I114" s="9">
        <f>L92</f>
        <v>862.10040646658058</v>
      </c>
    </row>
    <row r="117" spans="6:16" x14ac:dyDescent="0.2">
      <c r="N117" s="9"/>
      <c r="O117" s="9"/>
      <c r="P117" s="10"/>
    </row>
    <row r="118" spans="6:16" x14ac:dyDescent="0.2">
      <c r="N118" s="9"/>
      <c r="O118" s="9"/>
      <c r="P118" s="10"/>
    </row>
    <row r="119" spans="6:16" x14ac:dyDescent="0.2">
      <c r="N119" s="9"/>
      <c r="O119" s="9"/>
      <c r="P119" s="10"/>
    </row>
    <row r="120" spans="6:16" x14ac:dyDescent="0.2">
      <c r="N120" s="9"/>
      <c r="O120" s="9"/>
      <c r="P120" s="10"/>
    </row>
    <row r="121" spans="6:16" x14ac:dyDescent="0.2">
      <c r="N121" s="9"/>
      <c r="O121" s="9"/>
      <c r="P121" s="10"/>
    </row>
    <row r="122" spans="6:16" x14ac:dyDescent="0.2">
      <c r="N122" s="9"/>
      <c r="O122" s="9"/>
      <c r="P122" s="10"/>
    </row>
    <row r="123" spans="6:16" x14ac:dyDescent="0.2">
      <c r="N123" s="7"/>
      <c r="O123" s="7"/>
      <c r="P123" s="7"/>
    </row>
    <row r="127" spans="6:16" x14ac:dyDescent="0.2">
      <c r="N127" s="9"/>
      <c r="O127" s="9"/>
      <c r="P127" s="10"/>
    </row>
    <row r="128" spans="6:16" x14ac:dyDescent="0.2">
      <c r="N128" s="9"/>
      <c r="O128" s="9"/>
      <c r="P128" s="10"/>
    </row>
    <row r="129" spans="14:16" x14ac:dyDescent="0.2">
      <c r="N129" s="9"/>
      <c r="O129" s="9"/>
      <c r="P129" s="10"/>
    </row>
    <row r="130" spans="14:16" x14ac:dyDescent="0.2">
      <c r="N130" s="9"/>
      <c r="O130" s="9"/>
      <c r="P130" s="10"/>
    </row>
    <row r="131" spans="14:16" x14ac:dyDescent="0.2">
      <c r="N131" s="9"/>
      <c r="O131" s="9"/>
      <c r="P131" s="10"/>
    </row>
    <row r="132" spans="14:16" x14ac:dyDescent="0.2">
      <c r="N132" s="9"/>
      <c r="O132" s="9"/>
      <c r="P132" s="10"/>
    </row>
    <row r="133" spans="14:16" x14ac:dyDescent="0.2">
      <c r="N133" s="7"/>
      <c r="O133" s="7"/>
      <c r="P133" s="7"/>
    </row>
    <row r="137" spans="14:16" x14ac:dyDescent="0.2">
      <c r="N137" s="9"/>
      <c r="O137" s="9"/>
      <c r="P137" s="10"/>
    </row>
    <row r="138" spans="14:16" x14ac:dyDescent="0.2">
      <c r="N138" s="9"/>
      <c r="O138" s="9"/>
      <c r="P138" s="10"/>
    </row>
    <row r="139" spans="14:16" x14ac:dyDescent="0.2">
      <c r="N139" s="9"/>
      <c r="O139" s="9"/>
      <c r="P139" s="10"/>
    </row>
    <row r="140" spans="14:16" x14ac:dyDescent="0.2">
      <c r="N140" s="9"/>
      <c r="O140" s="9"/>
      <c r="P140" s="10"/>
    </row>
    <row r="141" spans="14:16" x14ac:dyDescent="0.2">
      <c r="N141" s="9"/>
      <c r="O141" s="9"/>
      <c r="P141" s="10"/>
    </row>
    <row r="142" spans="14:16" x14ac:dyDescent="0.2">
      <c r="N142" s="9"/>
      <c r="O142" s="9"/>
      <c r="P142" s="10"/>
    </row>
    <row r="143" spans="14:16" x14ac:dyDescent="0.2">
      <c r="N143" s="7"/>
      <c r="O143" s="7"/>
      <c r="P143" s="7"/>
    </row>
    <row r="147" spans="14:16" x14ac:dyDescent="0.2">
      <c r="N147" s="9"/>
      <c r="O147" s="9"/>
      <c r="P147" s="10"/>
    </row>
    <row r="148" spans="14:16" x14ac:dyDescent="0.2">
      <c r="N148" s="9"/>
      <c r="O148" s="9"/>
      <c r="P148" s="10"/>
    </row>
    <row r="149" spans="14:16" x14ac:dyDescent="0.2">
      <c r="N149" s="9"/>
      <c r="O149" s="9"/>
      <c r="P149" s="10"/>
    </row>
    <row r="150" spans="14:16" x14ac:dyDescent="0.2">
      <c r="N150" s="9"/>
      <c r="O150" s="9"/>
      <c r="P150" s="10"/>
    </row>
    <row r="151" spans="14:16" x14ac:dyDescent="0.2">
      <c r="N151" s="9"/>
      <c r="O151" s="9"/>
      <c r="P151" s="10"/>
    </row>
    <row r="152" spans="14:16" x14ac:dyDescent="0.2">
      <c r="N152" s="9"/>
      <c r="O152" s="9"/>
      <c r="P152" s="10"/>
    </row>
    <row r="153" spans="14:16" x14ac:dyDescent="0.2">
      <c r="N153" s="7"/>
      <c r="O153" s="7"/>
      <c r="P153" s="7"/>
    </row>
    <row r="157" spans="14:16" x14ac:dyDescent="0.2">
      <c r="N157" s="9"/>
      <c r="O157" s="9"/>
      <c r="P157" s="10"/>
    </row>
    <row r="158" spans="14:16" x14ac:dyDescent="0.2">
      <c r="N158" s="9"/>
      <c r="O158" s="9"/>
      <c r="P158" s="10"/>
    </row>
    <row r="159" spans="14:16" x14ac:dyDescent="0.2">
      <c r="N159" s="9"/>
      <c r="O159" s="9"/>
      <c r="P159" s="10"/>
    </row>
    <row r="160" spans="14:16" x14ac:dyDescent="0.2">
      <c r="N160" s="9"/>
      <c r="O160" s="9"/>
      <c r="P160" s="10"/>
    </row>
    <row r="161" spans="14:16" x14ac:dyDescent="0.2">
      <c r="N161" s="9"/>
      <c r="O161" s="9"/>
      <c r="P161" s="10"/>
    </row>
    <row r="162" spans="14:16" x14ac:dyDescent="0.2">
      <c r="N162" s="9"/>
      <c r="O162" s="9"/>
      <c r="P162" s="10"/>
    </row>
    <row r="163" spans="14:16" x14ac:dyDescent="0.2">
      <c r="N163" s="7"/>
      <c r="O163" s="7"/>
      <c r="P163" s="7"/>
    </row>
    <row r="167" spans="14:16" x14ac:dyDescent="0.2">
      <c r="N167" s="9"/>
      <c r="O167" s="9"/>
      <c r="P167" s="10"/>
    </row>
    <row r="168" spans="14:16" x14ac:dyDescent="0.2">
      <c r="N168" s="9"/>
      <c r="O168" s="9"/>
      <c r="P168" s="10"/>
    </row>
    <row r="169" spans="14:16" x14ac:dyDescent="0.2">
      <c r="N169" s="9"/>
      <c r="O169" s="9"/>
      <c r="P169" s="10"/>
    </row>
    <row r="170" spans="14:16" x14ac:dyDescent="0.2">
      <c r="N170" s="9"/>
      <c r="O170" s="9"/>
      <c r="P170" s="10"/>
    </row>
    <row r="171" spans="14:16" x14ac:dyDescent="0.2">
      <c r="N171" s="9"/>
      <c r="O171" s="9"/>
      <c r="P171" s="10"/>
    </row>
    <row r="172" spans="14:16" x14ac:dyDescent="0.2">
      <c r="N172" s="9"/>
      <c r="O172" s="9"/>
      <c r="P172" s="10"/>
    </row>
    <row r="173" spans="14:16" x14ac:dyDescent="0.2">
      <c r="N173" s="7"/>
      <c r="O173" s="7"/>
      <c r="P173" s="7"/>
    </row>
    <row r="177" spans="14:16" x14ac:dyDescent="0.2">
      <c r="N177" s="9"/>
      <c r="O177" s="9"/>
      <c r="P177" s="10"/>
    </row>
    <row r="178" spans="14:16" x14ac:dyDescent="0.2">
      <c r="N178" s="9"/>
      <c r="O178" s="9"/>
      <c r="P178" s="10"/>
    </row>
    <row r="179" spans="14:16" x14ac:dyDescent="0.2">
      <c r="N179" s="9"/>
      <c r="O179" s="9"/>
      <c r="P179" s="10"/>
    </row>
    <row r="180" spans="14:16" x14ac:dyDescent="0.2">
      <c r="N180" s="9"/>
      <c r="O180" s="9"/>
      <c r="P180" s="10"/>
    </row>
    <row r="181" spans="14:16" x14ac:dyDescent="0.2">
      <c r="N181" s="9"/>
      <c r="O181" s="9"/>
      <c r="P181" s="10"/>
    </row>
    <row r="182" spans="14:16" x14ac:dyDescent="0.2">
      <c r="N182" s="9"/>
      <c r="O182" s="9"/>
      <c r="P182" s="10"/>
    </row>
    <row r="183" spans="14:16" x14ac:dyDescent="0.2">
      <c r="N183" s="7"/>
      <c r="O183" s="7"/>
      <c r="P183" s="7"/>
    </row>
    <row r="187" spans="14:16" x14ac:dyDescent="0.2">
      <c r="N187" s="9"/>
      <c r="O187" s="9"/>
      <c r="P187" s="10"/>
    </row>
    <row r="188" spans="14:16" x14ac:dyDescent="0.2">
      <c r="N188" s="9"/>
      <c r="O188" s="9"/>
      <c r="P188" s="10"/>
    </row>
    <row r="189" spans="14:16" x14ac:dyDescent="0.2">
      <c r="N189" s="9"/>
      <c r="O189" s="9"/>
      <c r="P189" s="10"/>
    </row>
    <row r="190" spans="14:16" x14ac:dyDescent="0.2">
      <c r="N190" s="9"/>
      <c r="O190" s="9"/>
      <c r="P190" s="10"/>
    </row>
    <row r="191" spans="14:16" x14ac:dyDescent="0.2">
      <c r="N191" s="9"/>
      <c r="O191" s="9"/>
      <c r="P191" s="10"/>
    </row>
    <row r="192" spans="14:16" x14ac:dyDescent="0.2">
      <c r="N192" s="9"/>
      <c r="O192" s="9"/>
      <c r="P192" s="10"/>
    </row>
    <row r="193" spans="14:16" x14ac:dyDescent="0.2">
      <c r="N193" s="7"/>
      <c r="O193" s="7"/>
      <c r="P193" s="7"/>
    </row>
    <row r="197" spans="14:16" x14ac:dyDescent="0.2">
      <c r="N197" s="9"/>
      <c r="O197" s="9"/>
      <c r="P197" s="10"/>
    </row>
    <row r="198" spans="14:16" x14ac:dyDescent="0.2">
      <c r="N198" s="9"/>
      <c r="O198" s="9"/>
      <c r="P198" s="10"/>
    </row>
    <row r="199" spans="14:16" x14ac:dyDescent="0.2">
      <c r="N199" s="9"/>
      <c r="O199" s="9"/>
      <c r="P199" s="10"/>
    </row>
    <row r="200" spans="14:16" x14ac:dyDescent="0.2">
      <c r="N200" s="9"/>
      <c r="O200" s="9"/>
      <c r="P200" s="10"/>
    </row>
    <row r="201" spans="14:16" x14ac:dyDescent="0.2">
      <c r="N201" s="9"/>
      <c r="O201" s="9"/>
      <c r="P201" s="10"/>
    </row>
    <row r="202" spans="14:16" x14ac:dyDescent="0.2">
      <c r="N202" s="9"/>
      <c r="O202" s="9"/>
      <c r="P202" s="10"/>
    </row>
    <row r="203" spans="14:16" x14ac:dyDescent="0.2">
      <c r="N203" s="7"/>
      <c r="O203" s="7"/>
      <c r="P20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topLeftCell="I1" workbookViewId="0">
      <selection activeCell="P10" sqref="P10:P93"/>
    </sheetView>
  </sheetViews>
  <sheetFormatPr baseColWidth="10" defaultColWidth="8.83203125" defaultRowHeight="15" x14ac:dyDescent="0.2"/>
  <cols>
    <col min="1" max="1" width="22.5" customWidth="1"/>
    <col min="2" max="2" width="11.1640625" customWidth="1"/>
    <col min="5" max="5" width="17.6640625" bestFit="1" customWidth="1"/>
    <col min="6" max="6" width="14" customWidth="1"/>
    <col min="7" max="7" width="12.33203125" customWidth="1"/>
    <col min="8" max="8" width="12.6640625" customWidth="1"/>
    <col min="9" max="9" width="12.33203125" customWidth="1"/>
    <col min="13" max="13" width="9.6640625" bestFit="1" customWidth="1"/>
    <col min="14" max="14" width="10.83203125" customWidth="1"/>
    <col min="15" max="16" width="11.33203125" customWidth="1"/>
    <col min="17" max="17" width="8.5" bestFit="1" customWidth="1"/>
    <col min="19" max="19" width="10" customWidth="1"/>
  </cols>
  <sheetData>
    <row r="1" spans="1:19" s="3" customFormat="1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103</v>
      </c>
      <c r="O1" s="5" t="s">
        <v>104</v>
      </c>
      <c r="P1" s="4" t="s">
        <v>120</v>
      </c>
      <c r="Q1" s="4" t="s">
        <v>117</v>
      </c>
      <c r="R1" s="4" t="s">
        <v>118</v>
      </c>
      <c r="S1" s="4" t="s">
        <v>116</v>
      </c>
    </row>
    <row r="2" spans="1:19" x14ac:dyDescent="0.2">
      <c r="A2" t="s">
        <v>13</v>
      </c>
      <c r="B2" t="s">
        <v>55</v>
      </c>
      <c r="C2" t="s">
        <v>58</v>
      </c>
      <c r="D2" t="s">
        <v>100</v>
      </c>
      <c r="E2" s="1">
        <v>44187.644444444442</v>
      </c>
      <c r="F2">
        <v>1251</v>
      </c>
      <c r="G2">
        <v>1254</v>
      </c>
      <c r="H2">
        <v>1978</v>
      </c>
      <c r="I2">
        <v>40408</v>
      </c>
      <c r="J2">
        <v>9440</v>
      </c>
      <c r="K2">
        <v>9547</v>
      </c>
      <c r="L2">
        <v>9123</v>
      </c>
      <c r="M2">
        <v>3415</v>
      </c>
    </row>
    <row r="3" spans="1:19" x14ac:dyDescent="0.2">
      <c r="A3" t="s">
        <v>14</v>
      </c>
      <c r="B3" t="s">
        <v>55</v>
      </c>
      <c r="C3" t="s">
        <v>59</v>
      </c>
      <c r="D3" t="s">
        <v>100</v>
      </c>
      <c r="E3" s="1">
        <v>44187.645833333343</v>
      </c>
      <c r="F3">
        <v>1191</v>
      </c>
      <c r="G3">
        <v>1194</v>
      </c>
      <c r="H3">
        <v>1978</v>
      </c>
      <c r="I3">
        <v>39770</v>
      </c>
      <c r="J3">
        <v>9040</v>
      </c>
      <c r="K3">
        <v>9562</v>
      </c>
      <c r="L3">
        <v>9130</v>
      </c>
      <c r="M3">
        <v>3355</v>
      </c>
    </row>
    <row r="4" spans="1:19" x14ac:dyDescent="0.2">
      <c r="A4" t="s">
        <v>15</v>
      </c>
      <c r="B4" t="s">
        <v>55</v>
      </c>
      <c r="C4" t="s">
        <v>60</v>
      </c>
      <c r="D4" t="s">
        <v>100</v>
      </c>
      <c r="E4" s="1">
        <v>44187.646527777782</v>
      </c>
      <c r="F4">
        <v>1102</v>
      </c>
      <c r="G4">
        <v>1104</v>
      </c>
      <c r="H4">
        <v>1978</v>
      </c>
      <c r="I4">
        <v>39770</v>
      </c>
      <c r="J4">
        <v>7510</v>
      </c>
      <c r="K4">
        <v>9789</v>
      </c>
      <c r="L4">
        <v>9392</v>
      </c>
      <c r="M4">
        <v>3396</v>
      </c>
    </row>
    <row r="5" spans="1:19" x14ac:dyDescent="0.2">
      <c r="A5" t="s">
        <v>16</v>
      </c>
      <c r="B5" t="s">
        <v>55</v>
      </c>
      <c r="C5" t="s">
        <v>61</v>
      </c>
      <c r="D5" t="s">
        <v>100</v>
      </c>
      <c r="E5" s="1">
        <v>44187.647916666669</v>
      </c>
      <c r="F5">
        <v>1086</v>
      </c>
      <c r="G5">
        <v>1088</v>
      </c>
      <c r="H5">
        <v>1978</v>
      </c>
      <c r="I5">
        <v>39770</v>
      </c>
      <c r="J5">
        <v>6530</v>
      </c>
      <c r="K5">
        <v>9753</v>
      </c>
      <c r="L5">
        <v>9420</v>
      </c>
      <c r="M5">
        <v>3266</v>
      </c>
    </row>
    <row r="6" spans="1:19" x14ac:dyDescent="0.2">
      <c r="A6" t="s">
        <v>17</v>
      </c>
      <c r="B6" t="s">
        <v>55</v>
      </c>
      <c r="C6" t="s">
        <v>62</v>
      </c>
      <c r="D6" t="s">
        <v>100</v>
      </c>
      <c r="E6" s="1">
        <v>44187.649305555547</v>
      </c>
      <c r="F6">
        <v>1175</v>
      </c>
      <c r="G6">
        <v>1177</v>
      </c>
      <c r="H6">
        <v>1978</v>
      </c>
      <c r="I6">
        <v>40408</v>
      </c>
      <c r="J6">
        <v>8140</v>
      </c>
      <c r="K6">
        <v>10293</v>
      </c>
      <c r="L6">
        <v>9731</v>
      </c>
      <c r="M6">
        <v>3859</v>
      </c>
    </row>
    <row r="7" spans="1:19" x14ac:dyDescent="0.2">
      <c r="A7" t="s">
        <v>18</v>
      </c>
      <c r="B7" t="s">
        <v>55</v>
      </c>
      <c r="C7" t="s">
        <v>63</v>
      </c>
      <c r="D7" t="s">
        <v>100</v>
      </c>
      <c r="E7" s="1">
        <v>44187.650694444441</v>
      </c>
      <c r="F7">
        <v>1083</v>
      </c>
      <c r="G7">
        <v>1085</v>
      </c>
      <c r="H7">
        <v>1978</v>
      </c>
      <c r="I7">
        <v>40408</v>
      </c>
      <c r="J7">
        <v>7030</v>
      </c>
      <c r="K7">
        <v>10454</v>
      </c>
      <c r="L7">
        <v>9840</v>
      </c>
      <c r="M7">
        <v>3678</v>
      </c>
    </row>
    <row r="8" spans="1:19" x14ac:dyDescent="0.2">
      <c r="A8" t="s">
        <v>10</v>
      </c>
      <c r="E8" s="1"/>
      <c r="J8">
        <f>AVERAGE(J2:J7)</f>
        <v>7948.333333333333</v>
      </c>
      <c r="K8">
        <f>AVERAGE(K2:K7)</f>
        <v>9899.6666666666661</v>
      </c>
      <c r="L8">
        <f t="shared" ref="L8:M8" si="0">AVERAGE(L2:L7)</f>
        <v>9439.3333333333339</v>
      </c>
      <c r="M8">
        <f t="shared" si="0"/>
        <v>3494.8333333333335</v>
      </c>
    </row>
    <row r="10" spans="1:19" x14ac:dyDescent="0.2">
      <c r="A10" t="s">
        <v>19</v>
      </c>
      <c r="B10" t="s">
        <v>56</v>
      </c>
      <c r="C10" t="s">
        <v>121</v>
      </c>
      <c r="D10" t="s">
        <v>100</v>
      </c>
      <c r="E10" s="1">
        <v>44192.999305555553</v>
      </c>
      <c r="F10">
        <v>10848</v>
      </c>
      <c r="G10">
        <v>11064</v>
      </c>
      <c r="H10">
        <v>1978</v>
      </c>
      <c r="I10">
        <v>40408</v>
      </c>
      <c r="J10">
        <v>459300</v>
      </c>
      <c r="K10">
        <v>6456</v>
      </c>
      <c r="L10">
        <v>6014</v>
      </c>
      <c r="M10">
        <v>2422</v>
      </c>
      <c r="N10" s="9">
        <f>J10/$J$8</f>
        <v>57.785699308031035</v>
      </c>
      <c r="O10" s="9">
        <f>E10-$E$2</f>
        <v>5.3548611111109494</v>
      </c>
      <c r="P10" s="11">
        <f>LOG(N10,2)/O10</f>
        <v>1.0929584306661659</v>
      </c>
      <c r="Q10" t="s">
        <v>113</v>
      </c>
      <c r="R10" t="s">
        <v>119</v>
      </c>
      <c r="S10">
        <v>0</v>
      </c>
    </row>
    <row r="11" spans="1:19" x14ac:dyDescent="0.2">
      <c r="A11" t="s">
        <v>20</v>
      </c>
      <c r="B11" t="s">
        <v>56</v>
      </c>
      <c r="C11" t="s">
        <v>122</v>
      </c>
      <c r="D11" t="s">
        <v>100</v>
      </c>
      <c r="E11" s="1">
        <v>44193.000694444447</v>
      </c>
      <c r="F11">
        <v>11632</v>
      </c>
      <c r="G11">
        <v>11893</v>
      </c>
      <c r="H11">
        <v>1978</v>
      </c>
      <c r="I11">
        <v>39770</v>
      </c>
      <c r="J11">
        <v>490200</v>
      </c>
      <c r="K11">
        <v>6621</v>
      </c>
      <c r="L11">
        <v>6194</v>
      </c>
      <c r="M11">
        <v>2472</v>
      </c>
      <c r="N11" s="9">
        <f>J11/$J$8</f>
        <v>61.673306772908369</v>
      </c>
      <c r="O11" s="9">
        <f>E11-$E$2</f>
        <v>5.3562500000043656</v>
      </c>
      <c r="P11" s="11">
        <f>LOG(N11,2)/O11</f>
        <v>1.1102122374937977</v>
      </c>
      <c r="Q11" t="s">
        <v>113</v>
      </c>
      <c r="R11" t="s">
        <v>119</v>
      </c>
      <c r="S11">
        <v>0</v>
      </c>
    </row>
    <row r="12" spans="1:19" x14ac:dyDescent="0.2">
      <c r="A12" t="s">
        <v>21</v>
      </c>
      <c r="B12" t="s">
        <v>56</v>
      </c>
      <c r="C12" t="s">
        <v>123</v>
      </c>
      <c r="D12" t="s">
        <v>100</v>
      </c>
      <c r="E12" s="1">
        <v>44193.002083333333</v>
      </c>
      <c r="F12">
        <v>10642</v>
      </c>
      <c r="G12">
        <v>10859</v>
      </c>
      <c r="H12">
        <v>1978</v>
      </c>
      <c r="I12">
        <v>40408</v>
      </c>
      <c r="J12">
        <v>427500</v>
      </c>
      <c r="K12">
        <v>6860</v>
      </c>
      <c r="L12">
        <v>6410</v>
      </c>
      <c r="M12">
        <v>2500</v>
      </c>
      <c r="N12" s="9">
        <f>J12/$J$8</f>
        <v>53.78486055776893</v>
      </c>
      <c r="O12" s="9">
        <f>E12-$E$2</f>
        <v>5.3576388888905058</v>
      </c>
      <c r="P12" s="11">
        <f>LOG(N12,2)/O12</f>
        <v>1.0730712450210227</v>
      </c>
      <c r="Q12" t="s">
        <v>113</v>
      </c>
      <c r="R12" t="s">
        <v>119</v>
      </c>
      <c r="S12">
        <v>0</v>
      </c>
    </row>
    <row r="13" spans="1:19" x14ac:dyDescent="0.2">
      <c r="A13" t="s">
        <v>10</v>
      </c>
      <c r="E13" s="1"/>
      <c r="J13">
        <f>AVERAGE(J10:J12)</f>
        <v>459000</v>
      </c>
      <c r="K13">
        <f>AVERAGE(K10:K12)</f>
        <v>6645.666666666667</v>
      </c>
      <c r="L13">
        <f t="shared" ref="L13:M13" si="1">AVERAGE(L10:L12)</f>
        <v>6206</v>
      </c>
      <c r="M13">
        <f t="shared" si="1"/>
        <v>2464.6666666666665</v>
      </c>
      <c r="P13" s="11"/>
    </row>
    <row r="14" spans="1:19" s="3" customFormat="1" ht="32" customHeight="1" x14ac:dyDescent="0.2">
      <c r="A14" s="4"/>
      <c r="B14" s="4" t="s">
        <v>101</v>
      </c>
      <c r="C14" s="4" t="s">
        <v>102</v>
      </c>
      <c r="D14" s="4" t="s">
        <v>103</v>
      </c>
      <c r="E14" s="5" t="s">
        <v>104</v>
      </c>
      <c r="F14" s="4" t="s">
        <v>105</v>
      </c>
      <c r="G14" s="4"/>
      <c r="H14" s="4" t="s">
        <v>106</v>
      </c>
      <c r="I14" s="4" t="s">
        <v>107</v>
      </c>
      <c r="K14" s="4" t="s">
        <v>132</v>
      </c>
      <c r="L14" s="4" t="s">
        <v>133</v>
      </c>
      <c r="M14" s="4" t="s">
        <v>109</v>
      </c>
      <c r="N14" s="9"/>
      <c r="O14" s="9"/>
      <c r="P14" s="11"/>
      <c r="Q14"/>
      <c r="S14"/>
    </row>
    <row r="15" spans="1:19" x14ac:dyDescent="0.2">
      <c r="A15" s="6" t="s">
        <v>110</v>
      </c>
      <c r="B15" s="7">
        <f>K13-$K$8</f>
        <v>-3253.9999999999991</v>
      </c>
      <c r="C15" s="7">
        <f>L13-$L$8</f>
        <v>-3233.3333333333339</v>
      </c>
      <c r="D15" s="7">
        <f>J13/$J$8</f>
        <v>57.747955546236113</v>
      </c>
      <c r="E15" s="7">
        <f>5+8/24+31/(60*24)</f>
        <v>5.3548611111111111</v>
      </c>
      <c r="F15" s="7">
        <f>LOG(D15,2)/E15</f>
        <v>1.0927823981042766</v>
      </c>
      <c r="G15" s="7"/>
      <c r="H15" s="7">
        <f>K13</f>
        <v>6645.666666666667</v>
      </c>
      <c r="I15" s="7">
        <f>H15/1000000000*J13</f>
        <v>3.0503610000000001</v>
      </c>
      <c r="K15" s="8">
        <f>I15*800/1000</f>
        <v>2.4402888000000003</v>
      </c>
      <c r="L15" s="13">
        <f>K15/850</f>
        <v>2.8709280000000005E-3</v>
      </c>
      <c r="M15" s="14">
        <f>0.6/L15</f>
        <v>208.9916570530504</v>
      </c>
      <c r="N15" s="9"/>
      <c r="O15" s="9"/>
      <c r="P15" s="11"/>
    </row>
    <row r="16" spans="1:19" x14ac:dyDescent="0.2">
      <c r="N16" s="9"/>
      <c r="O16" s="9"/>
      <c r="P16" s="11"/>
    </row>
    <row r="17" spans="1:19" x14ac:dyDescent="0.2">
      <c r="A17" t="s">
        <v>22</v>
      </c>
      <c r="B17" t="s">
        <v>56</v>
      </c>
      <c r="C17" t="s">
        <v>124</v>
      </c>
      <c r="D17" t="s">
        <v>100</v>
      </c>
      <c r="E17" s="1">
        <v>44193.01458333333</v>
      </c>
      <c r="F17">
        <v>11024</v>
      </c>
      <c r="G17">
        <v>11263</v>
      </c>
      <c r="H17">
        <v>1978</v>
      </c>
      <c r="I17">
        <v>40408</v>
      </c>
      <c r="J17">
        <v>445700</v>
      </c>
      <c r="K17">
        <v>6684</v>
      </c>
      <c r="L17">
        <v>6168</v>
      </c>
      <c r="M17">
        <v>2651</v>
      </c>
      <c r="N17" s="9">
        <f>J17/$J$8</f>
        <v>56.074648773327745</v>
      </c>
      <c r="O17" s="9">
        <f>E17-$E$2</f>
        <v>5.3701388888875954</v>
      </c>
      <c r="P17" s="11">
        <f>LOG(N17,2)/O17</f>
        <v>1.0817740274554029</v>
      </c>
      <c r="Q17" t="s">
        <v>114</v>
      </c>
      <c r="R17" t="s">
        <v>119</v>
      </c>
      <c r="S17">
        <v>0</v>
      </c>
    </row>
    <row r="18" spans="1:19" x14ac:dyDescent="0.2">
      <c r="A18" t="s">
        <v>23</v>
      </c>
      <c r="B18" t="s">
        <v>56</v>
      </c>
      <c r="C18" t="s">
        <v>125</v>
      </c>
      <c r="D18" t="s">
        <v>100</v>
      </c>
      <c r="E18" s="1">
        <v>44193.015972222223</v>
      </c>
      <c r="F18">
        <v>9954</v>
      </c>
      <c r="G18">
        <v>10144</v>
      </c>
      <c r="H18">
        <v>1978</v>
      </c>
      <c r="I18">
        <v>40408</v>
      </c>
      <c r="J18">
        <v>392000</v>
      </c>
      <c r="K18">
        <v>6909</v>
      </c>
      <c r="L18">
        <v>6355</v>
      </c>
      <c r="M18">
        <v>2837</v>
      </c>
      <c r="N18" s="9">
        <f>J18/$J$8</f>
        <v>49.318515412036071</v>
      </c>
      <c r="O18" s="9">
        <f>E18-$E$2</f>
        <v>5.3715277777810115</v>
      </c>
      <c r="P18" s="11">
        <f>LOG(N18,2)/O18</f>
        <v>1.047012637722976</v>
      </c>
      <c r="Q18" t="s">
        <v>114</v>
      </c>
      <c r="R18" t="s">
        <v>119</v>
      </c>
      <c r="S18">
        <v>0</v>
      </c>
    </row>
    <row r="19" spans="1:19" x14ac:dyDescent="0.2">
      <c r="A19" t="s">
        <v>24</v>
      </c>
      <c r="B19" t="s">
        <v>56</v>
      </c>
      <c r="C19" t="s">
        <v>126</v>
      </c>
      <c r="D19" t="s">
        <v>100</v>
      </c>
      <c r="E19" s="1">
        <v>44193.017361111109</v>
      </c>
      <c r="F19">
        <v>10194</v>
      </c>
      <c r="G19">
        <v>10400</v>
      </c>
      <c r="H19">
        <v>1978</v>
      </c>
      <c r="I19">
        <v>39770</v>
      </c>
      <c r="J19">
        <v>408700</v>
      </c>
      <c r="K19">
        <v>7061</v>
      </c>
      <c r="L19">
        <v>6574</v>
      </c>
      <c r="M19">
        <v>2737</v>
      </c>
      <c r="N19" s="9">
        <f>J19/$J$8</f>
        <v>51.419584818620258</v>
      </c>
      <c r="O19" s="9">
        <f>E19-$E$2</f>
        <v>5.3729166666671517</v>
      </c>
      <c r="P19" s="11">
        <f>LOG(N19,2)/O19</f>
        <v>1.0579442058908366</v>
      </c>
      <c r="Q19" t="s">
        <v>114</v>
      </c>
      <c r="R19" t="s">
        <v>119</v>
      </c>
      <c r="S19">
        <v>0</v>
      </c>
    </row>
    <row r="20" spans="1:19" x14ac:dyDescent="0.2">
      <c r="A20" t="s">
        <v>10</v>
      </c>
      <c r="E20" s="1"/>
      <c r="J20">
        <f>AVERAGE(J17:J19)</f>
        <v>415466.66666666669</v>
      </c>
      <c r="K20">
        <f>AVERAGE(K17:K19)</f>
        <v>6884.666666666667</v>
      </c>
      <c r="L20">
        <f>AVERAGE(L17:L19)</f>
        <v>6365.666666666667</v>
      </c>
      <c r="M20">
        <f>AVERAGE(M17:M19)</f>
        <v>2741.6666666666665</v>
      </c>
      <c r="N20" s="7"/>
      <c r="O20" s="7"/>
      <c r="P20" s="12"/>
    </row>
    <row r="21" spans="1:19" s="3" customFormat="1" ht="32" customHeight="1" x14ac:dyDescent="0.2">
      <c r="A21" s="4"/>
      <c r="B21" s="4" t="s">
        <v>101</v>
      </c>
      <c r="C21" s="4" t="s">
        <v>102</v>
      </c>
      <c r="D21" s="4" t="s">
        <v>103</v>
      </c>
      <c r="E21" s="5" t="s">
        <v>104</v>
      </c>
      <c r="F21" s="4" t="s">
        <v>105</v>
      </c>
      <c r="G21" s="4"/>
      <c r="H21" s="4" t="s">
        <v>106</v>
      </c>
      <c r="I21" s="4" t="s">
        <v>107</v>
      </c>
      <c r="K21" s="4" t="s">
        <v>132</v>
      </c>
      <c r="L21" s="4" t="s">
        <v>133</v>
      </c>
      <c r="M21" s="4" t="s">
        <v>109</v>
      </c>
      <c r="N21"/>
      <c r="O21"/>
      <c r="P21" s="11"/>
      <c r="Q21"/>
      <c r="S21"/>
    </row>
    <row r="22" spans="1:19" x14ac:dyDescent="0.2">
      <c r="A22" s="6" t="s">
        <v>110</v>
      </c>
      <c r="B22" s="7">
        <f>K20-$K$8</f>
        <v>-3014.9999999999991</v>
      </c>
      <c r="C22" s="7">
        <f>L20-$L$8</f>
        <v>-3073.666666666667</v>
      </c>
      <c r="D22" s="7">
        <f>J20/$J$8</f>
        <v>52.270916334661358</v>
      </c>
      <c r="E22" s="7">
        <f>5+8/24+53/(60*24)</f>
        <v>5.3701388888888886</v>
      </c>
      <c r="F22" s="7">
        <f>LOG(D22,2)/E22</f>
        <v>1.0629029646448638</v>
      </c>
      <c r="G22" s="7"/>
      <c r="H22" s="7">
        <f>K20</f>
        <v>6884.666666666667</v>
      </c>
      <c r="I22" s="7">
        <f>H22/1000000000*J20</f>
        <v>2.8603495111111115</v>
      </c>
      <c r="K22" s="8">
        <f>I22*800/1000</f>
        <v>2.2882796088888888</v>
      </c>
      <c r="L22" s="13">
        <f>K22/850</f>
        <v>2.69209365751634E-3</v>
      </c>
      <c r="M22" s="14">
        <f>0.6/L22</f>
        <v>222.87486110477499</v>
      </c>
      <c r="P22" s="11"/>
    </row>
    <row r="23" spans="1:19" x14ac:dyDescent="0.2">
      <c r="P23" s="11"/>
    </row>
    <row r="24" spans="1:19" x14ac:dyDescent="0.2">
      <c r="A24" t="s">
        <v>31</v>
      </c>
      <c r="B24" t="s">
        <v>57</v>
      </c>
      <c r="C24" t="s">
        <v>76</v>
      </c>
      <c r="D24" t="s">
        <v>100</v>
      </c>
      <c r="E24" s="1">
        <v>44193.029166666667</v>
      </c>
      <c r="F24">
        <v>35441</v>
      </c>
      <c r="G24">
        <v>38007</v>
      </c>
      <c r="H24">
        <v>1978</v>
      </c>
      <c r="I24">
        <v>39770</v>
      </c>
      <c r="J24">
        <v>323600</v>
      </c>
      <c r="K24">
        <v>6743</v>
      </c>
      <c r="L24">
        <v>6232</v>
      </c>
      <c r="M24">
        <v>2635</v>
      </c>
      <c r="N24" s="9">
        <f>J24/$J$8</f>
        <v>40.712937722793043</v>
      </c>
      <c r="O24" s="9">
        <f>E24-$E$2</f>
        <v>5.3847222222248092</v>
      </c>
      <c r="P24" s="11">
        <f>LOG(N24,2)/O24</f>
        <v>0.99307173145781025</v>
      </c>
      <c r="Q24" t="s">
        <v>113</v>
      </c>
      <c r="R24" t="s">
        <v>119</v>
      </c>
      <c r="S24">
        <v>1</v>
      </c>
    </row>
    <row r="25" spans="1:19" x14ac:dyDescent="0.2">
      <c r="A25" t="s">
        <v>32</v>
      </c>
      <c r="B25" t="s">
        <v>57</v>
      </c>
      <c r="C25" t="s">
        <v>77</v>
      </c>
      <c r="D25" t="s">
        <v>100</v>
      </c>
      <c r="E25" s="1">
        <v>44193.030555555553</v>
      </c>
      <c r="F25">
        <v>31202</v>
      </c>
      <c r="G25">
        <v>33241</v>
      </c>
      <c r="H25">
        <v>1978</v>
      </c>
      <c r="I25">
        <v>40408</v>
      </c>
      <c r="J25">
        <v>270800</v>
      </c>
      <c r="K25">
        <v>7052</v>
      </c>
      <c r="L25">
        <v>6487</v>
      </c>
      <c r="M25">
        <v>2901</v>
      </c>
      <c r="N25" s="9">
        <f>J25/$J$8</f>
        <v>34.07003564688614</v>
      </c>
      <c r="O25" s="9">
        <f>E25-$E$2</f>
        <v>5.3861111111109494</v>
      </c>
      <c r="P25" s="11">
        <f>LOG(N25,2)/O25</f>
        <v>0.94510333091498289</v>
      </c>
      <c r="Q25" t="s">
        <v>113</v>
      </c>
      <c r="R25" t="s">
        <v>119</v>
      </c>
      <c r="S25">
        <v>1</v>
      </c>
    </row>
    <row r="26" spans="1:19" x14ac:dyDescent="0.2">
      <c r="A26" t="s">
        <v>33</v>
      </c>
      <c r="B26" t="s">
        <v>57</v>
      </c>
      <c r="C26" t="s">
        <v>78</v>
      </c>
      <c r="D26" t="s">
        <v>100</v>
      </c>
      <c r="E26" s="1">
        <v>44193.03125</v>
      </c>
      <c r="F26">
        <v>30353</v>
      </c>
      <c r="G26">
        <v>32292</v>
      </c>
      <c r="H26">
        <v>1978</v>
      </c>
      <c r="I26">
        <v>39770</v>
      </c>
      <c r="J26">
        <v>258500</v>
      </c>
      <c r="K26">
        <v>7302</v>
      </c>
      <c r="L26">
        <v>6767</v>
      </c>
      <c r="M26">
        <v>2890</v>
      </c>
      <c r="N26" s="9">
        <f>J26/$J$8</f>
        <v>32.522541413294192</v>
      </c>
      <c r="O26" s="9">
        <f>E26-$E$2</f>
        <v>5.3868055555576575</v>
      </c>
      <c r="P26" s="11">
        <f>LOG(N26,2)/O26</f>
        <v>0.93253191369303556</v>
      </c>
      <c r="Q26" t="s">
        <v>113</v>
      </c>
      <c r="R26" t="s">
        <v>119</v>
      </c>
      <c r="S26">
        <v>1</v>
      </c>
    </row>
    <row r="27" spans="1:19" x14ac:dyDescent="0.2">
      <c r="A27" t="s">
        <v>10</v>
      </c>
      <c r="E27" s="1"/>
      <c r="J27">
        <f>AVERAGE(J24:J26)</f>
        <v>284300</v>
      </c>
      <c r="K27">
        <f>AVERAGE(K24:K26)</f>
        <v>7032.333333333333</v>
      </c>
      <c r="L27">
        <f>AVERAGE(L24:L26)</f>
        <v>6495.333333333333</v>
      </c>
      <c r="M27">
        <f>AVERAGE(M24:M26)</f>
        <v>2808.6666666666665</v>
      </c>
      <c r="N27" s="9"/>
      <c r="O27" s="9"/>
      <c r="P27" s="11"/>
    </row>
    <row r="28" spans="1:19" s="3" customFormat="1" ht="32" customHeight="1" x14ac:dyDescent="0.2">
      <c r="A28" s="4"/>
      <c r="B28" s="4" t="s">
        <v>101</v>
      </c>
      <c r="C28" s="4" t="s">
        <v>102</v>
      </c>
      <c r="D28" s="4" t="s">
        <v>103</v>
      </c>
      <c r="E28" s="5" t="s">
        <v>104</v>
      </c>
      <c r="F28" s="4" t="s">
        <v>105</v>
      </c>
      <c r="G28" s="4"/>
      <c r="H28" s="4" t="s">
        <v>106</v>
      </c>
      <c r="I28" s="4" t="s">
        <v>107</v>
      </c>
      <c r="K28" s="4" t="s">
        <v>132</v>
      </c>
      <c r="L28" s="4" t="s">
        <v>133</v>
      </c>
      <c r="M28" s="4" t="s">
        <v>109</v>
      </c>
      <c r="N28" s="9"/>
      <c r="O28" s="9"/>
      <c r="P28" s="11"/>
      <c r="Q28"/>
      <c r="S28"/>
    </row>
    <row r="29" spans="1:19" x14ac:dyDescent="0.2">
      <c r="A29" s="6" t="s">
        <v>110</v>
      </c>
      <c r="B29" s="7">
        <f>K27-$K$8</f>
        <v>-2867.333333333333</v>
      </c>
      <c r="C29" s="7">
        <f>L27-$L$8</f>
        <v>-2944.0000000000009</v>
      </c>
      <c r="D29" s="7">
        <f>J27/$J$8</f>
        <v>35.768504927657794</v>
      </c>
      <c r="E29" s="7">
        <f>5+9/24+14/(60*24)</f>
        <v>5.384722222222222</v>
      </c>
      <c r="F29" s="7">
        <f>LOG(D29,2)/E29</f>
        <v>0.95838145384627715</v>
      </c>
      <c r="G29" s="7"/>
      <c r="H29" s="7">
        <f>K27</f>
        <v>7032.333333333333</v>
      </c>
      <c r="I29" s="7">
        <f>H29/1000000000*J27</f>
        <v>1.9992923666666667</v>
      </c>
      <c r="K29" s="8">
        <f>I29*800/1000</f>
        <v>1.5994338933333334</v>
      </c>
      <c r="L29" s="13">
        <f>K29/850</f>
        <v>1.8816869333333334E-3</v>
      </c>
      <c r="M29" s="14">
        <f>0.6/L29</f>
        <v>318.86281897973532</v>
      </c>
      <c r="N29" s="9"/>
      <c r="O29" s="9"/>
      <c r="P29" s="11"/>
    </row>
    <row r="30" spans="1:19" x14ac:dyDescent="0.2">
      <c r="N30" s="7"/>
      <c r="O30" s="7"/>
      <c r="P30" s="12"/>
    </row>
    <row r="31" spans="1:19" x14ac:dyDescent="0.2">
      <c r="A31" t="s">
        <v>34</v>
      </c>
      <c r="B31" t="s">
        <v>57</v>
      </c>
      <c r="C31" t="s">
        <v>79</v>
      </c>
      <c r="D31" t="s">
        <v>100</v>
      </c>
      <c r="E31" s="1">
        <v>44193.046527777777</v>
      </c>
      <c r="F31">
        <v>39816</v>
      </c>
      <c r="G31">
        <v>43124</v>
      </c>
      <c r="H31">
        <v>1978</v>
      </c>
      <c r="I31">
        <v>39770</v>
      </c>
      <c r="J31">
        <v>342100</v>
      </c>
      <c r="K31">
        <v>6770</v>
      </c>
      <c r="L31">
        <v>6193</v>
      </c>
      <c r="M31">
        <v>2806</v>
      </c>
      <c r="N31" s="9">
        <f>J31/$J$8</f>
        <v>43.04046970014678</v>
      </c>
      <c r="O31" s="9">
        <f>E31-$E$2</f>
        <v>5.4020833333343035</v>
      </c>
      <c r="P31" s="11">
        <f>LOG(N31,2)/O31</f>
        <v>1.0047275434442426</v>
      </c>
      <c r="Q31" t="s">
        <v>114</v>
      </c>
      <c r="R31" t="s">
        <v>119</v>
      </c>
      <c r="S31">
        <v>1</v>
      </c>
    </row>
    <row r="32" spans="1:19" x14ac:dyDescent="0.2">
      <c r="A32" t="s">
        <v>35</v>
      </c>
      <c r="B32" t="s">
        <v>57</v>
      </c>
      <c r="C32" t="s">
        <v>80</v>
      </c>
      <c r="D32" t="s">
        <v>100</v>
      </c>
      <c r="E32" s="1">
        <v>44193.04791666667</v>
      </c>
      <c r="F32">
        <v>32006</v>
      </c>
      <c r="G32">
        <v>34163</v>
      </c>
      <c r="H32">
        <v>1978</v>
      </c>
      <c r="I32">
        <v>40408</v>
      </c>
      <c r="J32">
        <v>267000</v>
      </c>
      <c r="K32">
        <v>7249</v>
      </c>
      <c r="L32">
        <v>6672</v>
      </c>
      <c r="M32">
        <v>3017</v>
      </c>
      <c r="N32" s="9">
        <f>J32/$J$8</f>
        <v>33.59194799748375</v>
      </c>
      <c r="O32" s="9">
        <f>E32-$E$2</f>
        <v>5.4034722222277196</v>
      </c>
      <c r="P32" s="11">
        <f>LOG(N32,2)/O32</f>
        <v>0.93829362792556792</v>
      </c>
      <c r="Q32" t="s">
        <v>114</v>
      </c>
      <c r="R32" t="s">
        <v>119</v>
      </c>
      <c r="S32">
        <v>1</v>
      </c>
    </row>
    <row r="33" spans="1:19" x14ac:dyDescent="0.2">
      <c r="A33" t="s">
        <v>36</v>
      </c>
      <c r="B33" t="s">
        <v>57</v>
      </c>
      <c r="C33" t="s">
        <v>81</v>
      </c>
      <c r="D33" t="s">
        <v>100</v>
      </c>
      <c r="E33" s="1">
        <v>44193.048611111109</v>
      </c>
      <c r="F33">
        <v>35168</v>
      </c>
      <c r="G33">
        <v>37766</v>
      </c>
      <c r="H33">
        <v>1978</v>
      </c>
      <c r="I33">
        <v>39770</v>
      </c>
      <c r="J33">
        <v>295900</v>
      </c>
      <c r="K33">
        <v>7431</v>
      </c>
      <c r="L33">
        <v>6848</v>
      </c>
      <c r="M33">
        <v>3017</v>
      </c>
      <c r="N33" s="9">
        <f>J33/$J$8</f>
        <v>37.22793038372825</v>
      </c>
      <c r="O33" s="9">
        <f>E33-$E$2</f>
        <v>5.4041666666671517</v>
      </c>
      <c r="P33" s="11">
        <f>LOG(N33,2)/O33</f>
        <v>0.96560928470148599</v>
      </c>
      <c r="Q33" t="s">
        <v>114</v>
      </c>
      <c r="R33" t="s">
        <v>119</v>
      </c>
      <c r="S33">
        <v>1</v>
      </c>
    </row>
    <row r="34" spans="1:19" x14ac:dyDescent="0.2">
      <c r="A34" t="s">
        <v>10</v>
      </c>
      <c r="E34" s="1"/>
      <c r="J34">
        <f>AVERAGE(J31:J33)</f>
        <v>301666.66666666669</v>
      </c>
      <c r="K34">
        <f>AVERAGE(K31:K33)</f>
        <v>7150</v>
      </c>
      <c r="L34">
        <f>AVERAGE(L31:L33)</f>
        <v>6571</v>
      </c>
      <c r="M34">
        <f>AVERAGE(M31:M33)</f>
        <v>2946.6666666666665</v>
      </c>
      <c r="N34" s="9"/>
      <c r="O34" s="9"/>
      <c r="P34" s="11"/>
    </row>
    <row r="35" spans="1:19" s="3" customFormat="1" ht="32" customHeight="1" x14ac:dyDescent="0.2">
      <c r="A35" s="4"/>
      <c r="B35" s="4" t="s">
        <v>101</v>
      </c>
      <c r="C35" s="4" t="s">
        <v>102</v>
      </c>
      <c r="D35" s="4" t="s">
        <v>103</v>
      </c>
      <c r="E35" s="5" t="s">
        <v>104</v>
      </c>
      <c r="F35" s="4" t="s">
        <v>105</v>
      </c>
      <c r="G35" s="4"/>
      <c r="H35" s="4" t="s">
        <v>106</v>
      </c>
      <c r="I35" s="4" t="s">
        <v>107</v>
      </c>
      <c r="K35" s="4" t="s">
        <v>132</v>
      </c>
      <c r="L35" s="4" t="s">
        <v>133</v>
      </c>
      <c r="M35" s="4" t="s">
        <v>109</v>
      </c>
      <c r="N35" s="9"/>
      <c r="O35" s="9"/>
      <c r="P35" s="11"/>
      <c r="Q35"/>
      <c r="S35"/>
    </row>
    <row r="36" spans="1:19" x14ac:dyDescent="0.2">
      <c r="A36" s="6" t="s">
        <v>110</v>
      </c>
      <c r="B36" s="7">
        <f>K34-$K$8</f>
        <v>-2749.6666666666661</v>
      </c>
      <c r="C36" s="7">
        <f>L34-$L$8</f>
        <v>-2868.3333333333339</v>
      </c>
      <c r="D36" s="7">
        <f>J34/$J$8</f>
        <v>37.953449360452929</v>
      </c>
      <c r="E36" s="7">
        <f>5+9/24+39/(60*24)</f>
        <v>5.4020833333333336</v>
      </c>
      <c r="F36" s="7">
        <f>LOG(D36,2)/E36</f>
        <v>0.97113627847606976</v>
      </c>
      <c r="G36" s="7"/>
      <c r="H36" s="7">
        <f>K34</f>
        <v>7150</v>
      </c>
      <c r="I36" s="7">
        <f>H36/1000000000*J34</f>
        <v>2.156916666666667</v>
      </c>
      <c r="K36" s="8">
        <f>I36*800/1000</f>
        <v>1.7255333333333336</v>
      </c>
      <c r="L36" s="13">
        <f>K36/850</f>
        <v>2.0300392156862748E-3</v>
      </c>
      <c r="M36" s="14">
        <f>0.6/L36</f>
        <v>295.56079279836183</v>
      </c>
      <c r="N36" s="9"/>
      <c r="O36" s="9"/>
      <c r="P36" s="11"/>
    </row>
    <row r="37" spans="1:19" x14ac:dyDescent="0.2">
      <c r="N37" s="9"/>
      <c r="O37" s="9"/>
      <c r="P37" s="11"/>
    </row>
    <row r="38" spans="1:19" x14ac:dyDescent="0.2">
      <c r="A38" t="s">
        <v>37</v>
      </c>
      <c r="B38" t="s">
        <v>57</v>
      </c>
      <c r="C38" t="s">
        <v>82</v>
      </c>
      <c r="D38" t="s">
        <v>100</v>
      </c>
      <c r="E38" s="1">
        <v>44196.793055555558</v>
      </c>
      <c r="F38">
        <v>12883</v>
      </c>
      <c r="G38">
        <v>13189</v>
      </c>
      <c r="H38">
        <v>1978</v>
      </c>
      <c r="I38">
        <v>40408</v>
      </c>
      <c r="J38">
        <v>552800</v>
      </c>
      <c r="K38">
        <v>6573</v>
      </c>
      <c r="L38">
        <v>5778</v>
      </c>
      <c r="M38">
        <v>3486</v>
      </c>
      <c r="N38" s="9">
        <f>J38/$J$8</f>
        <v>69.549171734116172</v>
      </c>
      <c r="O38" s="9">
        <f>E38-$E$2</f>
        <v>9.148611111115315</v>
      </c>
      <c r="P38" s="11">
        <f>LOG(N38,2)/O38</f>
        <v>0.66894978421006801</v>
      </c>
      <c r="Q38" t="s">
        <v>113</v>
      </c>
      <c r="R38" t="s">
        <v>119</v>
      </c>
      <c r="S38">
        <v>2</v>
      </c>
    </row>
    <row r="39" spans="1:19" x14ac:dyDescent="0.2">
      <c r="A39" t="s">
        <v>38</v>
      </c>
      <c r="B39" t="s">
        <v>57</v>
      </c>
      <c r="C39" t="s">
        <v>83</v>
      </c>
      <c r="D39" t="s">
        <v>100</v>
      </c>
      <c r="E39" s="1">
        <v>44196.793749999997</v>
      </c>
      <c r="F39">
        <v>10960</v>
      </c>
      <c r="G39">
        <v>11193</v>
      </c>
      <c r="H39">
        <v>1930</v>
      </c>
      <c r="I39">
        <v>39907</v>
      </c>
      <c r="J39">
        <v>452700</v>
      </c>
      <c r="K39">
        <v>6790</v>
      </c>
      <c r="L39">
        <v>6026</v>
      </c>
      <c r="M39">
        <v>3492</v>
      </c>
      <c r="N39" s="9">
        <f>J39/$J$8</f>
        <v>56.955336548542675</v>
      </c>
      <c r="O39" s="9">
        <f>E39-$E$2</f>
        <v>9.1493055555547471</v>
      </c>
      <c r="P39" s="11">
        <f>LOG(N39,2)/O39</f>
        <v>0.63739909920501125</v>
      </c>
      <c r="Q39" t="s">
        <v>113</v>
      </c>
      <c r="R39" t="s">
        <v>119</v>
      </c>
      <c r="S39">
        <v>2</v>
      </c>
    </row>
    <row r="40" spans="1:19" x14ac:dyDescent="0.2">
      <c r="A40" t="s">
        <v>39</v>
      </c>
      <c r="B40" t="s">
        <v>57</v>
      </c>
      <c r="C40" t="s">
        <v>84</v>
      </c>
      <c r="D40" t="s">
        <v>100</v>
      </c>
      <c r="E40" s="1">
        <v>44196.795138888891</v>
      </c>
      <c r="F40">
        <v>9366</v>
      </c>
      <c r="G40">
        <v>9544</v>
      </c>
      <c r="H40">
        <v>1930</v>
      </c>
      <c r="I40">
        <v>39907</v>
      </c>
      <c r="J40">
        <v>379300</v>
      </c>
      <c r="K40">
        <v>7461</v>
      </c>
      <c r="L40">
        <v>6548</v>
      </c>
      <c r="M40">
        <v>3857</v>
      </c>
      <c r="N40" s="9">
        <f>J40/$J$8</f>
        <v>47.720696162717552</v>
      </c>
      <c r="O40" s="9">
        <f>E40-$E$2</f>
        <v>9.1506944444481633</v>
      </c>
      <c r="P40" s="11">
        <f>LOG(N40,2)/O40</f>
        <v>0.6094120198595151</v>
      </c>
      <c r="Q40" t="s">
        <v>113</v>
      </c>
      <c r="R40" t="s">
        <v>119</v>
      </c>
      <c r="S40">
        <v>2</v>
      </c>
    </row>
    <row r="41" spans="1:19" x14ac:dyDescent="0.2">
      <c r="A41" t="s">
        <v>10</v>
      </c>
      <c r="E41" s="1"/>
      <c r="J41">
        <f>AVERAGE(J38:J40)</f>
        <v>461600</v>
      </c>
      <c r="K41">
        <f>AVERAGE(K38:K40)</f>
        <v>6941.333333333333</v>
      </c>
      <c r="L41">
        <f>AVERAGE(L38:L40)</f>
        <v>6117.333333333333</v>
      </c>
      <c r="M41">
        <f>AVERAGE(M38:M40)</f>
        <v>3611.6666666666665</v>
      </c>
      <c r="P41" s="11"/>
    </row>
    <row r="42" spans="1:19" s="3" customFormat="1" ht="32" customHeight="1" x14ac:dyDescent="0.2">
      <c r="A42" s="4"/>
      <c r="B42" s="4" t="s">
        <v>101</v>
      </c>
      <c r="C42" s="4" t="s">
        <v>102</v>
      </c>
      <c r="D42" s="4" t="s">
        <v>103</v>
      </c>
      <c r="E42" s="5" t="s">
        <v>104</v>
      </c>
      <c r="F42" s="4" t="s">
        <v>105</v>
      </c>
      <c r="G42" s="4"/>
      <c r="H42" s="4" t="s">
        <v>106</v>
      </c>
      <c r="I42" s="4" t="s">
        <v>107</v>
      </c>
      <c r="K42" s="4" t="s">
        <v>132</v>
      </c>
      <c r="L42" s="4" t="s">
        <v>133</v>
      </c>
      <c r="M42" s="4" t="s">
        <v>109</v>
      </c>
      <c r="N42"/>
      <c r="O42"/>
      <c r="P42" s="11"/>
      <c r="Q42"/>
      <c r="S42"/>
    </row>
    <row r="43" spans="1:19" x14ac:dyDescent="0.2">
      <c r="A43" s="6" t="s">
        <v>110</v>
      </c>
      <c r="B43" s="7">
        <f>K41-$K$8</f>
        <v>-2958.333333333333</v>
      </c>
      <c r="C43" s="7">
        <f>L41-$L$8</f>
        <v>-3322.0000000000009</v>
      </c>
      <c r="D43" s="7">
        <f>J41/$J$8</f>
        <v>58.075068148458797</v>
      </c>
      <c r="E43" s="7">
        <f>9+3/24+34/(60*24)</f>
        <v>9.1486111111111104</v>
      </c>
      <c r="F43" s="7">
        <f>LOG(D43,2)/E43</f>
        <v>0.64051766609062455</v>
      </c>
      <c r="G43" s="7"/>
      <c r="H43" s="7">
        <f>K41</f>
        <v>6941.333333333333</v>
      </c>
      <c r="I43" s="7">
        <f>H43/1000000000*J41</f>
        <v>3.2041194666666666</v>
      </c>
      <c r="K43" s="8">
        <f>I43*800/1000</f>
        <v>2.5632955733333334</v>
      </c>
      <c r="L43" s="13">
        <f>K43/850</f>
        <v>3.0156418509803924E-3</v>
      </c>
      <c r="M43" s="14">
        <f>0.6/L43</f>
        <v>198.96261878874594</v>
      </c>
      <c r="P43" s="11"/>
    </row>
    <row r="44" spans="1:19" x14ac:dyDescent="0.2">
      <c r="N44" s="9"/>
      <c r="O44" s="9"/>
      <c r="P44" s="11"/>
    </row>
    <row r="45" spans="1:19" x14ac:dyDescent="0.2">
      <c r="A45" t="s">
        <v>40</v>
      </c>
      <c r="B45" t="s">
        <v>57</v>
      </c>
      <c r="C45" t="s">
        <v>85</v>
      </c>
      <c r="D45" t="s">
        <v>100</v>
      </c>
      <c r="E45" s="1">
        <v>44196.806944444441</v>
      </c>
      <c r="F45">
        <v>29415</v>
      </c>
      <c r="G45">
        <v>31017</v>
      </c>
      <c r="H45">
        <v>1828</v>
      </c>
      <c r="I45">
        <v>39907</v>
      </c>
      <c r="J45">
        <v>1294000</v>
      </c>
      <c r="K45">
        <v>5614</v>
      </c>
      <c r="L45">
        <v>5128</v>
      </c>
      <c r="M45">
        <v>2325</v>
      </c>
      <c r="N45" s="9">
        <f>J45/$J$8</f>
        <v>162.8014258754456</v>
      </c>
      <c r="O45" s="9">
        <f>E45-$E$2</f>
        <v>9.1624999999985448</v>
      </c>
      <c r="P45" s="11">
        <f>LOG(N45,2)/O45</f>
        <v>0.80185206276618803</v>
      </c>
      <c r="Q45" t="s">
        <v>114</v>
      </c>
      <c r="R45" t="s">
        <v>119</v>
      </c>
      <c r="S45">
        <v>2</v>
      </c>
    </row>
    <row r="46" spans="1:19" x14ac:dyDescent="0.2">
      <c r="A46" t="s">
        <v>41</v>
      </c>
      <c r="B46" t="s">
        <v>57</v>
      </c>
      <c r="C46" t="s">
        <v>86</v>
      </c>
      <c r="D46" t="s">
        <v>100</v>
      </c>
      <c r="E46" s="1">
        <v>44196.808333333327</v>
      </c>
      <c r="F46">
        <v>26877</v>
      </c>
      <c r="G46">
        <v>28248</v>
      </c>
      <c r="H46">
        <v>1930</v>
      </c>
      <c r="I46">
        <v>40688</v>
      </c>
      <c r="J46">
        <v>1168000</v>
      </c>
      <c r="K46">
        <v>5883</v>
      </c>
      <c r="L46">
        <v>5366</v>
      </c>
      <c r="M46">
        <v>2488</v>
      </c>
      <c r="N46" s="9">
        <f>J46/$J$8</f>
        <v>146.94904592157687</v>
      </c>
      <c r="O46" s="9">
        <f>E46-$E$2</f>
        <v>9.163888888884685</v>
      </c>
      <c r="P46" s="11">
        <f>LOG(N46,2)/O46</f>
        <v>0.78560229933753978</v>
      </c>
      <c r="Q46" t="s">
        <v>114</v>
      </c>
      <c r="R46" t="s">
        <v>119</v>
      </c>
      <c r="S46">
        <v>2</v>
      </c>
    </row>
    <row r="47" spans="1:19" x14ac:dyDescent="0.2">
      <c r="A47" t="s">
        <v>42</v>
      </c>
      <c r="B47" t="s">
        <v>57</v>
      </c>
      <c r="C47" t="s">
        <v>87</v>
      </c>
      <c r="D47" t="s">
        <v>100</v>
      </c>
      <c r="E47" s="1">
        <v>44196.80972222222</v>
      </c>
      <c r="F47">
        <v>25780</v>
      </c>
      <c r="G47">
        <v>27066</v>
      </c>
      <c r="H47">
        <v>1930</v>
      </c>
      <c r="I47">
        <v>39907</v>
      </c>
      <c r="J47">
        <v>1114000</v>
      </c>
      <c r="K47">
        <v>6135</v>
      </c>
      <c r="L47">
        <v>5586</v>
      </c>
      <c r="M47">
        <v>2625</v>
      </c>
      <c r="N47" s="9">
        <f>J47/$J$8</f>
        <v>140.15516879849025</v>
      </c>
      <c r="O47" s="9">
        <f>E47-$E$2</f>
        <v>9.1652777777781012</v>
      </c>
      <c r="P47" s="11">
        <f>LOG(N47,2)/O47</f>
        <v>0.77803218989509604</v>
      </c>
      <c r="Q47" t="s">
        <v>114</v>
      </c>
      <c r="R47" t="s">
        <v>119</v>
      </c>
      <c r="S47">
        <v>2</v>
      </c>
    </row>
    <row r="48" spans="1:19" x14ac:dyDescent="0.2">
      <c r="A48" t="s">
        <v>10</v>
      </c>
      <c r="E48" s="1"/>
      <c r="J48">
        <f>AVERAGE(J45:J47)</f>
        <v>1192000</v>
      </c>
      <c r="K48">
        <f>AVERAGE(K45:K47)</f>
        <v>5877.333333333333</v>
      </c>
      <c r="L48">
        <f>AVERAGE(L45:L47)</f>
        <v>5360</v>
      </c>
      <c r="M48">
        <f>AVERAGE(M45:M47)</f>
        <v>2479.3333333333335</v>
      </c>
      <c r="N48" s="9"/>
      <c r="O48" s="9"/>
      <c r="P48" s="11"/>
    </row>
    <row r="49" spans="1:19" s="3" customFormat="1" ht="32" customHeight="1" x14ac:dyDescent="0.2">
      <c r="A49" s="4"/>
      <c r="B49" s="4" t="s">
        <v>101</v>
      </c>
      <c r="C49" s="4" t="s">
        <v>102</v>
      </c>
      <c r="D49" s="4" t="s">
        <v>103</v>
      </c>
      <c r="E49" s="5" t="s">
        <v>104</v>
      </c>
      <c r="F49" s="4" t="s">
        <v>105</v>
      </c>
      <c r="G49" s="4"/>
      <c r="H49" s="4" t="s">
        <v>106</v>
      </c>
      <c r="I49" s="4" t="s">
        <v>107</v>
      </c>
      <c r="K49" s="4" t="s">
        <v>132</v>
      </c>
      <c r="L49" s="4" t="s">
        <v>133</v>
      </c>
      <c r="M49" s="4" t="s">
        <v>109</v>
      </c>
      <c r="N49" s="9"/>
      <c r="O49" s="9"/>
      <c r="P49" s="11"/>
      <c r="Q49"/>
      <c r="S49"/>
    </row>
    <row r="50" spans="1:19" x14ac:dyDescent="0.2">
      <c r="A50" s="6" t="s">
        <v>110</v>
      </c>
      <c r="B50" s="7">
        <f>K48-$K$8</f>
        <v>-4022.333333333333</v>
      </c>
      <c r="C50" s="7">
        <f>L48-$L$8</f>
        <v>-4079.3333333333339</v>
      </c>
      <c r="D50" s="7">
        <f>J48/$J$8</f>
        <v>149.96854686517091</v>
      </c>
      <c r="E50" s="7">
        <f>9+3/24+54/(60*24)</f>
        <v>9.1624999999999996</v>
      </c>
      <c r="F50" s="7">
        <f>LOG(D50,2)/E50</f>
        <v>0.78892399929753732</v>
      </c>
      <c r="G50" s="7"/>
      <c r="H50" s="7">
        <f>K48</f>
        <v>5877.333333333333</v>
      </c>
      <c r="I50" s="7">
        <f>H50/1000000000*J48</f>
        <v>7.0057813333333332</v>
      </c>
      <c r="K50" s="8">
        <f>I50*800/1000</f>
        <v>5.6046250666666664</v>
      </c>
      <c r="L50" s="13">
        <f>K50/850</f>
        <v>6.5936765490196073E-3</v>
      </c>
      <c r="M50" s="14">
        <f>0.6/L50</f>
        <v>90.9962743151561</v>
      </c>
      <c r="N50" s="7"/>
      <c r="O50" s="7"/>
      <c r="P50" s="12"/>
    </row>
    <row r="51" spans="1:19" x14ac:dyDescent="0.2">
      <c r="P51" s="11"/>
    </row>
    <row r="52" spans="1:19" x14ac:dyDescent="0.2">
      <c r="A52" t="s">
        <v>43</v>
      </c>
      <c r="B52" t="s">
        <v>57</v>
      </c>
      <c r="C52" t="s">
        <v>88</v>
      </c>
      <c r="D52" t="s">
        <v>100</v>
      </c>
      <c r="E52" s="1">
        <v>44210.838194444441</v>
      </c>
      <c r="F52">
        <v>12344</v>
      </c>
      <c r="G52">
        <v>12607</v>
      </c>
      <c r="H52">
        <v>1732</v>
      </c>
      <c r="I52">
        <v>39770</v>
      </c>
      <c r="J52">
        <v>469000</v>
      </c>
      <c r="K52">
        <v>6904</v>
      </c>
      <c r="L52">
        <v>6087</v>
      </c>
      <c r="M52">
        <v>3837</v>
      </c>
      <c r="N52" s="9">
        <f>J52/$J$8</f>
        <v>59.006080939400299</v>
      </c>
      <c r="O52" s="9">
        <f>E52-$E$2</f>
        <v>23.193749999998545</v>
      </c>
      <c r="P52" s="11">
        <f>LOG(N52,2)/O52</f>
        <v>0.25363693821039157</v>
      </c>
      <c r="Q52" t="s">
        <v>113</v>
      </c>
      <c r="R52" t="s">
        <v>119</v>
      </c>
      <c r="S52">
        <v>4</v>
      </c>
    </row>
    <row r="53" spans="1:19" x14ac:dyDescent="0.2">
      <c r="A53" t="s">
        <v>44</v>
      </c>
      <c r="B53" t="s">
        <v>57</v>
      </c>
      <c r="C53" t="s">
        <v>89</v>
      </c>
      <c r="D53" t="s">
        <v>100</v>
      </c>
      <c r="E53" s="1">
        <v>44210.839583333327</v>
      </c>
      <c r="F53">
        <v>12594</v>
      </c>
      <c r="G53">
        <v>12885</v>
      </c>
      <c r="H53">
        <v>1655</v>
      </c>
      <c r="I53">
        <v>40408</v>
      </c>
      <c r="J53">
        <v>489000</v>
      </c>
      <c r="K53">
        <v>6969</v>
      </c>
      <c r="L53">
        <v>6140</v>
      </c>
      <c r="M53">
        <v>3909</v>
      </c>
      <c r="N53" s="9">
        <f>J53/$J$8</f>
        <v>61.522331725728669</v>
      </c>
      <c r="O53" s="9">
        <f>E53-$E$2</f>
        <v>23.195138888884685</v>
      </c>
      <c r="P53" s="11">
        <f>LOG(N53,2)/O53</f>
        <v>0.25621912878054437</v>
      </c>
      <c r="Q53" t="s">
        <v>113</v>
      </c>
      <c r="R53" t="s">
        <v>119</v>
      </c>
      <c r="S53">
        <v>4</v>
      </c>
    </row>
    <row r="54" spans="1:19" x14ac:dyDescent="0.2">
      <c r="A54" t="s">
        <v>45</v>
      </c>
      <c r="B54" t="s">
        <v>57</v>
      </c>
      <c r="C54" t="s">
        <v>90</v>
      </c>
      <c r="D54" t="s">
        <v>100</v>
      </c>
      <c r="E54" s="1">
        <v>44210.840277777781</v>
      </c>
      <c r="F54">
        <v>11399</v>
      </c>
      <c r="G54">
        <v>11647</v>
      </c>
      <c r="H54">
        <v>1978</v>
      </c>
      <c r="I54">
        <v>40408</v>
      </c>
      <c r="J54">
        <v>433300</v>
      </c>
      <c r="K54">
        <v>7348</v>
      </c>
      <c r="L54">
        <v>6446</v>
      </c>
      <c r="M54">
        <v>4030</v>
      </c>
      <c r="N54" s="9">
        <f>J54/$J$8</f>
        <v>54.514573285804154</v>
      </c>
      <c r="O54" s="9">
        <f>E54-$E$2</f>
        <v>23.195833333338669</v>
      </c>
      <c r="P54" s="11">
        <f>LOG(N54,2)/O54</f>
        <v>0.2486899248924607</v>
      </c>
      <c r="Q54" t="s">
        <v>113</v>
      </c>
      <c r="R54" t="s">
        <v>119</v>
      </c>
      <c r="S54">
        <v>4</v>
      </c>
    </row>
    <row r="55" spans="1:19" x14ac:dyDescent="0.2">
      <c r="A55" t="s">
        <v>10</v>
      </c>
      <c r="E55" s="1"/>
      <c r="J55">
        <f>AVERAGE(J52:J54)</f>
        <v>463766.66666666669</v>
      </c>
      <c r="K55">
        <f>AVERAGE(K52:K54)</f>
        <v>7073.666666666667</v>
      </c>
      <c r="L55">
        <f>AVERAGE(L52:L54)</f>
        <v>6224.333333333333</v>
      </c>
      <c r="M55">
        <f>AVERAGE(M52:M54)</f>
        <v>3925.3333333333335</v>
      </c>
      <c r="N55" s="9"/>
      <c r="O55" s="9"/>
      <c r="P55" s="11"/>
    </row>
    <row r="56" spans="1:19" s="3" customFormat="1" ht="32" customHeight="1" x14ac:dyDescent="0.2">
      <c r="A56" s="4"/>
      <c r="B56" s="4" t="s">
        <v>101</v>
      </c>
      <c r="C56" s="4" t="s">
        <v>102</v>
      </c>
      <c r="D56" s="4" t="s">
        <v>103</v>
      </c>
      <c r="E56" s="5" t="s">
        <v>104</v>
      </c>
      <c r="F56" s="4" t="s">
        <v>105</v>
      </c>
      <c r="G56" s="4"/>
      <c r="H56" s="4" t="s">
        <v>106</v>
      </c>
      <c r="I56" s="4" t="s">
        <v>107</v>
      </c>
      <c r="K56" s="4" t="s">
        <v>132</v>
      </c>
      <c r="L56" s="4" t="s">
        <v>133</v>
      </c>
      <c r="M56" s="4" t="s">
        <v>109</v>
      </c>
      <c r="N56" s="9"/>
      <c r="O56" s="9"/>
      <c r="P56" s="11"/>
      <c r="Q56"/>
      <c r="S56"/>
    </row>
    <row r="57" spans="1:19" x14ac:dyDescent="0.2">
      <c r="A57" s="6" t="s">
        <v>110</v>
      </c>
      <c r="B57" s="7">
        <f>K55-$K$8</f>
        <v>-2825.9999999999991</v>
      </c>
      <c r="C57" s="7">
        <f>L55-$L$8</f>
        <v>-3215.0000000000009</v>
      </c>
      <c r="D57" s="7">
        <f>J55/$J$8</f>
        <v>58.347661983644372</v>
      </c>
      <c r="E57" s="7">
        <f>23+4/24+39/(24*60)</f>
        <v>23.193750000000001</v>
      </c>
      <c r="F57" s="7">
        <f>LOG(D57,2)/E57</f>
        <v>0.25293895737241257</v>
      </c>
      <c r="G57" s="7"/>
      <c r="H57" s="7">
        <f>K55</f>
        <v>7073.666666666667</v>
      </c>
      <c r="I57" s="7">
        <f>H57/1000000000*J55</f>
        <v>3.2805308111111113</v>
      </c>
      <c r="K57" s="8">
        <f>I57*800/1000</f>
        <v>2.6244246488888887</v>
      </c>
      <c r="L57" s="13">
        <f>K57/850</f>
        <v>3.0875584104575163E-3</v>
      </c>
      <c r="M57" s="14">
        <f>0.6/L57</f>
        <v>194.32830743146707</v>
      </c>
      <c r="N57" s="9"/>
      <c r="O57" s="9"/>
      <c r="P57" s="11"/>
    </row>
    <row r="58" spans="1:19" x14ac:dyDescent="0.2">
      <c r="N58" s="9"/>
      <c r="O58" s="9"/>
      <c r="P58" s="11"/>
    </row>
    <row r="59" spans="1:19" x14ac:dyDescent="0.2">
      <c r="A59" t="s">
        <v>46</v>
      </c>
      <c r="B59" t="s">
        <v>57</v>
      </c>
      <c r="C59" t="s">
        <v>91</v>
      </c>
      <c r="D59" t="s">
        <v>100</v>
      </c>
      <c r="E59" s="1">
        <v>44196.821527777778</v>
      </c>
      <c r="F59">
        <v>39810</v>
      </c>
      <c r="G59">
        <v>43193</v>
      </c>
      <c r="H59">
        <v>1930</v>
      </c>
      <c r="I59">
        <v>40688</v>
      </c>
      <c r="J59">
        <v>356400</v>
      </c>
      <c r="K59">
        <v>7107</v>
      </c>
      <c r="L59">
        <v>6276</v>
      </c>
      <c r="M59">
        <v>3578</v>
      </c>
      <c r="N59" s="9">
        <f>J59/$J$8</f>
        <v>44.839589012371569</v>
      </c>
      <c r="O59" s="9">
        <f>E59-$E$2</f>
        <v>9.1770833333357587</v>
      </c>
      <c r="P59" s="11">
        <f>LOG(N59,2)/O59</f>
        <v>0.59786981881330847</v>
      </c>
      <c r="Q59" t="s">
        <v>114</v>
      </c>
      <c r="R59" t="s">
        <v>119</v>
      </c>
      <c r="S59">
        <v>4</v>
      </c>
    </row>
    <row r="60" spans="1:19" x14ac:dyDescent="0.2">
      <c r="A60" t="s">
        <v>47</v>
      </c>
      <c r="B60" t="s">
        <v>57</v>
      </c>
      <c r="C60" t="s">
        <v>92</v>
      </c>
      <c r="D60" t="s">
        <v>100</v>
      </c>
      <c r="E60" s="1">
        <v>44196.822916666657</v>
      </c>
      <c r="F60">
        <v>40367</v>
      </c>
      <c r="G60">
        <v>43890</v>
      </c>
      <c r="H60">
        <v>1930</v>
      </c>
      <c r="I60">
        <v>39907</v>
      </c>
      <c r="J60">
        <v>356800</v>
      </c>
      <c r="K60">
        <v>7344</v>
      </c>
      <c r="L60">
        <v>6461</v>
      </c>
      <c r="M60">
        <v>3771</v>
      </c>
      <c r="N60" s="9">
        <f>J60/$J$8</f>
        <v>44.889914028098133</v>
      </c>
      <c r="O60" s="9">
        <f>E60-$E$2</f>
        <v>9.1784722222146229</v>
      </c>
      <c r="P60" s="11">
        <f>LOG(N60,2)/O60</f>
        <v>0.59795566138459355</v>
      </c>
      <c r="Q60" t="s">
        <v>114</v>
      </c>
      <c r="R60" t="s">
        <v>119</v>
      </c>
      <c r="S60">
        <v>4</v>
      </c>
    </row>
    <row r="61" spans="1:19" x14ac:dyDescent="0.2">
      <c r="A61" t="s">
        <v>48</v>
      </c>
      <c r="B61" t="s">
        <v>57</v>
      </c>
      <c r="C61" t="s">
        <v>93</v>
      </c>
      <c r="D61" t="s">
        <v>100</v>
      </c>
      <c r="E61" s="1">
        <v>44196.824305555558</v>
      </c>
      <c r="F61">
        <v>37902</v>
      </c>
      <c r="G61">
        <v>40998</v>
      </c>
      <c r="H61">
        <v>2034</v>
      </c>
      <c r="I61">
        <v>39907</v>
      </c>
      <c r="J61">
        <v>322400</v>
      </c>
      <c r="K61">
        <v>7651</v>
      </c>
      <c r="L61">
        <v>6773</v>
      </c>
      <c r="M61">
        <v>3846</v>
      </c>
      <c r="N61" s="9">
        <f>J61/$J$8</f>
        <v>40.561962675613337</v>
      </c>
      <c r="O61" s="9">
        <f>E61-$E$2</f>
        <v>9.179861111115315</v>
      </c>
      <c r="P61" s="11">
        <f>LOG(N61,2)/O61</f>
        <v>0.58193206760762106</v>
      </c>
      <c r="Q61" t="s">
        <v>114</v>
      </c>
      <c r="R61" t="s">
        <v>119</v>
      </c>
      <c r="S61">
        <v>4</v>
      </c>
    </row>
    <row r="62" spans="1:19" x14ac:dyDescent="0.2">
      <c r="A62" t="s">
        <v>10</v>
      </c>
      <c r="E62" s="1"/>
      <c r="J62">
        <f>AVERAGE(J59:J61)</f>
        <v>345200</v>
      </c>
      <c r="K62">
        <f>AVERAGE(K59:K61)</f>
        <v>7367.333333333333</v>
      </c>
      <c r="L62">
        <f>AVERAGE(L59:L61)</f>
        <v>6503.333333333333</v>
      </c>
      <c r="M62">
        <f>AVERAGE(M59:M61)</f>
        <v>3731.6666666666665</v>
      </c>
      <c r="P62" s="11"/>
    </row>
    <row r="63" spans="1:19" s="3" customFormat="1" ht="32" customHeight="1" x14ac:dyDescent="0.2">
      <c r="A63" s="4"/>
      <c r="B63" s="4" t="s">
        <v>101</v>
      </c>
      <c r="C63" s="4" t="s">
        <v>102</v>
      </c>
      <c r="D63" s="4" t="s">
        <v>103</v>
      </c>
      <c r="E63" s="5" t="s">
        <v>104</v>
      </c>
      <c r="F63" s="4" t="s">
        <v>105</v>
      </c>
      <c r="G63" s="4"/>
      <c r="H63" s="4" t="s">
        <v>106</v>
      </c>
      <c r="I63" s="4" t="s">
        <v>107</v>
      </c>
      <c r="K63" s="4" t="s">
        <v>132</v>
      </c>
      <c r="L63" s="4" t="s">
        <v>133</v>
      </c>
      <c r="M63" s="4" t="s">
        <v>109</v>
      </c>
      <c r="N63"/>
      <c r="O63"/>
      <c r="P63" s="11"/>
      <c r="Q63"/>
      <c r="S63"/>
    </row>
    <row r="64" spans="1:19" x14ac:dyDescent="0.2">
      <c r="A64" s="6" t="s">
        <v>110</v>
      </c>
      <c r="B64" s="7">
        <f>K62-$K$8</f>
        <v>-2532.333333333333</v>
      </c>
      <c r="C64" s="7">
        <f>L62-$L$8</f>
        <v>-2936.0000000000009</v>
      </c>
      <c r="D64" s="7">
        <f>J62/$J$8</f>
        <v>43.430488572027677</v>
      </c>
      <c r="E64" s="7">
        <f>9+4/24+15/(60*24)</f>
        <v>9.1770833333333321</v>
      </c>
      <c r="F64" s="7">
        <f>LOG(D64,2)/E64</f>
        <v>0.59285026405191743</v>
      </c>
      <c r="G64" s="7"/>
      <c r="H64" s="7">
        <f>K62</f>
        <v>7367.333333333333</v>
      </c>
      <c r="I64" s="7">
        <f>H64/1000000000*J62</f>
        <v>2.5432034666666667</v>
      </c>
      <c r="K64" s="8">
        <f>I64*800/1000</f>
        <v>2.0345627733333331</v>
      </c>
      <c r="L64" s="13">
        <f>K64/850</f>
        <v>2.3936032627450976E-3</v>
      </c>
      <c r="M64" s="14">
        <f>0.6/L64</f>
        <v>250.66810750913314</v>
      </c>
      <c r="N64" s="9"/>
      <c r="O64" s="9"/>
      <c r="P64" s="11"/>
    </row>
    <row r="65" spans="1:19" x14ac:dyDescent="0.2">
      <c r="N65" s="9"/>
      <c r="O65" s="9"/>
      <c r="P65" s="11"/>
    </row>
    <row r="66" spans="1:19" x14ac:dyDescent="0.2">
      <c r="A66" t="s">
        <v>49</v>
      </c>
      <c r="B66" t="s">
        <v>57</v>
      </c>
      <c r="C66" t="s">
        <v>94</v>
      </c>
      <c r="D66" t="s">
        <v>100</v>
      </c>
      <c r="E66" s="1">
        <v>44210.852083333331</v>
      </c>
      <c r="F66">
        <v>14282</v>
      </c>
      <c r="G66">
        <v>14640</v>
      </c>
      <c r="H66">
        <v>1894</v>
      </c>
      <c r="I66">
        <v>40408</v>
      </c>
      <c r="J66">
        <v>116700</v>
      </c>
      <c r="K66">
        <v>6235</v>
      </c>
      <c r="L66">
        <v>5104</v>
      </c>
      <c r="M66">
        <v>4204</v>
      </c>
      <c r="N66" s="9">
        <f>J66/$J$8</f>
        <v>14.682323338226043</v>
      </c>
      <c r="O66" s="9">
        <f>E66-$E$2</f>
        <v>23.207638888889051</v>
      </c>
      <c r="P66" s="11">
        <f>LOG(N66,2)/O66</f>
        <v>0.16701433491268242</v>
      </c>
      <c r="Q66" t="s">
        <v>113</v>
      </c>
      <c r="R66" t="s">
        <v>119</v>
      </c>
      <c r="S66">
        <v>8</v>
      </c>
    </row>
    <row r="67" spans="1:19" x14ac:dyDescent="0.2">
      <c r="A67" t="s">
        <v>50</v>
      </c>
      <c r="B67" t="s">
        <v>57</v>
      </c>
      <c r="C67" t="s">
        <v>95</v>
      </c>
      <c r="D67" t="s">
        <v>100</v>
      </c>
      <c r="E67" s="1">
        <v>44210.852777777778</v>
      </c>
      <c r="F67">
        <v>17715</v>
      </c>
      <c r="G67">
        <v>18285</v>
      </c>
      <c r="H67">
        <v>1812</v>
      </c>
      <c r="I67">
        <v>39770</v>
      </c>
      <c r="J67">
        <v>143000</v>
      </c>
      <c r="K67">
        <v>6329</v>
      </c>
      <c r="L67">
        <v>5225</v>
      </c>
      <c r="M67">
        <v>4114</v>
      </c>
      <c r="N67" s="9">
        <f>J67/$J$8</f>
        <v>17.99119312224785</v>
      </c>
      <c r="O67" s="9">
        <f>E67-$E$2</f>
        <v>23.208333333335759</v>
      </c>
      <c r="P67" s="11">
        <f>LOG(N67,2)/O67</f>
        <v>0.17964318678116237</v>
      </c>
      <c r="Q67" t="s">
        <v>113</v>
      </c>
      <c r="R67" t="s">
        <v>119</v>
      </c>
      <c r="S67">
        <v>8</v>
      </c>
    </row>
    <row r="68" spans="1:19" x14ac:dyDescent="0.2">
      <c r="A68" t="s">
        <v>51</v>
      </c>
      <c r="B68" t="s">
        <v>57</v>
      </c>
      <c r="C68" t="s">
        <v>96</v>
      </c>
      <c r="D68" t="s">
        <v>100</v>
      </c>
      <c r="E68" s="1">
        <v>44210.854166666657</v>
      </c>
      <c r="F68">
        <v>3559</v>
      </c>
      <c r="G68">
        <v>3583</v>
      </c>
      <c r="H68">
        <v>1978</v>
      </c>
      <c r="I68">
        <v>40408</v>
      </c>
      <c r="J68">
        <v>15480</v>
      </c>
      <c r="K68">
        <v>9527</v>
      </c>
      <c r="L68">
        <v>8054</v>
      </c>
      <c r="M68">
        <v>5816</v>
      </c>
      <c r="N68" s="9">
        <f>J68/$J$8</f>
        <v>1.9475781086181589</v>
      </c>
      <c r="O68" s="9">
        <f>E68-$E$2</f>
        <v>23.209722222214623</v>
      </c>
      <c r="P68" s="11">
        <f>LOG(N68,2)/O68</f>
        <v>4.1434411849649765E-2</v>
      </c>
      <c r="Q68" t="s">
        <v>113</v>
      </c>
      <c r="R68" t="s">
        <v>119</v>
      </c>
      <c r="S68">
        <v>8</v>
      </c>
    </row>
    <row r="69" spans="1:19" x14ac:dyDescent="0.2">
      <c r="A69" t="s">
        <v>10</v>
      </c>
      <c r="E69" s="1"/>
      <c r="J69">
        <f>AVERAGE(J66:J68)</f>
        <v>91726.666666666672</v>
      </c>
      <c r="K69">
        <f>AVERAGE(K66:K68)</f>
        <v>7363.666666666667</v>
      </c>
      <c r="L69">
        <f>AVERAGE(L66:L68)</f>
        <v>6127.666666666667</v>
      </c>
      <c r="M69">
        <f>AVERAGE(M66:M68)</f>
        <v>4711.333333333333</v>
      </c>
      <c r="N69" s="9"/>
      <c r="O69" s="9"/>
      <c r="P69" s="11"/>
    </row>
    <row r="70" spans="1:19" s="3" customFormat="1" ht="32" customHeight="1" x14ac:dyDescent="0.2">
      <c r="A70" s="4"/>
      <c r="B70" s="4" t="s">
        <v>101</v>
      </c>
      <c r="C70" s="4" t="s">
        <v>102</v>
      </c>
      <c r="D70" s="4" t="s">
        <v>103</v>
      </c>
      <c r="E70" s="5" t="s">
        <v>104</v>
      </c>
      <c r="F70" s="4" t="s">
        <v>105</v>
      </c>
      <c r="G70" s="4"/>
      <c r="H70" s="4" t="s">
        <v>106</v>
      </c>
      <c r="I70" s="4" t="s">
        <v>107</v>
      </c>
      <c r="K70" s="4" t="s">
        <v>132</v>
      </c>
      <c r="L70" s="4" t="s">
        <v>133</v>
      </c>
      <c r="M70" s="4" t="s">
        <v>109</v>
      </c>
      <c r="N70" s="7"/>
      <c r="O70" s="7"/>
      <c r="P70" s="12"/>
      <c r="Q70"/>
      <c r="S70"/>
    </row>
    <row r="71" spans="1:19" x14ac:dyDescent="0.2">
      <c r="A71" s="6" t="s">
        <v>110</v>
      </c>
      <c r="B71" s="7">
        <f>K69-$K$8</f>
        <v>-2535.9999999999991</v>
      </c>
      <c r="C71" s="7">
        <f>L69-$L$8</f>
        <v>-3311.666666666667</v>
      </c>
      <c r="D71" s="7">
        <f>J69/$J$8</f>
        <v>11.540364856364018</v>
      </c>
      <c r="E71" s="7">
        <f>23+4/24+59/(24*60)</f>
        <v>23.207638888888891</v>
      </c>
      <c r="F71" s="7">
        <f>LOG(D71,2)/E71</f>
        <v>0.15204549451392679</v>
      </c>
      <c r="G71" s="7"/>
      <c r="H71" s="7">
        <f>K69</f>
        <v>7363.666666666667</v>
      </c>
      <c r="I71" s="7">
        <f>H71/1000000000*J69</f>
        <v>0.67544459777777788</v>
      </c>
      <c r="K71" s="8">
        <f>I71*800/1000</f>
        <v>0.5403556782222223</v>
      </c>
      <c r="L71" s="13">
        <f>K71/850</f>
        <v>6.3571256261437921E-4</v>
      </c>
      <c r="M71" s="14">
        <f>0.6/L71</f>
        <v>943.82278294531307</v>
      </c>
      <c r="P71" s="11"/>
    </row>
    <row r="72" spans="1:19" x14ac:dyDescent="0.2">
      <c r="P72" s="11"/>
    </row>
    <row r="73" spans="1:19" x14ac:dyDescent="0.2">
      <c r="A73" t="s">
        <v>52</v>
      </c>
      <c r="B73" t="s">
        <v>57</v>
      </c>
      <c r="C73" t="s">
        <v>97</v>
      </c>
      <c r="D73" t="s">
        <v>100</v>
      </c>
      <c r="E73" s="1">
        <v>44198.842361111107</v>
      </c>
      <c r="F73">
        <v>42450</v>
      </c>
      <c r="G73">
        <v>46124</v>
      </c>
      <c r="H73">
        <v>1894</v>
      </c>
      <c r="I73">
        <v>39770</v>
      </c>
      <c r="J73">
        <v>390500</v>
      </c>
      <c r="K73">
        <v>6992</v>
      </c>
      <c r="L73">
        <v>6124</v>
      </c>
      <c r="M73">
        <v>3675</v>
      </c>
      <c r="N73" s="9">
        <f>J73/$J$8</f>
        <v>49.129796603061443</v>
      </c>
      <c r="O73" s="9">
        <f>E73-$E$2</f>
        <v>11.197916666664241</v>
      </c>
      <c r="P73" s="11">
        <f>LOG(N73,2)/O73</f>
        <v>0.50174747039952849</v>
      </c>
      <c r="Q73" t="s">
        <v>114</v>
      </c>
      <c r="R73" t="s">
        <v>119</v>
      </c>
      <c r="S73">
        <v>8</v>
      </c>
    </row>
    <row r="74" spans="1:19" x14ac:dyDescent="0.2">
      <c r="A74" t="s">
        <v>53</v>
      </c>
      <c r="B74" t="s">
        <v>57</v>
      </c>
      <c r="C74" t="s">
        <v>98</v>
      </c>
      <c r="D74" t="s">
        <v>100</v>
      </c>
      <c r="E74" s="1">
        <v>44198.84375</v>
      </c>
      <c r="F74">
        <v>43225</v>
      </c>
      <c r="G74">
        <v>47149</v>
      </c>
      <c r="H74">
        <v>1978</v>
      </c>
      <c r="I74">
        <v>40408</v>
      </c>
      <c r="J74">
        <v>384700</v>
      </c>
      <c r="K74">
        <v>6973</v>
      </c>
      <c r="L74">
        <v>6120</v>
      </c>
      <c r="M74">
        <v>3631</v>
      </c>
      <c r="N74" s="9">
        <f>J74/$J$8</f>
        <v>48.400083875026212</v>
      </c>
      <c r="O74" s="9">
        <f>E74-$E$2</f>
        <v>11.199305555557657</v>
      </c>
      <c r="P74" s="11">
        <f>LOG(N74,2)/O74</f>
        <v>0.49975756217610245</v>
      </c>
      <c r="Q74" t="s">
        <v>114</v>
      </c>
      <c r="R74" t="s">
        <v>119</v>
      </c>
      <c r="S74">
        <v>8</v>
      </c>
    </row>
    <row r="75" spans="1:19" x14ac:dyDescent="0.2">
      <c r="A75" t="s">
        <v>54</v>
      </c>
      <c r="B75" t="s">
        <v>57</v>
      </c>
      <c r="C75" t="s">
        <v>99</v>
      </c>
      <c r="D75" t="s">
        <v>100</v>
      </c>
      <c r="E75" s="1">
        <v>44198.845138888893</v>
      </c>
      <c r="F75">
        <v>41988</v>
      </c>
      <c r="G75">
        <v>45753</v>
      </c>
      <c r="H75">
        <v>1978</v>
      </c>
      <c r="I75">
        <v>40408</v>
      </c>
      <c r="J75">
        <v>370900</v>
      </c>
      <c r="K75">
        <v>7310</v>
      </c>
      <c r="L75">
        <v>6380</v>
      </c>
      <c r="M75">
        <v>3890</v>
      </c>
      <c r="N75" s="9">
        <f>J75/$J$8</f>
        <v>46.663870832459637</v>
      </c>
      <c r="O75" s="9">
        <f>E75-$E$2</f>
        <v>11.200694444451074</v>
      </c>
      <c r="P75" s="11">
        <f>LOG(N75,2)/O75</f>
        <v>0.49499020870655347</v>
      </c>
      <c r="Q75" t="s">
        <v>114</v>
      </c>
      <c r="R75" t="s">
        <v>119</v>
      </c>
      <c r="S75">
        <v>8</v>
      </c>
    </row>
    <row r="76" spans="1:19" x14ac:dyDescent="0.2">
      <c r="A76" t="s">
        <v>10</v>
      </c>
      <c r="E76" s="1"/>
      <c r="J76">
        <f>AVERAGE(J73:J75)</f>
        <v>382033.33333333331</v>
      </c>
      <c r="K76">
        <f>AVERAGE(K73:K75)</f>
        <v>7091.666666666667</v>
      </c>
      <c r="L76">
        <f>AVERAGE(L73:L75)</f>
        <v>6208</v>
      </c>
      <c r="M76">
        <f>AVERAGE(M73:M75)</f>
        <v>3732</v>
      </c>
      <c r="N76" s="9"/>
      <c r="O76" s="9"/>
      <c r="P76" s="11"/>
    </row>
    <row r="77" spans="1:19" s="3" customFormat="1" ht="32" customHeight="1" x14ac:dyDescent="0.2">
      <c r="A77" s="4"/>
      <c r="B77" s="4" t="s">
        <v>101</v>
      </c>
      <c r="C77" s="4" t="s">
        <v>102</v>
      </c>
      <c r="D77" s="4" t="s">
        <v>103</v>
      </c>
      <c r="E77" s="5" t="s">
        <v>104</v>
      </c>
      <c r="F77" s="4" t="s">
        <v>105</v>
      </c>
      <c r="G77" s="4"/>
      <c r="H77" s="4" t="s">
        <v>106</v>
      </c>
      <c r="I77" s="4" t="s">
        <v>107</v>
      </c>
      <c r="K77" s="4" t="s">
        <v>132</v>
      </c>
      <c r="L77" s="4" t="s">
        <v>133</v>
      </c>
      <c r="M77" s="4" t="s">
        <v>109</v>
      </c>
      <c r="N77" s="9"/>
      <c r="O77" s="9"/>
      <c r="P77" s="11"/>
      <c r="Q77"/>
      <c r="S77"/>
    </row>
    <row r="78" spans="1:19" x14ac:dyDescent="0.2">
      <c r="A78" s="6" t="s">
        <v>110</v>
      </c>
      <c r="B78" s="7">
        <f>K76-$K$8</f>
        <v>-2807.9999999999991</v>
      </c>
      <c r="C78" s="7">
        <f>L76-$L$8</f>
        <v>-3231.3333333333339</v>
      </c>
      <c r="D78" s="7">
        <f>J76/$J$8</f>
        <v>48.064583770182431</v>
      </c>
      <c r="E78" s="7">
        <f>11+4/24+45/(60*24)</f>
        <v>11.197916666666666</v>
      </c>
      <c r="F78" s="7">
        <f>LOG(D78,2)/E78</f>
        <v>0.49892337133526171</v>
      </c>
      <c r="G78" s="7"/>
      <c r="H78" s="7">
        <f>K76</f>
        <v>7091.666666666667</v>
      </c>
      <c r="I78" s="7">
        <f>H78/1000000000*J76</f>
        <v>2.7092530555555556</v>
      </c>
      <c r="K78" s="8">
        <f>I78*800/1000</f>
        <v>2.1674024444444444</v>
      </c>
      <c r="L78" s="13">
        <f>K78/850</f>
        <v>2.54988522875817E-3</v>
      </c>
      <c r="M78" s="14">
        <f>0.6/L78</f>
        <v>235.30470831905185</v>
      </c>
      <c r="N78" s="9"/>
      <c r="O78" s="9"/>
      <c r="P78" s="11"/>
    </row>
    <row r="79" spans="1:19" x14ac:dyDescent="0.2">
      <c r="N79" s="9"/>
      <c r="O79" s="9"/>
      <c r="P79" s="11"/>
    </row>
    <row r="80" spans="1:19" x14ac:dyDescent="0.2">
      <c r="A80" t="s">
        <v>25</v>
      </c>
      <c r="B80" t="s">
        <v>57</v>
      </c>
      <c r="C80" t="s">
        <v>70</v>
      </c>
      <c r="D80" t="s">
        <v>100</v>
      </c>
      <c r="E80" s="1">
        <v>44221.887499999997</v>
      </c>
      <c r="F80">
        <v>424</v>
      </c>
      <c r="G80">
        <v>424</v>
      </c>
      <c r="H80">
        <v>1978</v>
      </c>
      <c r="I80">
        <v>40408</v>
      </c>
      <c r="J80">
        <v>1720</v>
      </c>
      <c r="K80">
        <v>7274</v>
      </c>
      <c r="L80">
        <v>5248</v>
      </c>
      <c r="M80">
        <v>5562</v>
      </c>
      <c r="N80" s="9">
        <f>J80/$J$8</f>
        <v>0.21639756762423989</v>
      </c>
      <c r="O80" s="9">
        <f>E80-$E$2</f>
        <v>34.243055555554747</v>
      </c>
      <c r="P80" s="11">
        <f>LOG(N80,2)/O80</f>
        <v>-6.4487347175795254E-2</v>
      </c>
      <c r="Q80" t="s">
        <v>113</v>
      </c>
      <c r="R80" t="s">
        <v>119</v>
      </c>
      <c r="S80">
        <v>15</v>
      </c>
    </row>
    <row r="81" spans="1:19" x14ac:dyDescent="0.2">
      <c r="A81" t="s">
        <v>26</v>
      </c>
      <c r="B81" t="s">
        <v>57</v>
      </c>
      <c r="C81" t="s">
        <v>71</v>
      </c>
      <c r="D81" t="s">
        <v>100</v>
      </c>
      <c r="E81" s="1">
        <v>44221.888888888891</v>
      </c>
      <c r="F81">
        <v>7535</v>
      </c>
      <c r="G81">
        <v>7635</v>
      </c>
      <c r="H81">
        <v>1894</v>
      </c>
      <c r="I81">
        <v>40408</v>
      </c>
      <c r="J81">
        <v>60840</v>
      </c>
      <c r="K81">
        <v>6448</v>
      </c>
      <c r="L81">
        <v>5315</v>
      </c>
      <c r="M81">
        <v>4260</v>
      </c>
      <c r="N81" s="9">
        <f>J81/$J$8</f>
        <v>7.6544348920109044</v>
      </c>
      <c r="O81" s="9">
        <f>E81-$E$2</f>
        <v>34.244444444448163</v>
      </c>
      <c r="P81" s="11">
        <f>LOG(N81,2)/O81</f>
        <v>8.5745174690002562E-2</v>
      </c>
      <c r="Q81" t="s">
        <v>113</v>
      </c>
      <c r="R81" t="s">
        <v>119</v>
      </c>
      <c r="S81">
        <v>15</v>
      </c>
    </row>
    <row r="82" spans="1:19" x14ac:dyDescent="0.2">
      <c r="A82" t="s">
        <v>27</v>
      </c>
      <c r="B82" t="s">
        <v>57</v>
      </c>
      <c r="C82" t="s">
        <v>72</v>
      </c>
      <c r="D82" t="s">
        <v>100</v>
      </c>
      <c r="E82" s="1">
        <v>44221.890277777777</v>
      </c>
      <c r="F82">
        <v>428</v>
      </c>
      <c r="G82">
        <v>428</v>
      </c>
      <c r="H82">
        <v>1978</v>
      </c>
      <c r="I82">
        <v>40408</v>
      </c>
      <c r="J82">
        <v>790</v>
      </c>
      <c r="K82">
        <v>7319</v>
      </c>
      <c r="L82">
        <v>5695</v>
      </c>
      <c r="M82">
        <v>5503</v>
      </c>
      <c r="N82" s="9">
        <f>J82/$J$8</f>
        <v>9.9391906059970642E-2</v>
      </c>
      <c r="O82" s="9">
        <f>E82-$E$2</f>
        <v>34.245833333334303</v>
      </c>
      <c r="P82" s="11">
        <f>LOG(N82,2)/O82</f>
        <v>-9.7259359586207683E-2</v>
      </c>
      <c r="Q82" t="s">
        <v>113</v>
      </c>
      <c r="R82" t="s">
        <v>119</v>
      </c>
      <c r="S82">
        <v>15</v>
      </c>
    </row>
    <row r="83" spans="1:19" x14ac:dyDescent="0.2">
      <c r="A83" t="s">
        <v>10</v>
      </c>
      <c r="E83" s="1"/>
      <c r="J83">
        <f>AVERAGE(J80:J82)</f>
        <v>21116.666666666668</v>
      </c>
      <c r="K83">
        <f>AVERAGE(K80:K82)</f>
        <v>7013.666666666667</v>
      </c>
      <c r="L83">
        <f>AVERAGE(L80:L82)</f>
        <v>5419.333333333333</v>
      </c>
      <c r="M83">
        <f>AVERAGE(M80:M82)</f>
        <v>5108.333333333333</v>
      </c>
      <c r="P83" s="11"/>
    </row>
    <row r="84" spans="1:19" s="3" customFormat="1" ht="32" customHeight="1" x14ac:dyDescent="0.2">
      <c r="A84" s="4"/>
      <c r="B84" s="4" t="s">
        <v>101</v>
      </c>
      <c r="C84" s="4" t="s">
        <v>102</v>
      </c>
      <c r="D84" s="4" t="s">
        <v>103</v>
      </c>
      <c r="E84" s="5" t="s">
        <v>104</v>
      </c>
      <c r="F84" s="4" t="s">
        <v>105</v>
      </c>
      <c r="G84" s="4"/>
      <c r="H84" s="4" t="s">
        <v>106</v>
      </c>
      <c r="I84" s="4" t="s">
        <v>107</v>
      </c>
      <c r="K84" s="4" t="s">
        <v>132</v>
      </c>
      <c r="L84" s="4" t="s">
        <v>133</v>
      </c>
      <c r="M84" s="4" t="s">
        <v>109</v>
      </c>
      <c r="N84" s="9"/>
      <c r="O84" s="9"/>
      <c r="P84" s="11"/>
      <c r="Q84"/>
      <c r="S84"/>
    </row>
    <row r="85" spans="1:19" x14ac:dyDescent="0.2">
      <c r="A85" s="6" t="s">
        <v>110</v>
      </c>
      <c r="B85" s="7">
        <f>K83-$K$8</f>
        <v>-2885.9999999999991</v>
      </c>
      <c r="C85" s="7">
        <f>L83-$L$8</f>
        <v>-4020.0000000000009</v>
      </c>
      <c r="D85" s="7">
        <f>J83/$J$8</f>
        <v>2.656741455231705</v>
      </c>
      <c r="E85" s="7">
        <f>34+5/24+50/(24*60)</f>
        <v>34.243055555555557</v>
      </c>
      <c r="F85" s="7">
        <f>LOG(D85,2)/E85</f>
        <v>4.1166239804353938E-2</v>
      </c>
      <c r="G85" s="7"/>
      <c r="H85" s="7">
        <f>K83</f>
        <v>7013.666666666667</v>
      </c>
      <c r="I85" s="7">
        <f>H85/1000000000*J83</f>
        <v>0.14810526111111114</v>
      </c>
      <c r="K85" s="8">
        <f>I85*800/1000</f>
        <v>0.11848420888888891</v>
      </c>
      <c r="L85" s="13">
        <f>K85/850</f>
        <v>1.3939318692810461E-4</v>
      </c>
      <c r="M85" s="14">
        <f>0.6/L85</f>
        <v>4304.3710616176986</v>
      </c>
      <c r="N85" s="9"/>
      <c r="O85" s="9"/>
      <c r="P85" s="11"/>
    </row>
    <row r="86" spans="1:19" x14ac:dyDescent="0.2">
      <c r="N86" s="9"/>
      <c r="O86" s="9"/>
      <c r="P86" s="11"/>
    </row>
    <row r="87" spans="1:19" x14ac:dyDescent="0.2">
      <c r="A87" t="s">
        <v>28</v>
      </c>
      <c r="B87" t="s">
        <v>57</v>
      </c>
      <c r="C87" t="s">
        <v>73</v>
      </c>
      <c r="D87" t="s">
        <v>100</v>
      </c>
      <c r="E87" s="1">
        <v>44201.73541666667</v>
      </c>
      <c r="F87">
        <v>17606</v>
      </c>
      <c r="G87">
        <v>18167</v>
      </c>
      <c r="H87">
        <v>1894</v>
      </c>
      <c r="I87">
        <v>39770</v>
      </c>
      <c r="J87">
        <v>145600</v>
      </c>
      <c r="K87">
        <v>6491</v>
      </c>
      <c r="L87">
        <v>5644</v>
      </c>
      <c r="M87">
        <v>3562</v>
      </c>
      <c r="N87" s="9">
        <f>J87/$J$8</f>
        <v>18.318305724470541</v>
      </c>
      <c r="O87" s="9">
        <f>E87-$E$2</f>
        <v>14.09097222222772</v>
      </c>
      <c r="P87" s="11">
        <f>LOG(N87,2)/O87</f>
        <v>0.29772354258105355</v>
      </c>
      <c r="Q87" t="s">
        <v>114</v>
      </c>
      <c r="R87" t="s">
        <v>119</v>
      </c>
      <c r="S87">
        <v>15</v>
      </c>
    </row>
    <row r="88" spans="1:19" x14ac:dyDescent="0.2">
      <c r="A88" t="s">
        <v>29</v>
      </c>
      <c r="B88" t="s">
        <v>57</v>
      </c>
      <c r="C88" t="s">
        <v>74</v>
      </c>
      <c r="D88" t="s">
        <v>100</v>
      </c>
      <c r="E88" s="1">
        <v>44201.736805555563</v>
      </c>
      <c r="F88">
        <v>19415</v>
      </c>
      <c r="G88">
        <v>20117</v>
      </c>
      <c r="H88">
        <v>1978</v>
      </c>
      <c r="I88">
        <v>40408</v>
      </c>
      <c r="J88">
        <v>155200</v>
      </c>
      <c r="K88">
        <v>6644</v>
      </c>
      <c r="L88">
        <v>5775</v>
      </c>
      <c r="M88">
        <v>3616</v>
      </c>
      <c r="N88" s="9">
        <f>J88/$J$8</f>
        <v>19.526106101908159</v>
      </c>
      <c r="O88" s="9">
        <f>E88-$E$2</f>
        <v>14.092361111121136</v>
      </c>
      <c r="P88" s="11">
        <f>LOG(N88,2)/O88</f>
        <v>0.30423094729086214</v>
      </c>
      <c r="Q88" t="s">
        <v>114</v>
      </c>
      <c r="R88" t="s">
        <v>119</v>
      </c>
      <c r="S88">
        <v>15</v>
      </c>
    </row>
    <row r="89" spans="1:19" x14ac:dyDescent="0.2">
      <c r="A89" t="s">
        <v>30</v>
      </c>
      <c r="B89" t="s">
        <v>57</v>
      </c>
      <c r="C89" t="s">
        <v>75</v>
      </c>
      <c r="D89" t="s">
        <v>100</v>
      </c>
      <c r="E89" s="1">
        <v>44201.737500000003</v>
      </c>
      <c r="F89">
        <v>5814</v>
      </c>
      <c r="G89">
        <v>5881</v>
      </c>
      <c r="H89">
        <v>1978</v>
      </c>
      <c r="I89">
        <v>40408</v>
      </c>
      <c r="J89">
        <v>36290</v>
      </c>
      <c r="K89">
        <v>8658</v>
      </c>
      <c r="L89">
        <v>7589</v>
      </c>
      <c r="M89">
        <v>4654</v>
      </c>
      <c r="N89" s="9">
        <f>J89/$J$8</f>
        <v>4.5657370517928291</v>
      </c>
      <c r="O89" s="9">
        <f>E89-$E$2</f>
        <v>14.093055555560568</v>
      </c>
      <c r="P89" s="11">
        <f>LOG(N89,2)/O89</f>
        <v>0.15545583895337095</v>
      </c>
      <c r="Q89" t="s">
        <v>114</v>
      </c>
      <c r="R89" t="s">
        <v>119</v>
      </c>
      <c r="S89">
        <v>15</v>
      </c>
    </row>
    <row r="90" spans="1:19" x14ac:dyDescent="0.2">
      <c r="A90" t="s">
        <v>10</v>
      </c>
      <c r="E90" s="1"/>
      <c r="J90">
        <f>AVERAGE(J87:J89)</f>
        <v>112363.33333333333</v>
      </c>
      <c r="K90">
        <f>AVERAGE(K87:K89)</f>
        <v>7264.333333333333</v>
      </c>
      <c r="L90">
        <f>AVERAGE(L87:L89)</f>
        <v>6336</v>
      </c>
      <c r="M90">
        <f>AVERAGE(M87:M89)</f>
        <v>3944</v>
      </c>
      <c r="N90" s="7"/>
      <c r="O90" s="7"/>
      <c r="P90" s="12"/>
    </row>
    <row r="91" spans="1:19" s="3" customFormat="1" ht="32" customHeight="1" x14ac:dyDescent="0.2">
      <c r="A91" s="4"/>
      <c r="B91" s="4" t="s">
        <v>101</v>
      </c>
      <c r="C91" s="4" t="s">
        <v>102</v>
      </c>
      <c r="D91" s="4" t="s">
        <v>103</v>
      </c>
      <c r="E91" s="5" t="s">
        <v>104</v>
      </c>
      <c r="F91" s="4" t="s">
        <v>105</v>
      </c>
      <c r="G91" s="4"/>
      <c r="H91" s="4" t="s">
        <v>106</v>
      </c>
      <c r="I91" s="4" t="s">
        <v>107</v>
      </c>
      <c r="K91" s="4" t="s">
        <v>132</v>
      </c>
      <c r="L91" s="4" t="s">
        <v>133</v>
      </c>
      <c r="M91" s="4" t="s">
        <v>109</v>
      </c>
      <c r="N91"/>
      <c r="O91"/>
      <c r="P91" s="11"/>
      <c r="Q91"/>
      <c r="S91"/>
    </row>
    <row r="92" spans="1:19" x14ac:dyDescent="0.2">
      <c r="A92" s="6" t="s">
        <v>110</v>
      </c>
      <c r="B92" s="7">
        <f>K90-$K$8</f>
        <v>-2635.333333333333</v>
      </c>
      <c r="C92" s="7">
        <f>L90-$L$8</f>
        <v>-3103.3333333333339</v>
      </c>
      <c r="D92" s="7">
        <f>J90/$J$8</f>
        <v>14.136716292723841</v>
      </c>
      <c r="E92" s="7">
        <f>14+2/24+11/(60*24)</f>
        <v>14.090972222222224</v>
      </c>
      <c r="F92" s="7">
        <f>LOG(D92,2)/E92</f>
        <v>0.27119314986467113</v>
      </c>
      <c r="G92" s="7"/>
      <c r="H92" s="7">
        <f>K90</f>
        <v>7264.333333333333</v>
      </c>
      <c r="I92" s="7">
        <f>H92/1000000000*J90</f>
        <v>0.81624470777777769</v>
      </c>
      <c r="K92" s="8">
        <f>I92*800/1000</f>
        <v>0.65299576622222222</v>
      </c>
      <c r="L92" s="13">
        <f>K92/850</f>
        <v>7.6823031320261441E-4</v>
      </c>
      <c r="M92" s="14">
        <f>0.6/L92</f>
        <v>781.01578353333593</v>
      </c>
      <c r="P92" s="11"/>
    </row>
    <row r="93" spans="1:19" x14ac:dyDescent="0.2">
      <c r="P93" s="11"/>
    </row>
    <row r="94" spans="1:19" x14ac:dyDescent="0.2">
      <c r="N94" s="9"/>
      <c r="O94" s="9"/>
      <c r="P94" s="11"/>
    </row>
    <row r="95" spans="1:19" x14ac:dyDescent="0.2">
      <c r="N95" s="9"/>
      <c r="O95" s="9"/>
      <c r="P95" s="11"/>
      <c r="Q95" s="10"/>
    </row>
    <row r="96" spans="1:19" x14ac:dyDescent="0.2">
      <c r="N96" s="9"/>
      <c r="O96" s="9"/>
      <c r="P96" s="11"/>
    </row>
    <row r="97" spans="6:16" x14ac:dyDescent="0.2">
      <c r="N97" s="9"/>
      <c r="O97" s="9"/>
      <c r="P97" s="11"/>
    </row>
    <row r="98" spans="6:16" x14ac:dyDescent="0.2">
      <c r="N98" s="9"/>
      <c r="O98" s="9"/>
      <c r="P98" s="11"/>
    </row>
    <row r="99" spans="6:16" x14ac:dyDescent="0.2">
      <c r="N99" s="9"/>
      <c r="O99" s="9"/>
      <c r="P99" s="11"/>
    </row>
    <row r="100" spans="6:16" x14ac:dyDescent="0.2">
      <c r="N100" s="7"/>
      <c r="O100" s="7"/>
      <c r="P100" s="12"/>
    </row>
    <row r="101" spans="6:16" x14ac:dyDescent="0.2">
      <c r="P101" s="11"/>
    </row>
    <row r="102" spans="6:16" ht="32" x14ac:dyDescent="0.2">
      <c r="F102" s="3" t="s">
        <v>111</v>
      </c>
      <c r="G102" t="s">
        <v>112</v>
      </c>
      <c r="H102" s="3" t="s">
        <v>105</v>
      </c>
      <c r="I102" t="s">
        <v>127</v>
      </c>
      <c r="P102" s="11"/>
    </row>
    <row r="103" spans="6:16" x14ac:dyDescent="0.2">
      <c r="F103">
        <v>0.1</v>
      </c>
      <c r="G103" t="s">
        <v>113</v>
      </c>
      <c r="H103" s="9">
        <f>F15</f>
        <v>1.0927823981042766</v>
      </c>
      <c r="I103" s="9">
        <f>M15</f>
        <v>208.9916570530504</v>
      </c>
      <c r="P103" s="11"/>
    </row>
    <row r="104" spans="6:16" x14ac:dyDescent="0.2">
      <c r="F104">
        <v>1</v>
      </c>
      <c r="G104" t="s">
        <v>113</v>
      </c>
      <c r="H104" s="9">
        <f>F29</f>
        <v>0.95838145384627715</v>
      </c>
      <c r="I104" s="9">
        <f>M29</f>
        <v>318.86281897973532</v>
      </c>
      <c r="P104" s="11"/>
    </row>
    <row r="105" spans="6:16" x14ac:dyDescent="0.2">
      <c r="F105">
        <v>2</v>
      </c>
      <c r="G105" t="s">
        <v>113</v>
      </c>
      <c r="H105" s="9">
        <f>F43</f>
        <v>0.64051766609062455</v>
      </c>
      <c r="I105" s="9">
        <f>M43</f>
        <v>198.96261878874594</v>
      </c>
      <c r="P105" s="11"/>
    </row>
    <row r="106" spans="6:16" x14ac:dyDescent="0.2">
      <c r="F106">
        <v>4</v>
      </c>
      <c r="G106" t="s">
        <v>113</v>
      </c>
      <c r="H106" s="9">
        <f>F57</f>
        <v>0.25293895737241257</v>
      </c>
      <c r="I106" s="9">
        <f>M57</f>
        <v>194.32830743146707</v>
      </c>
      <c r="P106" s="11"/>
    </row>
    <row r="107" spans="6:16" x14ac:dyDescent="0.2">
      <c r="F107">
        <v>8</v>
      </c>
      <c r="G107" t="s">
        <v>113</v>
      </c>
      <c r="H107" s="9">
        <f>F71</f>
        <v>0.15204549451392679</v>
      </c>
      <c r="I107" s="9">
        <f>M71</f>
        <v>943.82278294531307</v>
      </c>
      <c r="P107" s="11"/>
    </row>
    <row r="108" spans="6:16" x14ac:dyDescent="0.2">
      <c r="F108">
        <v>15</v>
      </c>
      <c r="G108" t="s">
        <v>113</v>
      </c>
      <c r="H108" s="9">
        <f>F85</f>
        <v>4.1166239804353938E-2</v>
      </c>
      <c r="I108" s="9">
        <f>M85</f>
        <v>4304.3710616176986</v>
      </c>
      <c r="P108" s="11"/>
    </row>
    <row r="109" spans="6:16" x14ac:dyDescent="0.2">
      <c r="F109">
        <v>0.1</v>
      </c>
      <c r="G109" t="s">
        <v>114</v>
      </c>
      <c r="H109" s="9">
        <f>F22</f>
        <v>1.0629029646448638</v>
      </c>
      <c r="I109" s="9">
        <f>M22</f>
        <v>222.87486110477499</v>
      </c>
    </row>
    <row r="110" spans="6:16" x14ac:dyDescent="0.2">
      <c r="F110">
        <v>1</v>
      </c>
      <c r="G110" t="s">
        <v>114</v>
      </c>
      <c r="H110" s="9">
        <f>F36</f>
        <v>0.97113627847606976</v>
      </c>
      <c r="I110" s="9">
        <f>M36</f>
        <v>295.56079279836183</v>
      </c>
    </row>
    <row r="111" spans="6:16" x14ac:dyDescent="0.2">
      <c r="F111">
        <v>2</v>
      </c>
      <c r="G111" t="s">
        <v>114</v>
      </c>
      <c r="H111" s="9">
        <f>F50</f>
        <v>0.78892399929753732</v>
      </c>
      <c r="I111" s="9">
        <f>M50</f>
        <v>90.9962743151561</v>
      </c>
    </row>
    <row r="112" spans="6:16" x14ac:dyDescent="0.2">
      <c r="F112">
        <v>4</v>
      </c>
      <c r="G112" t="s">
        <v>114</v>
      </c>
      <c r="H112" s="9">
        <f>F64</f>
        <v>0.59285026405191743</v>
      </c>
      <c r="I112" s="9">
        <f>M64</f>
        <v>250.66810750913314</v>
      </c>
    </row>
    <row r="113" spans="6:16" x14ac:dyDescent="0.2">
      <c r="F113">
        <v>8</v>
      </c>
      <c r="G113" t="s">
        <v>114</v>
      </c>
      <c r="H113" s="9">
        <f>F78</f>
        <v>0.49892337133526171</v>
      </c>
      <c r="I113" s="9">
        <f>M78</f>
        <v>235.30470831905185</v>
      </c>
    </row>
    <row r="114" spans="6:16" x14ac:dyDescent="0.2">
      <c r="F114">
        <v>15</v>
      </c>
      <c r="G114" t="s">
        <v>114</v>
      </c>
      <c r="H114" s="9">
        <f>F92</f>
        <v>0.27119314986467113</v>
      </c>
      <c r="I114" s="9">
        <f>M92</f>
        <v>781.01578353333593</v>
      </c>
    </row>
    <row r="117" spans="6:16" x14ac:dyDescent="0.2">
      <c r="N117" s="9"/>
      <c r="O117" s="9"/>
      <c r="P117" s="10"/>
    </row>
    <row r="118" spans="6:16" x14ac:dyDescent="0.2">
      <c r="N118" s="9"/>
      <c r="O118" s="9"/>
      <c r="P118" s="10"/>
    </row>
    <row r="119" spans="6:16" x14ac:dyDescent="0.2">
      <c r="N119" s="9"/>
      <c r="O119" s="9"/>
      <c r="P119" s="10"/>
    </row>
    <row r="120" spans="6:16" x14ac:dyDescent="0.2">
      <c r="N120" s="9"/>
      <c r="O120" s="9"/>
      <c r="P120" s="10"/>
    </row>
    <row r="121" spans="6:16" x14ac:dyDescent="0.2">
      <c r="N121" s="9"/>
      <c r="O121" s="9"/>
      <c r="P121" s="10"/>
    </row>
    <row r="122" spans="6:16" x14ac:dyDescent="0.2">
      <c r="N122" s="9"/>
      <c r="O122" s="9"/>
      <c r="P122" s="10"/>
    </row>
    <row r="123" spans="6:16" x14ac:dyDescent="0.2">
      <c r="N123" s="7"/>
      <c r="O123" s="7"/>
      <c r="P123" s="7"/>
    </row>
    <row r="127" spans="6:16" x14ac:dyDescent="0.2">
      <c r="N127" s="9"/>
      <c r="O127" s="9"/>
      <c r="P127" s="10"/>
    </row>
    <row r="128" spans="6:16" x14ac:dyDescent="0.2">
      <c r="N128" s="9"/>
      <c r="O128" s="9"/>
      <c r="P128" s="10"/>
    </row>
    <row r="129" spans="14:16" x14ac:dyDescent="0.2">
      <c r="N129" s="9"/>
      <c r="O129" s="9"/>
      <c r="P129" s="10"/>
    </row>
    <row r="130" spans="14:16" x14ac:dyDescent="0.2">
      <c r="N130" s="9"/>
      <c r="O130" s="9"/>
      <c r="P130" s="10"/>
    </row>
    <row r="131" spans="14:16" x14ac:dyDescent="0.2">
      <c r="N131" s="9"/>
      <c r="O131" s="9"/>
      <c r="P131" s="10"/>
    </row>
    <row r="132" spans="14:16" x14ac:dyDescent="0.2">
      <c r="N132" s="9"/>
      <c r="O132" s="9"/>
      <c r="P132" s="10"/>
    </row>
    <row r="133" spans="14:16" x14ac:dyDescent="0.2">
      <c r="N133" s="7"/>
      <c r="O133" s="7"/>
      <c r="P133" s="7"/>
    </row>
    <row r="137" spans="14:16" x14ac:dyDescent="0.2">
      <c r="N137" s="9"/>
      <c r="O137" s="9"/>
      <c r="P137" s="10"/>
    </row>
    <row r="138" spans="14:16" x14ac:dyDescent="0.2">
      <c r="N138" s="9"/>
      <c r="O138" s="9"/>
      <c r="P138" s="10"/>
    </row>
    <row r="139" spans="14:16" x14ac:dyDescent="0.2">
      <c r="N139" s="9"/>
      <c r="O139" s="9"/>
      <c r="P139" s="10"/>
    </row>
    <row r="140" spans="14:16" x14ac:dyDescent="0.2">
      <c r="N140" s="9"/>
      <c r="O140" s="9"/>
      <c r="P140" s="10"/>
    </row>
    <row r="141" spans="14:16" x14ac:dyDescent="0.2">
      <c r="N141" s="9"/>
      <c r="O141" s="9"/>
      <c r="P141" s="10"/>
    </row>
    <row r="142" spans="14:16" x14ac:dyDescent="0.2">
      <c r="N142" s="9"/>
      <c r="O142" s="9"/>
      <c r="P142" s="10"/>
    </row>
    <row r="143" spans="14:16" x14ac:dyDescent="0.2">
      <c r="N143" s="7"/>
      <c r="O143" s="7"/>
      <c r="P143" s="7"/>
    </row>
    <row r="147" spans="14:16" x14ac:dyDescent="0.2">
      <c r="N147" s="9"/>
      <c r="O147" s="9"/>
      <c r="P147" s="10"/>
    </row>
    <row r="148" spans="14:16" x14ac:dyDescent="0.2">
      <c r="N148" s="9"/>
      <c r="O148" s="9"/>
      <c r="P148" s="10"/>
    </row>
    <row r="149" spans="14:16" x14ac:dyDescent="0.2">
      <c r="N149" s="9"/>
      <c r="O149" s="9"/>
      <c r="P149" s="10"/>
    </row>
    <row r="150" spans="14:16" x14ac:dyDescent="0.2">
      <c r="N150" s="9"/>
      <c r="O150" s="9"/>
      <c r="P150" s="10"/>
    </row>
    <row r="151" spans="14:16" x14ac:dyDescent="0.2">
      <c r="N151" s="9"/>
      <c r="O151" s="9"/>
      <c r="P151" s="10"/>
    </row>
    <row r="152" spans="14:16" x14ac:dyDescent="0.2">
      <c r="N152" s="9"/>
      <c r="O152" s="9"/>
      <c r="P152" s="10"/>
    </row>
    <row r="153" spans="14:16" x14ac:dyDescent="0.2">
      <c r="N153" s="7"/>
      <c r="O153" s="7"/>
      <c r="P153" s="7"/>
    </row>
    <row r="157" spans="14:16" x14ac:dyDescent="0.2">
      <c r="N157" s="9"/>
      <c r="O157" s="9"/>
      <c r="P157" s="10"/>
    </row>
    <row r="158" spans="14:16" x14ac:dyDescent="0.2">
      <c r="N158" s="9"/>
      <c r="O158" s="9"/>
      <c r="P158" s="10"/>
    </row>
    <row r="159" spans="14:16" x14ac:dyDescent="0.2">
      <c r="N159" s="9"/>
      <c r="O159" s="9"/>
      <c r="P159" s="10"/>
    </row>
    <row r="160" spans="14:16" x14ac:dyDescent="0.2">
      <c r="N160" s="9"/>
      <c r="O160" s="9"/>
      <c r="P160" s="10"/>
    </row>
    <row r="161" spans="14:16" x14ac:dyDescent="0.2">
      <c r="N161" s="9"/>
      <c r="O161" s="9"/>
      <c r="P161" s="10"/>
    </row>
    <row r="162" spans="14:16" x14ac:dyDescent="0.2">
      <c r="N162" s="9"/>
      <c r="O162" s="9"/>
      <c r="P162" s="10"/>
    </row>
    <row r="163" spans="14:16" x14ac:dyDescent="0.2">
      <c r="N163" s="7"/>
      <c r="O163" s="7"/>
      <c r="P163" s="7"/>
    </row>
    <row r="167" spans="14:16" x14ac:dyDescent="0.2">
      <c r="N167" s="9"/>
      <c r="O167" s="9"/>
      <c r="P167" s="10"/>
    </row>
    <row r="168" spans="14:16" x14ac:dyDescent="0.2">
      <c r="N168" s="9"/>
      <c r="O168" s="9"/>
      <c r="P168" s="10"/>
    </row>
    <row r="169" spans="14:16" x14ac:dyDescent="0.2">
      <c r="N169" s="9"/>
      <c r="O169" s="9"/>
      <c r="P169" s="10"/>
    </row>
    <row r="170" spans="14:16" x14ac:dyDescent="0.2">
      <c r="N170" s="9"/>
      <c r="O170" s="9"/>
      <c r="P170" s="10"/>
    </row>
    <row r="171" spans="14:16" x14ac:dyDescent="0.2">
      <c r="N171" s="9"/>
      <c r="O171" s="9"/>
      <c r="P171" s="10"/>
    </row>
    <row r="172" spans="14:16" x14ac:dyDescent="0.2">
      <c r="N172" s="9"/>
      <c r="O172" s="9"/>
      <c r="P172" s="10"/>
    </row>
    <row r="173" spans="14:16" x14ac:dyDescent="0.2">
      <c r="N173" s="7"/>
      <c r="O173" s="7"/>
      <c r="P173" s="7"/>
    </row>
    <row r="177" spans="14:16" x14ac:dyDescent="0.2">
      <c r="N177" s="9"/>
      <c r="O177" s="9"/>
      <c r="P177" s="10"/>
    </row>
    <row r="178" spans="14:16" x14ac:dyDescent="0.2">
      <c r="N178" s="9"/>
      <c r="O178" s="9"/>
      <c r="P178" s="10"/>
    </row>
    <row r="179" spans="14:16" x14ac:dyDescent="0.2">
      <c r="N179" s="9"/>
      <c r="O179" s="9"/>
      <c r="P179" s="10"/>
    </row>
    <row r="180" spans="14:16" x14ac:dyDescent="0.2">
      <c r="N180" s="9"/>
      <c r="O180" s="9"/>
      <c r="P180" s="10"/>
    </row>
    <row r="181" spans="14:16" x14ac:dyDescent="0.2">
      <c r="N181" s="9"/>
      <c r="O181" s="9"/>
      <c r="P181" s="10"/>
    </row>
    <row r="182" spans="14:16" x14ac:dyDescent="0.2">
      <c r="N182" s="9"/>
      <c r="O182" s="9"/>
      <c r="P182" s="10"/>
    </row>
    <row r="183" spans="14:16" x14ac:dyDescent="0.2">
      <c r="N183" s="7"/>
      <c r="O183" s="7"/>
      <c r="P183" s="7"/>
    </row>
    <row r="187" spans="14:16" x14ac:dyDescent="0.2">
      <c r="N187" s="9"/>
      <c r="O187" s="9"/>
      <c r="P187" s="10"/>
    </row>
    <row r="188" spans="14:16" x14ac:dyDescent="0.2">
      <c r="N188" s="9"/>
      <c r="O188" s="9"/>
      <c r="P188" s="10"/>
    </row>
    <row r="189" spans="14:16" x14ac:dyDescent="0.2">
      <c r="N189" s="9"/>
      <c r="O189" s="9"/>
      <c r="P189" s="10"/>
    </row>
    <row r="190" spans="14:16" x14ac:dyDescent="0.2">
      <c r="N190" s="9"/>
      <c r="O190" s="9"/>
      <c r="P190" s="10"/>
    </row>
    <row r="191" spans="14:16" x14ac:dyDescent="0.2">
      <c r="N191" s="9"/>
      <c r="O191" s="9"/>
      <c r="P191" s="10"/>
    </row>
    <row r="192" spans="14:16" x14ac:dyDescent="0.2">
      <c r="N192" s="9"/>
      <c r="O192" s="9"/>
      <c r="P192" s="10"/>
    </row>
    <row r="193" spans="14:16" x14ac:dyDescent="0.2">
      <c r="N193" s="7"/>
      <c r="O193" s="7"/>
      <c r="P193" s="7"/>
    </row>
    <row r="197" spans="14:16" x14ac:dyDescent="0.2">
      <c r="N197" s="9"/>
      <c r="O197" s="9"/>
      <c r="P197" s="10"/>
    </row>
    <row r="198" spans="14:16" x14ac:dyDescent="0.2">
      <c r="N198" s="9"/>
      <c r="O198" s="9"/>
      <c r="P198" s="10"/>
    </row>
    <row r="199" spans="14:16" x14ac:dyDescent="0.2">
      <c r="N199" s="9"/>
      <c r="O199" s="9"/>
      <c r="P199" s="10"/>
    </row>
    <row r="200" spans="14:16" x14ac:dyDescent="0.2">
      <c r="N200" s="9"/>
      <c r="O200" s="9"/>
      <c r="P200" s="10"/>
    </row>
    <row r="201" spans="14:16" x14ac:dyDescent="0.2">
      <c r="N201" s="9"/>
      <c r="O201" s="9"/>
      <c r="P201" s="10"/>
    </row>
    <row r="202" spans="14:16" x14ac:dyDescent="0.2">
      <c r="N202" s="9"/>
      <c r="O202" s="9"/>
      <c r="P202" s="10"/>
    </row>
    <row r="203" spans="14:16" x14ac:dyDescent="0.2">
      <c r="N203" s="7"/>
      <c r="O203" s="7"/>
      <c r="P203" s="7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4254-047C-D64D-A6BB-83EA5E3EE35A}">
  <dimension ref="A4:M35"/>
  <sheetViews>
    <sheetView topLeftCell="E7" workbookViewId="0">
      <selection activeCell="L35" sqref="L35"/>
    </sheetView>
  </sheetViews>
  <sheetFormatPr baseColWidth="10" defaultRowHeight="15" x14ac:dyDescent="0.2"/>
  <cols>
    <col min="1" max="1" width="18.33203125" bestFit="1" customWidth="1"/>
    <col min="2" max="2" width="7" bestFit="1" customWidth="1"/>
    <col min="3" max="3" width="16.6640625" bestFit="1" customWidth="1"/>
    <col min="4" max="4" width="15.33203125" bestFit="1" customWidth="1"/>
    <col min="6" max="6" width="18.33203125" bestFit="1" customWidth="1"/>
    <col min="8" max="8" width="18.33203125" bestFit="1" customWidth="1"/>
    <col min="9" max="9" width="12.33203125" bestFit="1" customWidth="1"/>
  </cols>
  <sheetData>
    <row r="4" spans="1:6" x14ac:dyDescent="0.2">
      <c r="A4" t="s">
        <v>111</v>
      </c>
      <c r="B4" t="s">
        <v>112</v>
      </c>
      <c r="C4" t="s">
        <v>129</v>
      </c>
      <c r="D4" t="s">
        <v>128</v>
      </c>
      <c r="E4" t="s">
        <v>130</v>
      </c>
    </row>
    <row r="5" spans="1:6" x14ac:dyDescent="0.2">
      <c r="A5">
        <v>0.1</v>
      </c>
      <c r="B5" t="s">
        <v>113</v>
      </c>
      <c r="C5">
        <v>215.91883267519606</v>
      </c>
      <c r="D5">
        <v>208.9916570530504</v>
      </c>
      <c r="E5">
        <v>0.6</v>
      </c>
      <c r="F5">
        <f>C5/D5*E5</f>
        <v>0.61988742245453532</v>
      </c>
    </row>
    <row r="6" spans="1:6" x14ac:dyDescent="0.2">
      <c r="A6">
        <v>1</v>
      </c>
      <c r="B6" t="s">
        <v>113</v>
      </c>
      <c r="C6">
        <v>332.24268644849508</v>
      </c>
      <c r="D6">
        <v>318.86281897973532</v>
      </c>
      <c r="E6">
        <v>0.6</v>
      </c>
      <c r="F6">
        <f t="shared" ref="F6:F16" si="0">C6/D6*E6</f>
        <v>0.62517672178569694</v>
      </c>
    </row>
    <row r="7" spans="1:6" x14ac:dyDescent="0.2">
      <c r="A7">
        <v>2</v>
      </c>
      <c r="B7" t="s">
        <v>113</v>
      </c>
      <c r="C7">
        <v>215.74675189219968</v>
      </c>
      <c r="D7">
        <v>198.96261878874594</v>
      </c>
      <c r="E7">
        <v>0.6</v>
      </c>
      <c r="F7">
        <f t="shared" si="0"/>
        <v>0.65061493421920047</v>
      </c>
    </row>
    <row r="8" spans="1:6" x14ac:dyDescent="0.2">
      <c r="A8">
        <v>4</v>
      </c>
      <c r="B8" t="s">
        <v>113</v>
      </c>
      <c r="C8">
        <v>214.282432108606</v>
      </c>
      <c r="D8">
        <v>194.32830743146707</v>
      </c>
      <c r="E8">
        <v>0.6</v>
      </c>
      <c r="F8">
        <f t="shared" si="0"/>
        <v>0.66160952547021823</v>
      </c>
    </row>
    <row r="9" spans="1:6" x14ac:dyDescent="0.2">
      <c r="A9">
        <v>8</v>
      </c>
      <c r="B9" t="s">
        <v>113</v>
      </c>
      <c r="C9">
        <v>1108.9798678621958</v>
      </c>
      <c r="D9">
        <v>943.82278294531307</v>
      </c>
      <c r="E9">
        <v>0.4502963985185186</v>
      </c>
      <c r="F9">
        <f t="shared" si="0"/>
        <v>0.52909258978634321</v>
      </c>
    </row>
    <row r="10" spans="1:6" x14ac:dyDescent="0.2">
      <c r="A10">
        <v>15</v>
      </c>
      <c r="B10" t="s">
        <v>113</v>
      </c>
      <c r="C10">
        <v>5251.5991258531949</v>
      </c>
      <c r="D10">
        <v>4304.3710616176986</v>
      </c>
      <c r="E10">
        <v>9.8736840740740767E-2</v>
      </c>
      <c r="F10">
        <f t="shared" si="0"/>
        <v>0.12046505728730186</v>
      </c>
    </row>
    <row r="11" spans="1:6" x14ac:dyDescent="0.2">
      <c r="A11">
        <v>0.1</v>
      </c>
      <c r="B11" t="s">
        <v>114</v>
      </c>
      <c r="C11">
        <v>231.89639775143127</v>
      </c>
      <c r="D11">
        <v>222.87486110477499</v>
      </c>
      <c r="E11">
        <v>0.6</v>
      </c>
      <c r="F11">
        <f t="shared" si="0"/>
        <v>0.62428682158751458</v>
      </c>
    </row>
    <row r="12" spans="1:6" x14ac:dyDescent="0.2">
      <c r="A12">
        <v>1</v>
      </c>
      <c r="B12" t="s">
        <v>114</v>
      </c>
      <c r="C12">
        <v>309.02652349751543</v>
      </c>
      <c r="D12">
        <v>295.56079279836183</v>
      </c>
      <c r="E12">
        <v>0.6</v>
      </c>
      <c r="F12">
        <f t="shared" si="0"/>
        <v>0.62733596138715231</v>
      </c>
    </row>
    <row r="13" spans="1:6" x14ac:dyDescent="0.2">
      <c r="A13">
        <v>2</v>
      </c>
      <c r="B13" t="s">
        <v>114</v>
      </c>
      <c r="C13">
        <v>94.807610216043898</v>
      </c>
      <c r="D13">
        <v>90.9962743151561</v>
      </c>
      <c r="E13">
        <v>0.6</v>
      </c>
      <c r="F13">
        <f t="shared" si="0"/>
        <v>0.62513071615012039</v>
      </c>
    </row>
    <row r="14" spans="1:6" x14ac:dyDescent="0.2">
      <c r="A14">
        <v>4</v>
      </c>
      <c r="B14" t="s">
        <v>114</v>
      </c>
      <c r="C14">
        <v>271.2901620885923</v>
      </c>
      <c r="D14">
        <v>250.66810750913314</v>
      </c>
      <c r="E14">
        <v>0.6</v>
      </c>
      <c r="F14">
        <f t="shared" si="0"/>
        <v>0.64936101712590089</v>
      </c>
    </row>
    <row r="15" spans="1:6" x14ac:dyDescent="0.2">
      <c r="A15">
        <v>8</v>
      </c>
      <c r="B15" t="s">
        <v>114</v>
      </c>
      <c r="C15">
        <v>256.08099888912739</v>
      </c>
      <c r="D15">
        <v>235.30470831905185</v>
      </c>
      <c r="E15">
        <v>0.6</v>
      </c>
      <c r="F15">
        <f t="shared" si="0"/>
        <v>0.65297715643302323</v>
      </c>
    </row>
    <row r="16" spans="1:6" x14ac:dyDescent="0.2">
      <c r="A16">
        <v>15</v>
      </c>
      <c r="B16" t="s">
        <v>114</v>
      </c>
      <c r="C16">
        <v>862.10040646658058</v>
      </c>
      <c r="D16">
        <v>781.01578353333593</v>
      </c>
      <c r="E16">
        <v>0.5441631385185185</v>
      </c>
      <c r="F16">
        <f t="shared" si="0"/>
        <v>0.60065785198170907</v>
      </c>
    </row>
    <row r="23" spans="6:13" x14ac:dyDescent="0.2">
      <c r="F23" t="s">
        <v>111</v>
      </c>
      <c r="G23" t="s">
        <v>112</v>
      </c>
      <c r="I23" t="s">
        <v>131</v>
      </c>
      <c r="J23" t="s">
        <v>105</v>
      </c>
      <c r="L23" t="s">
        <v>131</v>
      </c>
      <c r="M23" t="s">
        <v>105</v>
      </c>
    </row>
    <row r="24" spans="6:13" x14ac:dyDescent="0.2">
      <c r="F24">
        <v>0.1</v>
      </c>
      <c r="G24" t="s">
        <v>113</v>
      </c>
      <c r="I24">
        <f>F5/40</f>
        <v>1.5497185561363383E-2</v>
      </c>
      <c r="J24">
        <v>1.0927823981042766</v>
      </c>
      <c r="L24">
        <v>1.5497185561363383E-2</v>
      </c>
      <c r="M24">
        <v>1.0927823981042766</v>
      </c>
    </row>
    <row r="25" spans="6:13" x14ac:dyDescent="0.2">
      <c r="F25">
        <v>1</v>
      </c>
      <c r="G25" t="s">
        <v>113</v>
      </c>
      <c r="I25">
        <f t="shared" ref="I25:I35" si="1">F6/40</f>
        <v>1.5629418044642424E-2</v>
      </c>
      <c r="J25">
        <v>0.95838145384627715</v>
      </c>
      <c r="L25">
        <v>1.5629418044642424E-2</v>
      </c>
      <c r="M25">
        <v>0.95838145384627715</v>
      </c>
    </row>
    <row r="26" spans="6:13" x14ac:dyDescent="0.2">
      <c r="F26">
        <v>2</v>
      </c>
      <c r="G26" t="s">
        <v>113</v>
      </c>
      <c r="I26">
        <f t="shared" si="1"/>
        <v>1.6265373355480013E-2</v>
      </c>
      <c r="J26">
        <v>0.64051766609062455</v>
      </c>
      <c r="L26">
        <v>1.6265373355480013E-2</v>
      </c>
      <c r="M26">
        <v>0.64051766609062455</v>
      </c>
    </row>
    <row r="27" spans="6:13" x14ac:dyDescent="0.2">
      <c r="F27">
        <v>4</v>
      </c>
      <c r="G27" t="s">
        <v>113</v>
      </c>
      <c r="I27">
        <f t="shared" si="1"/>
        <v>1.6540238136755456E-2</v>
      </c>
      <c r="J27">
        <v>0.25293895737241257</v>
      </c>
      <c r="L27">
        <v>1.6540238136755456E-2</v>
      </c>
      <c r="M27">
        <v>0.25293895737241257</v>
      </c>
    </row>
    <row r="28" spans="6:13" x14ac:dyDescent="0.2">
      <c r="F28">
        <v>8</v>
      </c>
      <c r="G28" t="s">
        <v>113</v>
      </c>
      <c r="I28">
        <f t="shared" si="1"/>
        <v>1.322731474465858E-2</v>
      </c>
      <c r="J28">
        <v>0.15204549451392679</v>
      </c>
      <c r="L28">
        <v>1.322731474465858E-2</v>
      </c>
      <c r="M28">
        <v>0.15204549451392679</v>
      </c>
    </row>
    <row r="29" spans="6:13" x14ac:dyDescent="0.2">
      <c r="F29">
        <v>15</v>
      </c>
      <c r="G29" t="s">
        <v>113</v>
      </c>
      <c r="I29">
        <f t="shared" si="1"/>
        <v>3.0116264321825466E-3</v>
      </c>
      <c r="J29">
        <v>4.1166239804353938E-2</v>
      </c>
      <c r="L29">
        <v>3.0116264321825466E-3</v>
      </c>
      <c r="M29">
        <v>4.1166239804353938E-2</v>
      </c>
    </row>
    <row r="30" spans="6:13" x14ac:dyDescent="0.2">
      <c r="F30">
        <v>0.1</v>
      </c>
      <c r="G30" t="s">
        <v>114</v>
      </c>
      <c r="I30">
        <f t="shared" si="1"/>
        <v>1.5607170539687864E-2</v>
      </c>
      <c r="J30">
        <v>1.0629029646448638</v>
      </c>
      <c r="L30">
        <v>1.5607170539687864E-2</v>
      </c>
      <c r="M30">
        <v>1.0629029646448638</v>
      </c>
    </row>
    <row r="31" spans="6:13" x14ac:dyDescent="0.2">
      <c r="F31">
        <v>1</v>
      </c>
      <c r="G31" t="s">
        <v>114</v>
      </c>
      <c r="I31">
        <f t="shared" si="1"/>
        <v>1.5683399034678809E-2</v>
      </c>
      <c r="J31">
        <v>0.97113627847606976</v>
      </c>
      <c r="L31">
        <v>1.5683399034678809E-2</v>
      </c>
      <c r="M31">
        <v>0.97113627847606976</v>
      </c>
    </row>
    <row r="32" spans="6:13" x14ac:dyDescent="0.2">
      <c r="F32">
        <v>2</v>
      </c>
      <c r="G32" t="s">
        <v>114</v>
      </c>
      <c r="I32">
        <f t="shared" si="1"/>
        <v>1.5628267903753011E-2</v>
      </c>
      <c r="J32">
        <v>0.78892399929753732</v>
      </c>
      <c r="L32">
        <v>1.5628267903753011E-2</v>
      </c>
      <c r="M32">
        <v>0.78892399929753732</v>
      </c>
    </row>
    <row r="33" spans="6:13" x14ac:dyDescent="0.2">
      <c r="F33">
        <v>4</v>
      </c>
      <c r="G33" t="s">
        <v>114</v>
      </c>
      <c r="I33">
        <f t="shared" si="1"/>
        <v>1.6234025428147524E-2</v>
      </c>
      <c r="J33">
        <v>0.59285026405191743</v>
      </c>
      <c r="L33">
        <v>1.6234025428147524E-2</v>
      </c>
      <c r="M33">
        <v>0.59285026405191743</v>
      </c>
    </row>
    <row r="34" spans="6:13" x14ac:dyDescent="0.2">
      <c r="F34">
        <v>8</v>
      </c>
      <c r="G34" t="s">
        <v>114</v>
      </c>
      <c r="I34">
        <f t="shared" si="1"/>
        <v>1.632442891082558E-2</v>
      </c>
      <c r="J34">
        <v>0.49892337133526171</v>
      </c>
      <c r="L34">
        <v>1.632442891082558E-2</v>
      </c>
      <c r="M34">
        <v>0.49892337133526171</v>
      </c>
    </row>
    <row r="35" spans="6:13" x14ac:dyDescent="0.2">
      <c r="F35">
        <v>15</v>
      </c>
      <c r="G35" t="s">
        <v>114</v>
      </c>
      <c r="I35">
        <f t="shared" si="1"/>
        <v>1.5016446299542727E-2</v>
      </c>
      <c r="J35">
        <v>0.27119314986467113</v>
      </c>
      <c r="L35">
        <v>1.5016446299542727E-2</v>
      </c>
      <c r="M35">
        <v>0.27119314986467113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CC_diameter</vt:lpstr>
      <vt:lpstr>CC_volume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2021-01-28T04:16:08Z</dcterms:created>
  <dcterms:modified xsi:type="dcterms:W3CDTF">2021-05-21T18:15:02Z</dcterms:modified>
</cp:coreProperties>
</file>