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C:\Users\toshi\Code\python\monktoolbox\monktoolbox\New folder\"/>
    </mc:Choice>
  </mc:AlternateContent>
  <bookViews>
    <workbookView xWindow="0" yWindow="0" windowWidth="28800" windowHeight="12435" activeTab="1"/>
  </bookViews>
  <sheets>
    <sheet name="How To Use" sheetId="1" r:id="rId1"/>
    <sheet name="Inputs" sheetId="2" r:id="rId2"/>
    <sheet name="Buffs" sheetId="5" r:id="rId3"/>
    <sheet name="Summary" sheetId="6" r:id="rId4"/>
    <sheet name=" Spirit Calc" sheetId="11" r:id="rId5"/>
    <sheet name="Stat Compare" sheetId="14" state="hidden" r:id="rId6"/>
    <sheet name="Damage Reduction " sheetId="10" r:id="rId7"/>
    <sheet name="Various" sheetId="12" r:id="rId8"/>
    <sheet name="Calculations &amp; Constants" sheetId="7" r:id="rId9"/>
    <sheet name="Updates" sheetId="8" r:id="rId10"/>
    <sheet name="Sheet1" sheetId="15" r:id="rId11"/>
  </sheets>
  <definedNames>
    <definedName name="DoNotEdit">Inputs!$B$39:$B$40</definedName>
  </definedNames>
  <calcPr calcId="152511"/>
</workbook>
</file>

<file path=xl/calcChain.xml><?xml version="1.0" encoding="utf-8"?>
<calcChain xmlns="http://schemas.openxmlformats.org/spreadsheetml/2006/main">
  <c r="B11" i="10" l="1"/>
  <c r="G29" i="12" l="1"/>
  <c r="B12" i="10"/>
  <c r="B10" i="10"/>
  <c r="B9" i="10"/>
  <c r="B81" i="7" l="1"/>
  <c r="B79" i="7"/>
  <c r="B76" i="7"/>
  <c r="G35" i="2"/>
  <c r="C32" i="14"/>
  <c r="C26" i="14" l="1"/>
  <c r="C25" i="14"/>
  <c r="C24" i="14"/>
  <c r="C23" i="14"/>
  <c r="C18" i="14"/>
  <c r="C17" i="14"/>
  <c r="C15" i="14"/>
  <c r="C14" i="14"/>
  <c r="C16" i="14"/>
  <c r="C9" i="14"/>
  <c r="C8" i="14"/>
  <c r="C6" i="14"/>
  <c r="C5" i="14"/>
  <c r="B28" i="2"/>
  <c r="B36" i="2"/>
  <c r="B37" i="2"/>
  <c r="C20" i="14" s="1"/>
  <c r="B25" i="2"/>
  <c r="C11" i="14" s="1"/>
  <c r="B24" i="2"/>
  <c r="D54" i="2" l="1"/>
  <c r="A32" i="7"/>
  <c r="B15" i="7" s="1"/>
  <c r="D58" i="2"/>
  <c r="C19" i="14"/>
  <c r="C10" i="14"/>
  <c r="F4" i="11"/>
  <c r="F3" i="11"/>
  <c r="G48" i="12" l="1"/>
  <c r="G47" i="12"/>
  <c r="G46" i="12"/>
  <c r="G45" i="12"/>
  <c r="G44" i="12"/>
  <c r="G36" i="12"/>
  <c r="G37" i="12"/>
  <c r="G38" i="12"/>
  <c r="G39" i="12"/>
  <c r="G40" i="12"/>
  <c r="G41" i="12"/>
  <c r="G42" i="12"/>
  <c r="G43" i="12"/>
  <c r="G35" i="12"/>
  <c r="C35" i="12"/>
  <c r="C36" i="12"/>
  <c r="C37" i="12"/>
  <c r="C38" i="12"/>
  <c r="C39" i="12"/>
  <c r="C40" i="12"/>
  <c r="C41" i="12"/>
  <c r="C42" i="12"/>
  <c r="C43" i="12"/>
  <c r="C44" i="12"/>
  <c r="P36" i="12" l="1"/>
  <c r="P52" i="12" s="1"/>
  <c r="P28" i="12"/>
  <c r="P53" i="12" l="1"/>
  <c r="P54" i="12"/>
  <c r="A46" i="7" l="1"/>
  <c r="B16" i="2"/>
  <c r="B4" i="7" s="1"/>
  <c r="C7" i="14" l="1"/>
  <c r="V6" i="12"/>
  <c r="V5" i="12"/>
  <c r="V4" i="12"/>
  <c r="U41" i="12"/>
  <c r="V40" i="12"/>
  <c r="V39" i="12"/>
  <c r="V38" i="12"/>
  <c r="V37" i="12"/>
  <c r="V41" i="12" l="1"/>
  <c r="W28" i="12" s="1"/>
  <c r="V7" i="12"/>
  <c r="V8" i="12" s="1"/>
  <c r="G58" i="2" l="1"/>
  <c r="G54" i="2"/>
  <c r="I54" i="2" l="1"/>
  <c r="O57" i="2" s="1"/>
  <c r="G9" i="2"/>
  <c r="J4" i="2"/>
  <c r="J5" i="2"/>
  <c r="K6" i="2"/>
  <c r="J6" i="2"/>
  <c r="K5" i="2"/>
  <c r="K4" i="2"/>
  <c r="L4" i="2" l="1"/>
  <c r="L6" i="2"/>
  <c r="L5" i="2"/>
  <c r="K7" i="2"/>
  <c r="B13" i="2" s="1"/>
  <c r="A44" i="7"/>
  <c r="D30" i="14" l="1"/>
  <c r="M17" i="11"/>
  <c r="B22" i="11"/>
  <c r="F14" i="11"/>
  <c r="B10" i="11"/>
  <c r="B9" i="11"/>
  <c r="F7" i="11"/>
  <c r="B7" i="11"/>
  <c r="F6" i="11"/>
  <c r="B6" i="11"/>
  <c r="F5" i="11"/>
  <c r="B5" i="11"/>
  <c r="B4" i="11"/>
  <c r="B3" i="11"/>
  <c r="C30" i="11" l="1"/>
  <c r="C31" i="11"/>
  <c r="C29" i="11"/>
  <c r="B11" i="11"/>
  <c r="B8" i="11"/>
  <c r="F8" i="11"/>
  <c r="B14" i="11" l="1"/>
  <c r="B16" i="11" s="1"/>
  <c r="F16" i="11" s="1"/>
  <c r="F17" i="11" s="1"/>
  <c r="F19" i="11" l="1"/>
  <c r="F31" i="11" s="1"/>
  <c r="F32" i="11" l="1"/>
  <c r="F29" i="11"/>
  <c r="F30" i="11"/>
  <c r="B20" i="10"/>
  <c r="B22" i="10" s="1"/>
  <c r="E20" i="10"/>
  <c r="E22" i="10" s="1"/>
  <c r="B23" i="10"/>
  <c r="E23" i="10"/>
  <c r="B24" i="10"/>
  <c r="E24" i="10"/>
  <c r="B26" i="10"/>
  <c r="E26" i="10"/>
  <c r="B86" i="7"/>
  <c r="B78" i="7"/>
  <c r="B87" i="7"/>
  <c r="O55" i="2" s="1"/>
  <c r="A5" i="6"/>
  <c r="O54" i="2" l="1"/>
  <c r="B90" i="7"/>
  <c r="O58" i="2" s="1"/>
  <c r="B80" i="7"/>
  <c r="C5" i="6" s="1"/>
  <c r="B25" i="10"/>
  <c r="B16" i="10" s="1"/>
  <c r="E25" i="10"/>
  <c r="B82" i="7" l="1"/>
  <c r="C4" i="6" s="1"/>
  <c r="G10" i="10"/>
  <c r="B27" i="10"/>
  <c r="E27" i="10"/>
  <c r="E16" i="10"/>
  <c r="G13" i="10" s="1"/>
  <c r="B83" i="7" l="1"/>
  <c r="C6" i="6" s="1"/>
  <c r="B28" i="10"/>
  <c r="E28" i="10"/>
  <c r="J7" i="2" l="1"/>
  <c r="B12" i="2" l="1"/>
  <c r="C30" i="14" l="1"/>
  <c r="C34" i="14" s="1"/>
  <c r="B7" i="7"/>
  <c r="B9" i="7" s="1"/>
  <c r="B18" i="7"/>
  <c r="C35" i="14" l="1"/>
  <c r="G17" i="14" s="1"/>
  <c r="B8" i="7"/>
  <c r="B19" i="7"/>
  <c r="F17" i="14" l="1"/>
  <c r="B11" i="7"/>
  <c r="B22" i="7"/>
  <c r="B7" i="6" l="1"/>
  <c r="B27" i="7"/>
  <c r="B89" i="7" l="1"/>
  <c r="B17" i="7" l="1"/>
  <c r="B10" i="7"/>
  <c r="B6" i="7" l="1"/>
  <c r="B16" i="7"/>
  <c r="B5" i="7"/>
  <c r="B20" i="7"/>
  <c r="B21" i="7" s="1"/>
  <c r="B23" i="7" s="1"/>
  <c r="A40" i="7"/>
  <c r="F29" i="12" s="1"/>
  <c r="B12" i="7"/>
  <c r="C89" i="7"/>
  <c r="D30" i="12" l="1"/>
  <c r="M9" i="11"/>
  <c r="P7" i="11" s="1"/>
  <c r="B56" i="7"/>
  <c r="E56" i="7" s="1"/>
  <c r="B57" i="7"/>
  <c r="B64" i="7"/>
  <c r="E64" i="7" s="1"/>
  <c r="B65" i="7"/>
  <c r="D29" i="12"/>
  <c r="B26" i="7"/>
  <c r="W12" i="12"/>
  <c r="A36" i="7"/>
  <c r="B88" i="7"/>
  <c r="B93" i="7" s="1"/>
  <c r="D89" i="7"/>
  <c r="B28" i="7"/>
  <c r="B29" i="7"/>
  <c r="A42" i="7" l="1"/>
  <c r="C57" i="7" s="1"/>
  <c r="E57" i="7" s="1"/>
  <c r="E29" i="2"/>
  <c r="F29" i="2"/>
  <c r="G38" i="2"/>
  <c r="B55" i="7"/>
  <c r="E55" i="7" s="1"/>
  <c r="B71" i="7"/>
  <c r="F64" i="7"/>
  <c r="B63" i="7"/>
  <c r="E63" i="7" s="1"/>
  <c r="P12" i="11"/>
  <c r="L13" i="11"/>
  <c r="P11" i="11"/>
  <c r="L4" i="11"/>
  <c r="P4" i="11"/>
  <c r="L14" i="11"/>
  <c r="L12" i="11"/>
  <c r="L7" i="11"/>
  <c r="P6" i="11"/>
  <c r="P14" i="11"/>
  <c r="P8" i="11"/>
  <c r="L5" i="11"/>
  <c r="P15" i="11"/>
  <c r="L11" i="11"/>
  <c r="P5" i="11"/>
  <c r="L8" i="11"/>
  <c r="L15" i="11"/>
  <c r="L6" i="11"/>
  <c r="P13" i="11"/>
  <c r="B48" i="7"/>
  <c r="B94" i="7"/>
  <c r="O56" i="2"/>
  <c r="K54" i="2" s="1"/>
  <c r="C91" i="7"/>
  <c r="B91" i="7"/>
  <c r="B4" i="6" s="1"/>
  <c r="D91" i="7"/>
  <c r="B92" i="7"/>
  <c r="F56" i="7"/>
  <c r="A8" i="6" l="1"/>
  <c r="C65" i="7"/>
  <c r="E65" i="7" s="1"/>
  <c r="F65" i="7" s="1"/>
  <c r="G29" i="2"/>
  <c r="B70" i="7"/>
  <c r="F63" i="7"/>
  <c r="B58" i="7"/>
  <c r="B39" i="2"/>
  <c r="G8" i="2" s="1"/>
  <c r="B59" i="7"/>
  <c r="F55" i="7"/>
  <c r="F57" i="7"/>
  <c r="C37" i="14" l="1"/>
  <c r="E18" i="5"/>
  <c r="B66" i="7"/>
  <c r="E32" i="2" s="1"/>
  <c r="B67" i="7"/>
  <c r="G32" i="2" s="1"/>
  <c r="B96" i="7" s="1"/>
  <c r="B72" i="7"/>
  <c r="B74" i="7" s="1"/>
  <c r="C72" i="7" s="1"/>
  <c r="D57" i="7"/>
  <c r="F15" i="2"/>
  <c r="I15" i="2" s="1"/>
  <c r="M4" i="12"/>
  <c r="E19" i="12"/>
  <c r="I12" i="2"/>
  <c r="K12" i="2" s="1"/>
  <c r="B49" i="7"/>
  <c r="B50" i="7" s="1"/>
  <c r="E6" i="6" s="1"/>
  <c r="E67" i="7"/>
  <c r="F67" i="7"/>
  <c r="D56" i="7"/>
  <c r="D55" i="7"/>
  <c r="F59" i="7"/>
  <c r="E59" i="7"/>
  <c r="D65" i="7" l="1"/>
  <c r="D63" i="7"/>
  <c r="D64" i="7"/>
  <c r="F32" i="2"/>
  <c r="E5" i="6"/>
  <c r="P14" i="12"/>
  <c r="P5" i="12"/>
  <c r="P11" i="12"/>
  <c r="P8" i="12"/>
  <c r="E4" i="6"/>
  <c r="B5" i="6"/>
  <c r="B40" i="2"/>
  <c r="E25" i="5" s="1"/>
  <c r="C71" i="7"/>
  <c r="C70" i="7"/>
  <c r="E7" i="6" l="1"/>
  <c r="A6" i="6"/>
</calcChain>
</file>

<file path=xl/comments1.xml><?xml version="1.0" encoding="utf-8"?>
<comments xmlns="http://schemas.openxmlformats.org/spreadsheetml/2006/main">
  <authors>
    <author>edward.florent</author>
  </authors>
  <commentList>
    <comment ref="A3" authorId="0" shapeId="0">
      <text>
        <r>
          <rPr>
            <sz val="8"/>
            <color indexed="81"/>
            <rFont val="Tahoma"/>
            <family val="2"/>
          </rPr>
          <t>As seen on items such as SoJ and Littany of the Damned rings.
The value will not be included in calculations unless 'Buffs' cell, I7 is toggled to "Y"</t>
        </r>
      </text>
    </comment>
    <comment ref="A4" authorId="0" shapeId="0">
      <text>
        <r>
          <rPr>
            <sz val="8"/>
            <color indexed="81"/>
            <rFont val="Tahoma"/>
            <family val="2"/>
          </rPr>
          <t xml:space="preserve">As seen on Tyreal armor.
The value will not be included in calculations unless 'Buffs' cell, J7 is toggled to "Y"
</t>
        </r>
      </text>
    </comment>
    <comment ref="G4" authorId="0" shapeId="0">
      <text>
        <r>
          <rPr>
            <sz val="8"/>
            <color indexed="81"/>
            <rFont val="Tahoma"/>
            <family val="2"/>
          </rPr>
          <t xml:space="preserve">Sometimes jewelry will roll with an extra (min) or (max) roll. Enter that here.
</t>
        </r>
      </text>
    </comment>
    <comment ref="L4" authorId="0" shapeId="0">
      <text>
        <r>
          <rPr>
            <sz val="8"/>
            <color indexed="81"/>
            <rFont val="Tahoma"/>
            <family val="2"/>
          </rPr>
          <t xml:space="preserve">If you have hidden damage on a piece of jewelry it can affect your overall Avg Damage. This formula will take that into account as well as compute "normal" average damage.
</t>
        </r>
      </text>
    </comment>
    <comment ref="A5" authorId="0" shapeId="0">
      <text>
        <r>
          <rPr>
            <sz val="8"/>
            <color indexed="81"/>
            <rFont val="Tahoma"/>
            <family val="2"/>
          </rPr>
          <t xml:space="preserve">This is non-weapons based, GEAR ONLY attack speed. 
</t>
        </r>
      </text>
    </comment>
    <comment ref="L5" authorId="0" shapeId="0">
      <text>
        <r>
          <rPr>
            <sz val="8"/>
            <color indexed="81"/>
            <rFont val="Tahoma"/>
            <family val="2"/>
          </rPr>
          <t xml:space="preserve">If you have hidden damage on a piece of jewelry it can affect your overall Avg Damage. This formula will take that into account as well as compute "normal" average damage.
</t>
        </r>
      </text>
    </comment>
    <comment ref="L6" authorId="0" shapeId="0">
      <text>
        <r>
          <rPr>
            <sz val="8"/>
            <color indexed="81"/>
            <rFont val="Tahoma"/>
            <family val="2"/>
          </rPr>
          <t xml:space="preserve">If you have hidden damage on a piece of jewelry it can affect your overall Avg Damage. This formula will take that into account as well as compute "normal" average damage.
</t>
        </r>
      </text>
    </comment>
    <comment ref="A8" authorId="0" shapeId="0">
      <text>
        <r>
          <rPr>
            <sz val="8"/>
            <color indexed="81"/>
            <rFont val="Tahoma"/>
            <family val="2"/>
          </rPr>
          <t xml:space="preserve">This affix is found on items like WKL, Zuni Boots, Inna's belt, and SoJ rings.
The values are additive.
</t>
        </r>
      </text>
    </comment>
    <comment ref="A11" authorId="0" shapeId="0">
      <text>
        <r>
          <rPr>
            <sz val="8"/>
            <color indexed="81"/>
            <rFont val="Tahoma"/>
            <family val="2"/>
          </rPr>
          <t xml:space="preserve">This affix as well as the FoT variant are found on gear pieces such as Inn's Helm, Skull Grasp rings, and some amulets.
</t>
        </r>
      </text>
    </comment>
    <comment ref="A16" authorId="0" shapeId="0">
      <text>
        <r>
          <rPr>
            <sz val="8"/>
            <color indexed="81"/>
            <rFont val="Tahoma"/>
            <family val="2"/>
          </rPr>
          <t xml:space="preserve">The cell contains the calculated AS value. Do not mess with it.
</t>
        </r>
      </text>
    </comment>
    <comment ref="A17" authorId="0" shapeId="0">
      <text>
        <r>
          <rPr>
            <sz val="8"/>
            <color indexed="81"/>
            <rFont val="Tahoma"/>
            <family val="2"/>
          </rPr>
          <t xml:space="preserve">This is the weapons base attack speed, not what is shown on the weapon.
For ex: Daggers have a base of 1.5; swords 1.4, axes 1.3, ect.
</t>
        </r>
      </text>
    </comment>
    <comment ref="A18" authorId="0" shapeId="0">
      <text>
        <r>
          <rPr>
            <sz val="8"/>
            <color indexed="81"/>
            <rFont val="Tahoma"/>
            <family val="2"/>
          </rPr>
          <t xml:space="preserve">This is the attack speed bonus as seen on the weapon. 
For example:
+11% AS
</t>
        </r>
      </text>
    </comment>
    <comment ref="A19" authorId="0" shapeId="0">
      <text>
        <r>
          <rPr>
            <sz val="8"/>
            <color indexed="81"/>
            <rFont val="Tahoma"/>
            <family val="2"/>
          </rPr>
          <t xml:space="preserve">This is for weapons that have a decimal vice percentage based, attack speed bonus. With those types of weapons, the bonus applies to both the OH and the MH.
Ex: Echoing Fury
</t>
        </r>
      </text>
    </comment>
    <comment ref="A20" authorId="0" shapeId="0">
      <text>
        <r>
          <rPr>
            <sz val="8"/>
            <color indexed="81"/>
            <rFont val="Tahoma"/>
            <family val="2"/>
          </rPr>
          <t>This is the weapons min base damage. This value, along with the max base damage value are expressed in a range and listed right below the weapons DPS value.
Ex        1059 (DPS)
         (500.4 - 1002.9)</t>
        </r>
      </text>
    </comment>
    <comment ref="A21" authorId="0" shapeId="0">
      <text>
        <r>
          <rPr>
            <sz val="8"/>
            <color indexed="81"/>
            <rFont val="Tahoma"/>
            <family val="2"/>
          </rPr>
          <t xml:space="preserve">This is the weapons min base damage. This value, along with the max base damage value are expressed in a range and listed right below the weapons DPS value.
Ex        1059 (DPS)
         (500.4 - 1002.9)
</t>
        </r>
      </text>
    </comment>
    <comment ref="A22" authorId="0" shapeId="0">
      <text>
        <r>
          <rPr>
            <sz val="8"/>
            <color indexed="81"/>
            <rFont val="Tahoma"/>
            <family val="2"/>
          </rPr>
          <t xml:space="preserve">This value is found only on elemental weapons. It works the same way as the previously discussed min-max base damage.
The difference is that this value references the listed elemental damage range.
</t>
        </r>
      </text>
    </comment>
    <comment ref="A23" authorId="0" shapeId="0">
      <text>
        <r>
          <rPr>
            <sz val="8"/>
            <color indexed="81"/>
            <rFont val="Tahoma"/>
            <family val="2"/>
          </rPr>
          <t xml:space="preserve">This value is found only on elemental weapons. It works the same way as the previously discussed min-max base damage.
The difference is that this value references the listed elemental damage range.
</t>
        </r>
      </text>
    </comment>
    <comment ref="E28" authorId="0" shapeId="0">
      <text>
        <r>
          <rPr>
            <sz val="8"/>
            <color indexed="81"/>
            <rFont val="Tahoma"/>
            <family val="2"/>
          </rPr>
          <t xml:space="preserve">Single Target Life Per Second
</t>
        </r>
      </text>
    </comment>
    <comment ref="I28" authorId="0" shapeId="0">
      <text>
        <r>
          <rPr>
            <b/>
            <sz val="8"/>
            <color indexed="81"/>
            <rFont val="Tahoma"/>
            <family val="2"/>
          </rPr>
          <t xml:space="preserve">This is you </t>
        </r>
        <r>
          <rPr>
            <sz val="8"/>
            <color indexed="81"/>
            <rFont val="Tahoma"/>
            <family val="2"/>
          </rPr>
          <t xml:space="preserve">UNBUFFED, NON-STI armor value.
</t>
        </r>
      </text>
    </comment>
    <comment ref="D29" authorId="0" shapeId="0">
      <text>
        <r>
          <rPr>
            <sz val="8"/>
            <color indexed="81"/>
            <rFont val="Tahoma"/>
            <family val="2"/>
          </rPr>
          <t xml:space="preserve">Insert your cumilative LoH number.
</t>
        </r>
      </text>
    </comment>
    <comment ref="I29" authorId="0" shapeId="0">
      <text>
        <r>
          <rPr>
            <sz val="8"/>
            <color indexed="81"/>
            <rFont val="Tahoma"/>
            <family val="2"/>
          </rPr>
          <t xml:space="preserve">OWE value. If youre a non-OWE Monk, use your lowest individual resistance level.
</t>
        </r>
      </text>
    </comment>
    <comment ref="D31" authorId="0" shapeId="0">
      <text>
        <r>
          <rPr>
            <sz val="8"/>
            <color indexed="81"/>
            <rFont val="Tahoma"/>
            <family val="2"/>
          </rPr>
          <t xml:space="preserve">Insert your cumilative LS value.
</t>
        </r>
      </text>
    </comment>
    <comment ref="D35" authorId="0" shapeId="0">
      <text>
        <r>
          <rPr>
            <b/>
            <sz val="8"/>
            <color indexed="81"/>
            <rFont val="Tahoma"/>
            <family val="2"/>
          </rPr>
          <t>This affix is typically seen on Vile Wards but is on other armor pieces as well.</t>
        </r>
        <r>
          <rPr>
            <sz val="8"/>
            <color indexed="81"/>
            <rFont val="Tahoma"/>
            <family val="2"/>
          </rPr>
          <t xml:space="preserve">
</t>
        </r>
      </text>
    </comment>
    <comment ref="D37" authorId="0" shapeId="0">
      <text>
        <r>
          <rPr>
            <sz val="8"/>
            <color indexed="81"/>
            <rFont val="Tahoma"/>
            <family val="2"/>
          </rPr>
          <t xml:space="preserve">Not used to often at once past plvl 60 but this affix can be found on Helm and Weapons.
</t>
        </r>
      </text>
    </comment>
  </commentList>
</comments>
</file>

<file path=xl/comments2.xml><?xml version="1.0" encoding="utf-8"?>
<comments xmlns="http://schemas.openxmlformats.org/spreadsheetml/2006/main">
  <authors>
    <author>edward.florent</author>
    <author>Florent, Edward T CIV NAVSEA KPWA, 43</author>
  </authors>
  <commentList>
    <comment ref="D8" authorId="0" shapeId="0">
      <text>
        <r>
          <rPr>
            <sz val="8"/>
            <color indexed="81"/>
            <rFont val="Tahoma"/>
            <family val="2"/>
          </rPr>
          <t xml:space="preserve">Refers to a spirit generetor skill.( i.e. WotHF, FoT, Deadly Reach)
</t>
        </r>
      </text>
    </comment>
    <comment ref="E8" authorId="0" shapeId="0">
      <text>
        <r>
          <rPr>
            <sz val="8"/>
            <color indexed="81"/>
            <rFont val="Tahoma"/>
            <family val="2"/>
          </rPr>
          <t xml:space="preserve">Refers to a spirit generetor skill.( i.e. WotHF, FoT, Deadly Reach)
</t>
        </r>
      </text>
    </comment>
    <comment ref="F8" authorId="0" shapeId="0">
      <text>
        <r>
          <rPr>
            <sz val="8"/>
            <color indexed="81"/>
            <rFont val="Tahoma"/>
            <family val="2"/>
          </rPr>
          <t xml:space="preserve">Refers to a spirit generetor skill.( i.e. WotHF, FoT, Deadly Reach)
</t>
        </r>
      </text>
    </comment>
    <comment ref="G13" authorId="0" shapeId="0">
      <text>
        <r>
          <rPr>
            <sz val="8"/>
            <color indexed="81"/>
            <rFont val="Tahoma"/>
            <family val="2"/>
          </rPr>
          <t xml:space="preserve">This represents the buff Overawe buff after the initial 3 secs.
</t>
        </r>
      </text>
    </comment>
    <comment ref="H13" authorId="0" shapeId="0">
      <text>
        <r>
          <rPr>
            <sz val="8"/>
            <color indexed="81"/>
            <rFont val="Tahoma"/>
            <family val="2"/>
          </rPr>
          <t xml:space="preserve">This represent the overawe buff during the intial 3 sec activation.
</t>
        </r>
      </text>
    </comment>
    <comment ref="G18" authorId="1" shapeId="0">
      <text>
        <r>
          <rPr>
            <sz val="9"/>
            <color indexed="81"/>
            <rFont val="Tahoma"/>
            <family val="2"/>
          </rPr>
          <t>Note: Even if you are counting DR as one of your 3 generators you still need to toggle this cell before the 18% bonus is applied</t>
        </r>
        <r>
          <rPr>
            <b/>
            <sz val="9"/>
            <color indexed="81"/>
            <rFont val="Tahoma"/>
            <family val="2"/>
          </rPr>
          <t>.</t>
        </r>
        <r>
          <rPr>
            <sz val="9"/>
            <color indexed="81"/>
            <rFont val="Tahoma"/>
            <family val="2"/>
          </rPr>
          <t xml:space="preserve">
</t>
        </r>
      </text>
    </comment>
    <comment ref="G23" authorId="1" shapeId="0">
      <text>
        <r>
          <rPr>
            <sz val="9"/>
            <color indexed="81"/>
            <rFont val="Tahoma"/>
            <family val="2"/>
          </rPr>
          <t xml:space="preserve">
Even though the tooltip says 15%, actual testing has revealed that the bonus is, in reality, .15 aps. So it doesn’t add the 15% to AS, it  applies +.15 to the formula that determines weapon AS.</t>
        </r>
      </text>
    </comment>
    <comment ref="C26" authorId="0" shapeId="0">
      <text>
        <r>
          <rPr>
            <sz val="8"/>
            <color indexed="81"/>
            <rFont val="Tahoma"/>
            <family val="2"/>
          </rPr>
          <t xml:space="preserve">This works directly with Inputs' cell, J28. It will add 50% of your dexterity value as armor. You wont see this applied but it will be reflected on the damage mitigation and EHP values on the 'Summary' tab.
</t>
        </r>
      </text>
    </comment>
    <comment ref="G36" authorId="0" shapeId="0">
      <text>
        <r>
          <rPr>
            <sz val="8"/>
            <color indexed="81"/>
            <rFont val="Tahoma"/>
            <family val="2"/>
          </rPr>
          <t>Toggle this cell if you are wearing a SoJ or anything that give a % bonus against elites. 
When in the  "Y" state, this allows 'DPS Stats' cell B3 to be figured into the DPS equation</t>
        </r>
      </text>
    </comment>
    <comment ref="H36" authorId="0" shapeId="0">
      <text>
        <r>
          <rPr>
            <sz val="8"/>
            <color indexed="81"/>
            <rFont val="Tahoma"/>
            <family val="2"/>
          </rPr>
          <t xml:space="preserve">Toggle this cell if you are wearing a Tyreals armor or anything that give a % bonus against demons. 
When in the "Y" state,  this allows 'DPS Stats' cell B4 to be figured into the DPS equation
</t>
        </r>
      </text>
    </comment>
  </commentList>
</comments>
</file>

<file path=xl/comments3.xml><?xml version="1.0" encoding="utf-8"?>
<comments xmlns="http://schemas.openxmlformats.org/spreadsheetml/2006/main">
  <authors>
    <author>ed</author>
  </authors>
  <commentList>
    <comment ref="J7" authorId="0" shapeId="0">
      <text>
        <r>
          <rPr>
            <sz val="9"/>
            <color indexed="81"/>
            <rFont val="Tahoma"/>
            <family val="2"/>
          </rPr>
          <t>15 spirit / crit</t>
        </r>
      </text>
    </comment>
    <comment ref="N7" authorId="0" shapeId="0">
      <text>
        <r>
          <rPr>
            <sz val="9"/>
            <color indexed="81"/>
            <rFont val="Tahoma"/>
            <family val="2"/>
          </rPr>
          <t>10 spirit /crit</t>
        </r>
      </text>
    </comment>
    <comment ref="N13" authorId="0" shapeId="0">
      <text>
        <r>
          <rPr>
            <sz val="9"/>
            <color indexed="81"/>
            <rFont val="Tahoma"/>
            <family val="2"/>
          </rPr>
          <t>5 spirit /crit</t>
        </r>
      </text>
    </comment>
    <comment ref="J14" authorId="0" shapeId="0">
      <text>
        <r>
          <rPr>
            <sz val="9"/>
            <color indexed="81"/>
            <rFont val="Tahoma"/>
            <family val="2"/>
          </rPr>
          <t>15% chance to grant 15 spirit</t>
        </r>
      </text>
    </comment>
  </commentList>
</comments>
</file>

<file path=xl/comments4.xml><?xml version="1.0" encoding="utf-8"?>
<comments xmlns="http://schemas.openxmlformats.org/spreadsheetml/2006/main">
  <authors>
    <author>edward.florent</author>
  </authors>
  <commentList>
    <comment ref="B14" authorId="0" shapeId="0">
      <text>
        <r>
          <rPr>
            <b/>
            <sz val="8"/>
            <color indexed="81"/>
            <rFont val="Tahoma"/>
            <family val="2"/>
          </rPr>
          <t>Arbitrary value of incoming damge. Used to help illustrate damage take after mitigation.</t>
        </r>
        <r>
          <rPr>
            <sz val="8"/>
            <color indexed="81"/>
            <rFont val="Tahoma"/>
            <family val="2"/>
          </rPr>
          <t xml:space="preserve">
</t>
        </r>
      </text>
    </comment>
    <comment ref="B16" authorId="0" shapeId="0">
      <text>
        <r>
          <rPr>
            <b/>
            <sz val="8"/>
            <color indexed="81"/>
            <rFont val="Tahoma"/>
            <family val="2"/>
          </rPr>
          <t>This value represent the raw damage taken after mitigation. This is how much your HP globe will lose.</t>
        </r>
        <r>
          <rPr>
            <sz val="8"/>
            <color indexed="81"/>
            <rFont val="Tahoma"/>
            <family val="2"/>
          </rPr>
          <t xml:space="preserve">
</t>
        </r>
      </text>
    </comment>
  </commentList>
</comments>
</file>

<file path=xl/comments5.xml><?xml version="1.0" encoding="utf-8"?>
<comments xmlns="http://schemas.openxmlformats.org/spreadsheetml/2006/main">
  <authors>
    <author>edward.florent</author>
  </authors>
  <commentList>
    <comment ref="P4" authorId="0" shapeId="0">
      <text>
        <r>
          <rPr>
            <sz val="8"/>
            <color indexed="81"/>
            <rFont val="Tahoma"/>
            <family val="2"/>
          </rPr>
          <t xml:space="preserve">In normal difficulty mode you 100 % of the LS value.
</t>
        </r>
      </text>
    </comment>
    <comment ref="P7" authorId="0" shapeId="0">
      <text>
        <r>
          <rPr>
            <sz val="8"/>
            <color indexed="81"/>
            <rFont val="Tahoma"/>
            <family val="2"/>
          </rPr>
          <t xml:space="preserve">In nightmare difficulty mode you 70 % of the LS value.
</t>
        </r>
      </text>
    </comment>
    <comment ref="P10" authorId="0" shapeId="0">
      <text>
        <r>
          <rPr>
            <sz val="8"/>
            <color indexed="81"/>
            <rFont val="Tahoma"/>
            <family val="2"/>
          </rPr>
          <t xml:space="preserve">In nightmare difficulty mode you 40 % of the LS value.
</t>
        </r>
      </text>
    </comment>
    <comment ref="P13" authorId="0" shapeId="0">
      <text>
        <r>
          <rPr>
            <sz val="8"/>
            <color indexed="81"/>
            <rFont val="Tahoma"/>
            <family val="2"/>
          </rPr>
          <t xml:space="preserve">In Inferno difficulty mode you 20 % of the LS value.
</t>
        </r>
      </text>
    </comment>
    <comment ref="M40" authorId="0" shapeId="0">
      <text>
        <r>
          <rPr>
            <sz val="8"/>
            <color indexed="81"/>
            <rFont val="Tahoma"/>
            <family val="2"/>
          </rPr>
          <t xml:space="preserve">+average from jewelry
</t>
        </r>
      </text>
    </comment>
    <comment ref="M41" authorId="0" shapeId="0">
      <text>
        <r>
          <rPr>
            <sz val="8"/>
            <color indexed="81"/>
            <rFont val="Tahoma"/>
            <family val="2"/>
          </rPr>
          <t xml:space="preserve">Things like +7% from Zunis Boots and/or % damage from SoJ
</t>
        </r>
      </text>
    </comment>
    <comment ref="M45" authorId="0" shapeId="0">
      <text>
        <r>
          <rPr>
            <sz val="8"/>
            <color indexed="81"/>
            <rFont val="Tahoma"/>
            <family val="2"/>
          </rPr>
          <t xml:space="preserve">Things like +28 % damage to elites, etc.
</t>
        </r>
      </text>
    </comment>
    <comment ref="M46" authorId="0" shapeId="0">
      <text>
        <r>
          <rPr>
            <sz val="8"/>
            <color indexed="81"/>
            <rFont val="Tahoma"/>
            <family val="2"/>
          </rPr>
          <t xml:space="preserve">Ex. MoC: Overawe = 48%
</t>
        </r>
      </text>
    </comment>
  </commentList>
</comments>
</file>

<file path=xl/sharedStrings.xml><?xml version="1.0" encoding="utf-8"?>
<sst xmlns="http://schemas.openxmlformats.org/spreadsheetml/2006/main" count="601" uniqueCount="446">
  <si>
    <t>Step 1:</t>
  </si>
  <si>
    <t>Step 3:</t>
  </si>
  <si>
    <t>View the Summary tab for all your info!</t>
  </si>
  <si>
    <t>DPS Stats</t>
  </si>
  <si>
    <t>Dexterity</t>
  </si>
  <si>
    <t>Elite Damage Bonus</t>
  </si>
  <si>
    <t>Demon Damage Bonus</t>
  </si>
  <si>
    <t>Crit Chance</t>
  </si>
  <si>
    <t>Crit Damage</t>
  </si>
  <si>
    <t>% Added as Elemental</t>
  </si>
  <si>
    <t>Bonus Lightning Damage</t>
  </si>
  <si>
    <t>Fists of Thunder Bonus</t>
  </si>
  <si>
    <t>Sweeping Wind Bonus</t>
  </si>
  <si>
    <t>Min Bonus Damage</t>
  </si>
  <si>
    <t>Max Bonus Damage</t>
  </si>
  <si>
    <t>Mainhand</t>
  </si>
  <si>
    <t>Min Base Damage</t>
  </si>
  <si>
    <t>Max Base Damage</t>
  </si>
  <si>
    <t>Min Physical Base Damage</t>
  </si>
  <si>
    <t>Max Phys Damage</t>
  </si>
  <si>
    <t>Offhand</t>
  </si>
  <si>
    <t>Min Damage</t>
  </si>
  <si>
    <t>Max Damage</t>
  </si>
  <si>
    <t>Min Phys Damage</t>
  </si>
  <si>
    <t>ETDPS</t>
  </si>
  <si>
    <t>Armor</t>
  </si>
  <si>
    <t>Resist</t>
  </si>
  <si>
    <t>Vitality</t>
  </si>
  <si>
    <t>Life % Bonus</t>
  </si>
  <si>
    <t>LoH</t>
  </si>
  <si>
    <t>Single Target LPS</t>
  </si>
  <si>
    <t>AoE LPS</t>
  </si>
  <si>
    <t>Total LPS</t>
  </si>
  <si>
    <t>Life Steal</t>
  </si>
  <si>
    <t>Regen</t>
  </si>
  <si>
    <t>NA</t>
  </si>
  <si>
    <t>Life per Spirit Spent</t>
  </si>
  <si>
    <t>Blazing Wrath</t>
  </si>
  <si>
    <t>Conviction Aura</t>
  </si>
  <si>
    <t>Overawe</t>
  </si>
  <si>
    <t>Foresight</t>
  </si>
  <si>
    <t>Transgression</t>
  </si>
  <si>
    <t>y</t>
  </si>
  <si>
    <t>n</t>
  </si>
  <si>
    <t>Blazing Fists</t>
  </si>
  <si>
    <t>Seize the Initiative</t>
  </si>
  <si>
    <t>Beacon of Ytar</t>
  </si>
  <si>
    <t>Number of Monsters Being Attacked</t>
  </si>
  <si>
    <t>DPS</t>
  </si>
  <si>
    <t>EHP</t>
  </si>
  <si>
    <t>With all buffs active your base (SCRAM) dps is:</t>
  </si>
  <si>
    <t>Mainhand Damage per Swing
Offhand Damage per Swing</t>
  </si>
  <si>
    <t>Calculations: Do Not Edit</t>
  </si>
  <si>
    <t>Adjusted APS</t>
  </si>
  <si>
    <t>Percent of APS</t>
  </si>
  <si>
    <t>Percent Active Per Second</t>
  </si>
  <si>
    <t>Elem Bonus Damage</t>
  </si>
  <si>
    <t>Base Damage</t>
  </si>
  <si>
    <t>FitL Bonus Damage</t>
  </si>
  <si>
    <t>Base Damage w/ FitL</t>
  </si>
  <si>
    <t>Actual Weapon Damage per Hit</t>
  </si>
  <si>
    <t>Actual Weapon Damage per Hit w/FitL</t>
  </si>
  <si>
    <t>Base Damage w/FitL</t>
  </si>
  <si>
    <t>Average Dual Wield</t>
  </si>
  <si>
    <t>Snapshot Weapon Damage per Hit</t>
  </si>
  <si>
    <t>Snapshot Weapon Damage per Hit w/FitL</t>
  </si>
  <si>
    <t>Buffed IAS</t>
  </si>
  <si>
    <t>Generator IAS Multiplier</t>
  </si>
  <si>
    <t>Average APS</t>
  </si>
  <si>
    <t>Average Proc Coefficient Per Hit</t>
  </si>
  <si>
    <t>True Average Base Attack Speed</t>
  </si>
  <si>
    <t>Chance for Cyclone Per Second</t>
  </si>
  <si>
    <t>Damage Buffs</t>
  </si>
  <si>
    <t>Life per Second per 1 Life on Hit</t>
  </si>
  <si>
    <t>Life per Second per 1% Lifesteal</t>
  </si>
  <si>
    <t>Life on Hit Multiplier to equal 1% Lifesteal</t>
  </si>
  <si>
    <t>Damage (Full Buff Activated Sweeping Winds)</t>
  </si>
  <si>
    <t>Cyclones Up</t>
  </si>
  <si>
    <t>% of Total DPS</t>
  </si>
  <si>
    <t>Damage Dealer</t>
  </si>
  <si>
    <t>Fists of Thunder: Thunder Clap</t>
  </si>
  <si>
    <t>Sweeping Wind</t>
  </si>
  <si>
    <t>Cyclones</t>
  </si>
  <si>
    <t>Primary Target DPS</t>
  </si>
  <si>
    <t>Total DPS</t>
  </si>
  <si>
    <t>Damage During Faith in the Light</t>
  </si>
  <si>
    <t>Skill</t>
  </si>
  <si>
    <t>% of total DPS</t>
  </si>
  <si>
    <t>Fists of Thunder DPS</t>
  </si>
  <si>
    <t>Sweeping Wind DPS</t>
  </si>
  <si>
    <t>Cyclone DPS</t>
  </si>
  <si>
    <t>Buffed Armor</t>
  </si>
  <si>
    <t>Base DR</t>
  </si>
  <si>
    <t>Armor DR</t>
  </si>
  <si>
    <t>Resist DR</t>
  </si>
  <si>
    <t>Total Mitigation</t>
  </si>
  <si>
    <t>Max HP</t>
  </si>
  <si>
    <t>Effective HP</t>
  </si>
  <si>
    <t>EHP Healed per 1HP Healed</t>
  </si>
  <si>
    <t>SCRAM DPS</t>
  </si>
  <si>
    <t>Normal</t>
  </si>
  <si>
    <t>MH FitL</t>
  </si>
  <si>
    <t>OH FitL</t>
  </si>
  <si>
    <t>S = 1+(Dexterity/100)</t>
  </si>
  <si>
    <t>C = 1+(Crit Chance * Crit Damage)</t>
  </si>
  <si>
    <t>R = Attack Speed</t>
  </si>
  <si>
    <t>A = Base Damage</t>
  </si>
  <si>
    <t>M = Total % Damage Bonus</t>
  </si>
  <si>
    <t>Total = S * C * R * A * M</t>
  </si>
  <si>
    <t>Total = S * C * R * A * M (Elites)</t>
  </si>
  <si>
    <t>Total = S * C * R * A * M (Demons)</t>
  </si>
  <si>
    <t>Total = S * C * R * A * M (Elite Demons)</t>
  </si>
  <si>
    <t>Total Life per Second</t>
  </si>
  <si>
    <t>Updates</t>
  </si>
  <si>
    <t>Date</t>
  </si>
  <si>
    <t>Description</t>
  </si>
  <si>
    <t>Added reflect damage calculation to Summary page</t>
  </si>
  <si>
    <t>Fixed Blazing Wrath bonus not being calculated</t>
  </si>
  <si>
    <t>HP:EHP Ratio (1:</t>
  </si>
  <si>
    <t>Bonus DR</t>
  </si>
  <si>
    <t>Damage taken after mitigation</t>
  </si>
  <si>
    <t>Incoming Damage</t>
  </si>
  <si>
    <t>Bonus Reduction (gear)</t>
  </si>
  <si>
    <t>Life Bonus</t>
  </si>
  <si>
    <t>Total Mitigation Difference</t>
  </si>
  <si>
    <t>Damage Taken Difference  *</t>
  </si>
  <si>
    <t>* Red = more damage taken</t>
  </si>
  <si>
    <t>* Green = less damage taken</t>
  </si>
  <si>
    <t>"A" / "B"  comparrison</t>
  </si>
  <si>
    <t>Skill:</t>
  </si>
  <si>
    <t>Spirit Generated</t>
  </si>
  <si>
    <t>Y/N</t>
  </si>
  <si>
    <t>Gear</t>
  </si>
  <si>
    <t xml:space="preserve">Exalted Soul                    </t>
  </si>
  <si>
    <t>Helm</t>
  </si>
  <si>
    <t xml:space="preserve">Chant of resonance         </t>
  </si>
  <si>
    <t xml:space="preserve">Circular Breathing          </t>
  </si>
  <si>
    <t>Amulet</t>
  </si>
  <si>
    <t xml:space="preserve">Inner Storm                     </t>
  </si>
  <si>
    <t>Inna's 3 piece set</t>
  </si>
  <si>
    <t>Belt  * Hellcat (Legacy)</t>
  </si>
  <si>
    <t>Skill total</t>
  </si>
  <si>
    <t>Gear Total</t>
  </si>
  <si>
    <t xml:space="preserve">Guardians Path              </t>
  </si>
  <si>
    <t>Templar</t>
  </si>
  <si>
    <t>Bonus Total</t>
  </si>
  <si>
    <t>Gear + Skill Spirit</t>
  </si>
  <si>
    <t>Cost of TR / Sec</t>
  </si>
  <si>
    <t>Total Spirit Generated</t>
  </si>
  <si>
    <t>Spirit Lacking?</t>
  </si>
  <si>
    <t>How much more do I need ?</t>
  </si>
  <si>
    <t>*This number should match your stat sheet</t>
  </si>
  <si>
    <t>Spirit Excess *:</t>
  </si>
  <si>
    <t>* This is how much gets added to your spirit pool /second. Its good to keep this number as high as possible in case you need to use spirit spenders other than just TR.</t>
  </si>
  <si>
    <t>Spirit Spenders</t>
  </si>
  <si>
    <t xml:space="preserve">Beacon of YTAR              </t>
  </si>
  <si>
    <t>* Reduces cool down times on SSS, BF and BoH</t>
  </si>
  <si>
    <t>Based on Infinite TR and the current rate of spirit excess,you can pop the following spenders every "X" seconds:</t>
  </si>
  <si>
    <t>Spirit Cost</t>
  </si>
  <si>
    <t>CD(sec)</t>
  </si>
  <si>
    <t>Breath of Heavan</t>
  </si>
  <si>
    <t>Breath Of Heavan</t>
  </si>
  <si>
    <t>Seven Sided Strike</t>
  </si>
  <si>
    <t>SSS</t>
  </si>
  <si>
    <t>Blinding Flash</t>
  </si>
  <si>
    <t>Total Spirit Spenders</t>
  </si>
  <si>
    <t>SSS/BF Combo</t>
  </si>
  <si>
    <t>Notes:</t>
  </si>
  <si>
    <t>* All user data entry points are represented by yellow shaded cells.</t>
  </si>
  <si>
    <t>* Spirit values for gear must be adjusted by the user. Click within the cell with the value and then adjust the formula accordingly.</t>
  </si>
  <si>
    <t>* I assumed that most TR monks are running Inna's 4 piece so I did not include a spirit cost for SW as it is negliable with the 4 piece set bonus.</t>
  </si>
  <si>
    <t>* This is a non-combat spirit regeneration / usage calculator. It does not factor in spirit regenaration from combat.</t>
  </si>
  <si>
    <t>Combination Strike</t>
  </si>
  <si>
    <t>Generator 1</t>
  </si>
  <si>
    <t>Generator 2</t>
  </si>
  <si>
    <t>Generator 3</t>
  </si>
  <si>
    <t>Gear bonus for:</t>
  </si>
  <si>
    <t>Added TR Spirit Calculator</t>
  </si>
  <si>
    <t>Added Damage Mitigation Calculator</t>
  </si>
  <si>
    <t>Fixed Transgression bonus from 3% to 8%</t>
  </si>
  <si>
    <t>Mantra of Conviction</t>
  </si>
  <si>
    <t>Followers</t>
  </si>
  <si>
    <t>Assumed duties from Meto.</t>
  </si>
  <si>
    <t xml:space="preserve"> Elite</t>
  </si>
  <si>
    <t xml:space="preserve"> Demon</t>
  </si>
  <si>
    <t>Deadly Reach</t>
  </si>
  <si>
    <t>Mantra of Retribution</t>
  </si>
  <si>
    <t>WoTHF</t>
  </si>
  <si>
    <t>Breath of Heaven</t>
  </si>
  <si>
    <t>IAS*</t>
  </si>
  <si>
    <t>* Do not add 15% for dual weild. This is done automatically</t>
  </si>
  <si>
    <t xml:space="preserve">SCRAM </t>
  </si>
  <si>
    <t>bob</t>
  </si>
  <si>
    <t>Redistributed as Monk Toolbox v1.0</t>
  </si>
  <si>
    <t>Added 3rd Generator to Combination Strike section on Buffs</t>
  </si>
  <si>
    <t>Min</t>
  </si>
  <si>
    <t>Max</t>
  </si>
  <si>
    <t>Hidden Min ?</t>
  </si>
  <si>
    <t>Hidden Max ?</t>
  </si>
  <si>
    <t>Total min</t>
  </si>
  <si>
    <t>Total max</t>
  </si>
  <si>
    <t>Ring #1</t>
  </si>
  <si>
    <t>Ring #2</t>
  </si>
  <si>
    <t>Totals</t>
  </si>
  <si>
    <t>Each point of average damage equates to</t>
  </si>
  <si>
    <t>DPS.</t>
  </si>
  <si>
    <r>
      <t>point(s) of</t>
    </r>
    <r>
      <rPr>
        <b/>
        <sz val="10"/>
        <color rgb="FF000000"/>
        <rFont val="Arial"/>
        <family val="2"/>
      </rPr>
      <t xml:space="preserve"> A</t>
    </r>
    <r>
      <rPr>
        <b/>
        <sz val="10"/>
        <rFont val="Arial"/>
        <family val="2"/>
      </rPr>
      <t>verage Damage</t>
    </r>
    <r>
      <rPr>
        <sz val="10"/>
        <color rgb="FF000000"/>
        <rFont val="Arial"/>
        <family val="2"/>
      </rPr>
      <t xml:space="preserve"> is</t>
    </r>
  </si>
  <si>
    <t>Single Target Buffs</t>
  </si>
  <si>
    <t>Exploding Palm: TFIW</t>
  </si>
  <si>
    <t>Listed % bonus</t>
  </si>
  <si>
    <t>WKL Stat sheet estimator</t>
  </si>
  <si>
    <t>OH</t>
  </si>
  <si>
    <t>MH Bonus</t>
  </si>
  <si>
    <t>MH AVG</t>
  </si>
  <si>
    <t>A=</t>
  </si>
  <si>
    <t xml:space="preserve">The DPS result of adding </t>
  </si>
  <si>
    <t>Avg Damage</t>
  </si>
  <si>
    <t>DPS Change</t>
  </si>
  <si>
    <t>Total Damage Reduction %</t>
  </si>
  <si>
    <t>Total Mitigation Reduction %</t>
  </si>
  <si>
    <t>Average Damage contributes</t>
  </si>
  <si>
    <t>DPS points and represents</t>
  </si>
  <si>
    <t>of your total DPS value</t>
  </si>
  <si>
    <t>+Attacks per Second</t>
  </si>
  <si>
    <t>Calculated APS</t>
  </si>
  <si>
    <t>Base APS</t>
  </si>
  <si>
    <t>Weapons AS Bonus %</t>
  </si>
  <si>
    <t>AVERAGE DAMAGE INPUT SECTION / CALCULATOR</t>
  </si>
  <si>
    <t>Enhanced the Average Damage Input section and added a calculator</t>
  </si>
  <si>
    <t>Added EP to the Buffs Tab</t>
  </si>
  <si>
    <t>Added a Various Tab. Contains a WKL Stat Sheet Damage Calc…</t>
  </si>
  <si>
    <t>Added +Attacks per Second input to the Weapons info on DPS Stats.</t>
  </si>
  <si>
    <t>A</t>
  </si>
  <si>
    <t>-HG_Johnny</t>
  </si>
  <si>
    <t>Standard min/max data entry for jewelry. It also allows for enty of "hidden" min/max values.</t>
  </si>
  <si>
    <t xml:space="preserve"> +Attacks per Second</t>
  </si>
  <si>
    <t>S</t>
  </si>
  <si>
    <t>R</t>
  </si>
  <si>
    <t>C</t>
  </si>
  <si>
    <t>M</t>
  </si>
  <si>
    <t>Combat Spirit Generation</t>
  </si>
  <si>
    <t>Thunderclap</t>
  </si>
  <si>
    <t>Lightning Flash</t>
  </si>
  <si>
    <t>Static Charge</t>
  </si>
  <si>
    <t>Quickening</t>
  </si>
  <si>
    <t>Bounding Light</t>
  </si>
  <si>
    <t>Piercing Trident</t>
  </si>
  <si>
    <t>Keen Eye</t>
  </si>
  <si>
    <t>Scattered Blows</t>
  </si>
  <si>
    <t>Strike from Beyond</t>
  </si>
  <si>
    <t>Way of the Hundred Fists</t>
  </si>
  <si>
    <t>Hands of Lightning</t>
  </si>
  <si>
    <t>Fists of Fury</t>
  </si>
  <si>
    <t>Spirited Salvo</t>
  </si>
  <si>
    <t>Windforce Furry</t>
  </si>
  <si>
    <t xml:space="preserve">Mangle </t>
  </si>
  <si>
    <t>Concussion</t>
  </si>
  <si>
    <t>Rising Tide</t>
  </si>
  <si>
    <t>Tsunami</t>
  </si>
  <si>
    <t>Breaking Wave</t>
  </si>
  <si>
    <t xml:space="preserve">Crippling Wave </t>
  </si>
  <si>
    <t>CC</t>
  </si>
  <si>
    <t xml:space="preserve">Fists of Thunder </t>
  </si>
  <si>
    <t xml:space="preserve">Deadly Reach </t>
  </si>
  <si>
    <t>This section uses your Average Base attack speed (auto input,middle gray box) and the generator IAS bonus (orange highlighted boxes) to compute the spirit generated by using a particular skill/rune.  The CC value is applied to runes that get bonus spirit from Critical Hits.</t>
  </si>
  <si>
    <t>Level</t>
  </si>
  <si>
    <t>Normal Difficulty</t>
  </si>
  <si>
    <t>Total Life Steal</t>
  </si>
  <si>
    <t>Health from LS (various difficulties)</t>
  </si>
  <si>
    <t>DPS (auto input)</t>
  </si>
  <si>
    <t>This number represents the value per single melee hit / cyclone strike</t>
  </si>
  <si>
    <t>Nightmare (70%)</t>
  </si>
  <si>
    <t>Hell (40%)</t>
  </si>
  <si>
    <t>Inferno (20%)</t>
  </si>
  <si>
    <t>NOTE: DPS manual entry will override auto input</t>
  </si>
  <si>
    <t>DPS (manual entry)</t>
  </si>
  <si>
    <t>MH</t>
  </si>
  <si>
    <t>Passive</t>
  </si>
  <si>
    <t>Item</t>
  </si>
  <si>
    <t>Value</t>
  </si>
  <si>
    <t>IAS Generator</t>
  </si>
  <si>
    <t>Total</t>
  </si>
  <si>
    <t>IAS Values</t>
  </si>
  <si>
    <t>Lashing Tail Kick</t>
  </si>
  <si>
    <t>Multiplier</t>
  </si>
  <si>
    <t>Cyclone Strike</t>
  </si>
  <si>
    <t>Fists of Thunder</t>
  </si>
  <si>
    <t>Crippling Wave</t>
  </si>
  <si>
    <t>Y</t>
  </si>
  <si>
    <t>Life Generated</t>
  </si>
  <si>
    <t>Calculating your chance to dodge</t>
  </si>
  <si>
    <t>Gaurdians Path</t>
  </si>
  <si>
    <t>DS: Blazing Speed</t>
  </si>
  <si>
    <t>CS: Wall of Wind</t>
  </si>
  <si>
    <t>Dodge %</t>
  </si>
  <si>
    <t>FoT: Lightning Flash</t>
  </si>
  <si>
    <t>1-100</t>
  </si>
  <si>
    <t>#</t>
  </si>
  <si>
    <t>101-500</t>
  </si>
  <si>
    <t>501-1000</t>
  </si>
  <si>
    <t>1001-8000</t>
  </si>
  <si>
    <t>Total % based on Dex</t>
  </si>
  <si>
    <t>Sixth Sense</t>
  </si>
  <si>
    <t>*MoE: Backlash</t>
  </si>
  <si>
    <t>* Inlcudes the 15% for MoE and the 15% for activation</t>
  </si>
  <si>
    <t>Life Per Spirit Spent</t>
  </si>
  <si>
    <t>Amount of Dex</t>
  </si>
  <si>
    <t>Changed TR Spirt tab to "Spirit Calc" and added an active sprit panel</t>
  </si>
  <si>
    <t>Added LS calculator to the "Various" tab</t>
  </si>
  <si>
    <t>Added a LpSS calculator to the "Various" tab</t>
  </si>
  <si>
    <t>Added a Dodge calculator to the "Various" tab</t>
  </si>
  <si>
    <t xml:space="preserve">I need to do more testing with this in the area of builds that use multiple generators. As for now, just stick with your primary attack generator. </t>
  </si>
  <si>
    <t>Release "HotFix" to address WoTHF and Transgression math (rev 2)</t>
  </si>
  <si>
    <t>Release as Rev (3)</t>
  </si>
  <si>
    <t>Released as Rev (3a) Fixed the multiplier associated with calculating SW damage.</t>
  </si>
  <si>
    <t>Guiding Light</t>
  </si>
  <si>
    <t>Elemental Damage</t>
  </si>
  <si>
    <t>Crit Hit Damage</t>
  </si>
  <si>
    <t>Crit Hit Chance</t>
  </si>
  <si>
    <t>Avg Dmg other sources</t>
  </si>
  <si>
    <t>Damage mods from gear</t>
  </si>
  <si>
    <t>Damage mods from skills</t>
  </si>
  <si>
    <t>Bell Damage Modfiier</t>
  </si>
  <si>
    <t>Average Damage</t>
  </si>
  <si>
    <t>Average Bell Damage</t>
  </si>
  <si>
    <t>Bell Damage w/ Blind</t>
  </si>
  <si>
    <t>Bell Damage w/ AS</t>
  </si>
  <si>
    <t xml:space="preserve">The total calculated "#" should equal your toons overall dex. As for now you need to break down the your dex value into the ranges shown. </t>
  </si>
  <si>
    <t>Summary Dashboard</t>
  </si>
  <si>
    <t xml:space="preserve"> Bell Damage Calculator</t>
  </si>
  <si>
    <t>Attack Speed Bonus *</t>
  </si>
  <si>
    <t>* Gear + 15% if dual weilding</t>
  </si>
  <si>
    <t>Remember, Bells use your MH only.</t>
  </si>
  <si>
    <t>MAX</t>
  </si>
  <si>
    <t>MIN</t>
  </si>
  <si>
    <t>CritDMG:</t>
  </si>
  <si>
    <t>CritChance:</t>
  </si>
  <si>
    <t>Attackspeed in %:</t>
  </si>
  <si>
    <t>Weapon 2</t>
  </si>
  <si>
    <t>Weapon 1</t>
  </si>
  <si>
    <t>FoT DPS</t>
  </si>
  <si>
    <t>SW DPS</t>
  </si>
  <si>
    <t>Number</t>
  </si>
  <si>
    <t>AS</t>
  </si>
  <si>
    <t>CHC</t>
  </si>
  <si>
    <t>Stat sheet Attacks Speed</t>
  </si>
  <si>
    <t>Total #</t>
  </si>
  <si>
    <t>Damage Type</t>
  </si>
  <si>
    <t>Weighting</t>
  </si>
  <si>
    <t>Static data based on predefined # of monsters</t>
  </si>
  <si>
    <t># targets needed based on your CC for SW to be best</t>
  </si>
  <si>
    <t>CHC = to Number of Targets</t>
  </si>
  <si>
    <t>Sweeping Wind -vs- Fists of Thunder: How many targets does it take before SW outperfroms Fists of Thunder</t>
  </si>
  <si>
    <t>1) Enter the number of targets into the cell shaded yellow</t>
  </si>
  <si>
    <t>2) Increase the number until the SW DPS 'Weighting' passes the FoT DPS value.</t>
  </si>
  <si>
    <t>To find the CHC breakpoint at which SW will outperform FoT, based on number of targets engaged:</t>
  </si>
  <si>
    <t>3) The chart on the left provides a broader range while the chart on the right provides a more refined range.</t>
  </si>
  <si>
    <t>Min DMG:</t>
  </si>
  <si>
    <t>Max DMG:</t>
  </si>
  <si>
    <t>Min Elemental</t>
  </si>
  <si>
    <t>Max Elemental</t>
  </si>
  <si>
    <t>OH Bonus</t>
  </si>
  <si>
    <t>Elemental Min</t>
  </si>
  <si>
    <t>Elemental Max</t>
  </si>
  <si>
    <t>Physical Min</t>
  </si>
  <si>
    <t>Physical Max</t>
  </si>
  <si>
    <t>CritChance %</t>
  </si>
  <si>
    <t>CritDMG %</t>
  </si>
  <si>
    <t>Resultant DPS:</t>
  </si>
  <si>
    <t>Base DPS:</t>
  </si>
  <si>
    <t>Gear piece # 1</t>
  </si>
  <si>
    <t>Gear piece # 2</t>
  </si>
  <si>
    <t>Comparing DPS Benefits per stat</t>
  </si>
  <si>
    <t>Helm*</t>
  </si>
  <si>
    <t>Ring*</t>
  </si>
  <si>
    <t>Amulet*</t>
  </si>
  <si>
    <t>Weapon*</t>
  </si>
  <si>
    <t>EDPS</t>
  </si>
  <si>
    <t>Averge Damage</t>
  </si>
  <si>
    <t xml:space="preserve">Youre looking to purchase a new ring but are not sure which one will give you the greatest stat sheet DPS boost. Ring 1 has 5.5 CC and 8AS. Ring 2 has 6% CC and 54 Avg Damage.  Using this tool you can compare the two. Here we see that Ring 1 adds slighty more DPS than does Ring 2.  </t>
  </si>
  <si>
    <t>Added Guiding Light to the Buffs Tab</t>
  </si>
  <si>
    <t>Revamped several SW, Cyclone and FoT based formulas.</t>
  </si>
  <si>
    <t>Added several comments to cells throughout the toolbox to aid in user understanding.</t>
  </si>
  <si>
    <t>Added a Bells Damage calculator to the 'Various Tab'</t>
  </si>
  <si>
    <t>Released as Rev 4.</t>
  </si>
  <si>
    <t>Weapons Physical Damage is now automatically computed on 'DPS Stats'</t>
  </si>
  <si>
    <t>Dexterity:</t>
  </si>
  <si>
    <t>Inputs</t>
  </si>
  <si>
    <t>Attack speed %</t>
  </si>
  <si>
    <t>Calculated AS</t>
  </si>
  <si>
    <t>All grayed out fields on the left side are auto filled via data from the 'DPS' Stats tab.</t>
  </si>
  <si>
    <t>Life Regeneration</t>
  </si>
  <si>
    <t>ST LPS</t>
  </si>
  <si>
    <t>ST PLS</t>
  </si>
  <si>
    <t>Welcome to the 'Various' section. In here you will find several calculators that may help you in both planning and understanding.</t>
  </si>
  <si>
    <t>1)</t>
  </si>
  <si>
    <t>Health from LS</t>
  </si>
  <si>
    <t>2)</t>
  </si>
  <si>
    <t>LpSS</t>
  </si>
  <si>
    <t>3)</t>
  </si>
  <si>
    <t>Bells Damage</t>
  </si>
  <si>
    <t>4)</t>
  </si>
  <si>
    <t>Dodge</t>
  </si>
  <si>
    <t>5)</t>
  </si>
  <si>
    <t>Enter your total LS. The calc will show you the returns per difficulty level.</t>
  </si>
  <si>
    <t>Will calculate your LpSS (Health Retun) based on IAS generator and gear values</t>
  </si>
  <si>
    <t>Calculates Bell damage based on user inputs. This is separate from stat DPS.</t>
  </si>
  <si>
    <t>Toggle switches "activate" dodge based skills. Those, coupled with your Dex = Dodge percentage</t>
  </si>
  <si>
    <t>This is more a chart then a calculator but it shows the point at which SW becomes the predominant damage source, based on the number of monsters engaged and your CHC percentage.</t>
  </si>
  <si>
    <t>Yellow shaded cells represent user data entry points. Gray cells represent calculated values.</t>
  </si>
  <si>
    <t>SW -vs - FoT</t>
  </si>
  <si>
    <t>Enter in your DPS / EHP(armor,resists,vit,% life) and Life Regen variables from your character sheet into the 'Inputs' sheet (tab)</t>
  </si>
  <si>
    <t>1) This is first and foremost a dual wield, "cookie cutter" eDPS tool. That said, the other tabs can provide good information regardless of your setup.'</t>
  </si>
  <si>
    <t>Enter in any buffs you get into the Buffs sheet (tab)</t>
  </si>
  <si>
    <t>2) I have consolidated the EHP, Life Regen and DPS stats tabs into a single input section - 'Inputs'. Addtionally, the 'Calculations &amp; Contstants' tab is now hidden. It can be simply "unhidden" if need be but be cautious with it as it is the heart of the toolbox.</t>
  </si>
  <si>
    <t xml:space="preserve">Welcome to the latest rev of the Monk Toolbox! This revison represents a ton of 'under the hood' exploration. Shallotosis and Laxdk identified serveral issues within eDPS formulas and worked dilligently to correct said issues. While not major in the context of eDPS damage numbers, the vaules you see now are more exact then in previous releases. Shallotosis did extensive validation / verfication of the data and my hat goes off to him for ALL his efforts. Well done! All changes to the toolbox are annotated on the summary tab but one bears a more public venue. I went through and inserted several annotations in cell that I felt needed attention. So everytime you see a cell with a red diamond in the corner, hover over it for amplifying informaton.  Also, the tabs have been rearranged to represent a more logical "flow"and are in line with the steps outlined below. Those 3 steps, spread across 2 sheets (tabs) are the core of the toolbox - eDPS and EHP. The other tabs serve more of an ancilliary roll but are still good sources of information so be sure to explore them. </t>
  </si>
  <si>
    <t xml:space="preserve">This sheet consolidates what used to be three sheets. All DPS, EHP and Life Rengeration input can be done from this one location. The comments associated with the 'Mainhand' input section also apply to the 'Offhand'. </t>
  </si>
  <si>
    <r>
      <t xml:space="preserve">~~~ THROUGHOUT THE SPREADSHEET, </t>
    </r>
    <r>
      <rPr>
        <b/>
        <sz val="10"/>
        <color rgb="FF000000"/>
        <rFont val="Arial"/>
        <family val="2"/>
      </rPr>
      <t>ALL USER ENTERED DATA FIELDS ARE HIGHLIGHTED IN YELLOW</t>
    </r>
    <r>
      <rPr>
        <sz val="10"/>
        <color rgb="FF000000"/>
        <rFont val="Arial"/>
        <family val="2"/>
      </rPr>
      <t xml:space="preserve">.~~~ </t>
    </r>
  </si>
  <si>
    <t>Your current setup. All values are auto populated from the 'Inputs' sheet (tab)</t>
  </si>
  <si>
    <t>. This side by side approach allows you to tweak the elements and see how those tweaks affect both mitgation and overall EHP.</t>
  </si>
  <si>
    <t>Setup "B"(manual)</t>
  </si>
  <si>
    <t>3) On some sheets you will find a blue "+" symbol next to a particular area. There is a hyperlink associated with that symbol so when clicked, it will take you to a file or a forum post that better explains the data. For example, clicking on the + symbol on the 'Damage Reduction' tab launches my eHP 101 document. Hopefully this helps anwser any additional question you might have on the topic.</t>
  </si>
  <si>
    <r>
      <t xml:space="preserve">Buffs + Skills + Followers             </t>
    </r>
    <r>
      <rPr>
        <b/>
        <sz val="16"/>
        <color rgb="FF000000"/>
        <rFont val="Calibri"/>
        <family val="2"/>
      </rPr>
      <t>(toggle the cells to activate. N=off, Y= on)</t>
    </r>
  </si>
  <si>
    <t>Bonus</t>
  </si>
  <si>
    <t>3rd Strike increases the damage of all attacks by 18% for 30 seconds</t>
  </si>
  <si>
    <t>Critical Hits increase AS and MS by 5%. Effect can stack up to 3 times</t>
  </si>
  <si>
    <t>Also causes target to take 12% additional damage for 9 seconds</t>
  </si>
  <si>
    <t>Direct heals of others = 20% more damage for you and the other for 15 seconds</t>
  </si>
  <si>
    <t>Increases attack speed for you and your allies by 8%</t>
  </si>
  <si>
    <t>Your armor is increase by 50% of your dexterity</t>
  </si>
  <si>
    <t>Provides an 8% DPS bonus for each generator used. Even if you only use one</t>
  </si>
  <si>
    <t>Used with 'DPS Stats'!B3</t>
  </si>
  <si>
    <t>Used with 'DPS Stats'!B4</t>
  </si>
  <si>
    <t xml:space="preserve">Snapshot eDPS </t>
  </si>
  <si>
    <t>Snapshot DPS</t>
  </si>
  <si>
    <t>Conviction Aura = 24% , Overawe =48% for 3 sec.</t>
  </si>
  <si>
    <t xml:space="preserve"> Scoundrel (Anatomy)</t>
  </si>
  <si>
    <t>Increases Crit Hit chance by 3% for you and the scoundrel</t>
  </si>
  <si>
    <t xml:space="preserve"> Scoundrel (Hysteria)</t>
  </si>
  <si>
    <t>10% to all damage for 3 seconds when you or scoundrel crit.</t>
  </si>
  <si>
    <t>Enchantress (Focused Mind)</t>
  </si>
  <si>
    <t>Increases attack speed for you and enchantress by 3%</t>
  </si>
  <si>
    <t>Increases the damage of your attacks by 15% for 45 seconds</t>
  </si>
  <si>
    <t>Revision 4. Release date: June 15, 2013</t>
  </si>
  <si>
    <t>Added tab 'Stat Compare' (Hidden)</t>
  </si>
  <si>
    <t>Step 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</si>
</sst>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164" formatCode="m/d/yyyy;@"/>
    <numFmt numFmtId="165" formatCode="#,##0.0000"/>
    <numFmt numFmtId="166" formatCode="#,##0.###############"/>
    <numFmt numFmtId="167" formatCode="0.0%"/>
    <numFmt numFmtId="168" formatCode="0.000%"/>
    <numFmt numFmtId="169" formatCode="\+#,##0.000%;[Red]\-#,##0.000%"/>
    <numFmt numFmtId="170" formatCode="0.000"/>
    <numFmt numFmtId="171" formatCode="#,##0.00000000"/>
    <numFmt numFmtId="172" formatCode="d\-mmm;@"/>
  </numFmts>
  <fonts count="13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000000"/>
      <name val="Calibri"/>
      <family val="2"/>
    </font>
    <font>
      <sz val="10"/>
      <color rgb="FF000000"/>
      <name val="Arial"/>
      <family val="2"/>
    </font>
    <font>
      <sz val="11"/>
      <color rgb="FF000000"/>
      <name val="Calibri"/>
      <family val="2"/>
    </font>
    <font>
      <b/>
      <sz val="11"/>
      <color rgb="FF000000"/>
      <name val="Calibri"/>
      <family val="2"/>
    </font>
    <font>
      <sz val="11"/>
      <color rgb="FF000000"/>
      <name val="Calibri"/>
      <family val="2"/>
    </font>
    <font>
      <b/>
      <sz val="11"/>
      <color rgb="FF000000"/>
      <name val="Calibri"/>
      <family val="2"/>
    </font>
    <font>
      <b/>
      <sz val="10"/>
      <color rgb="FF000000"/>
      <name val="Arial"/>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0"/>
      <color rgb="FF000000"/>
      <name val="Arial"/>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b/>
      <sz val="11"/>
      <color rgb="FF000000"/>
      <name val="Calibri"/>
      <family val="2"/>
    </font>
    <font>
      <sz val="11"/>
      <color rgb="FF000000"/>
      <name val="Calibri"/>
      <family val="2"/>
    </font>
    <font>
      <sz val="10"/>
      <color rgb="FF000000"/>
      <name val="Arial"/>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b/>
      <sz val="10"/>
      <color rgb="FF000000"/>
      <name val="Arial"/>
      <family val="2"/>
    </font>
    <font>
      <b/>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b/>
      <sz val="11"/>
      <color rgb="FF000000"/>
      <name val="Calibri"/>
      <family val="2"/>
    </font>
    <font>
      <b/>
      <sz val="24"/>
      <color rgb="FF000000"/>
      <name val="Arial"/>
      <family val="2"/>
    </font>
    <font>
      <b/>
      <sz val="10"/>
      <color rgb="FF000000"/>
      <name val="Arial"/>
      <family val="2"/>
    </font>
    <font>
      <sz val="11"/>
      <color rgb="FF000000"/>
      <name val="Calibri"/>
      <family val="2"/>
    </font>
    <font>
      <sz val="11"/>
      <color rgb="FF000000"/>
      <name val="Calibri"/>
      <family val="2"/>
    </font>
    <font>
      <b/>
      <sz val="36"/>
      <color rgb="FF000000"/>
      <name val="Arial"/>
      <family val="2"/>
    </font>
    <font>
      <b/>
      <sz val="24"/>
      <color rgb="FF000000"/>
      <name val="Arial"/>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b/>
      <sz val="36"/>
      <color rgb="FF000000"/>
      <name val="Arial"/>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0"/>
      <color rgb="FF000000"/>
      <name val="Arial"/>
      <family val="2"/>
    </font>
    <font>
      <sz val="11"/>
      <color rgb="FF000000"/>
      <name val="Calibri"/>
      <family val="2"/>
    </font>
    <font>
      <sz val="11"/>
      <color rgb="FF000000"/>
      <name val="Calibri"/>
      <family val="2"/>
    </font>
    <font>
      <sz val="11"/>
      <color rgb="FF000000"/>
      <name val="Calibri"/>
      <family val="2"/>
    </font>
    <font>
      <b/>
      <sz val="10"/>
      <color rgb="FF000000"/>
      <name val="Arial"/>
      <family val="2"/>
    </font>
    <font>
      <b/>
      <sz val="10"/>
      <color rgb="FF000000"/>
      <name val="Arial"/>
      <family val="2"/>
    </font>
    <font>
      <b/>
      <sz val="11"/>
      <color rgb="FF000000"/>
      <name val="Calibri"/>
      <family val="2"/>
    </font>
    <font>
      <b/>
      <sz val="11"/>
      <color rgb="FF000000"/>
      <name val="Calibri"/>
      <family val="2"/>
    </font>
    <font>
      <sz val="11"/>
      <color rgb="FF000000"/>
      <name val="Calibri"/>
      <family val="2"/>
    </font>
    <font>
      <sz val="11"/>
      <color rgb="FF000000"/>
      <name val="Calibri"/>
      <family val="2"/>
    </font>
    <font>
      <b/>
      <sz val="11"/>
      <color rgb="FF000000"/>
      <name val="Calibri"/>
      <family val="2"/>
    </font>
    <font>
      <b/>
      <sz val="10"/>
      <color rgb="FF000000"/>
      <name val="Arial"/>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b/>
      <sz val="11"/>
      <color rgb="FF000000"/>
      <name val="Calibri"/>
      <family val="2"/>
    </font>
    <font>
      <b/>
      <sz val="11"/>
      <color rgb="FF000000"/>
      <name val="Calibri"/>
      <family val="2"/>
    </font>
    <font>
      <b/>
      <sz val="11"/>
      <color rgb="FF000000"/>
      <name val="Calibri"/>
      <family val="2"/>
    </font>
    <font>
      <b/>
      <sz val="11"/>
      <color rgb="FF000000"/>
      <name val="Calibri"/>
      <family val="2"/>
    </font>
    <font>
      <sz val="11"/>
      <color rgb="FF000000"/>
      <name val="Calibri"/>
      <family val="2"/>
    </font>
    <font>
      <b/>
      <sz val="10"/>
      <color rgb="FF000000"/>
      <name val="Arial"/>
      <family val="2"/>
    </font>
    <font>
      <b/>
      <sz val="11"/>
      <color rgb="FF000000"/>
      <name val="Calibri"/>
      <family val="2"/>
    </font>
    <font>
      <sz val="11"/>
      <color rgb="FF000000"/>
      <name val="Calibri"/>
      <family val="2"/>
    </font>
    <font>
      <b/>
      <sz val="10"/>
      <color rgb="FF000000"/>
      <name val="Arial"/>
      <family val="2"/>
    </font>
    <font>
      <sz val="11"/>
      <color rgb="FF000000"/>
      <name val="Calibri"/>
      <family val="2"/>
    </font>
    <font>
      <b/>
      <sz val="10"/>
      <color rgb="FF000000"/>
      <name val="Arial"/>
      <family val="2"/>
    </font>
    <font>
      <sz val="11"/>
      <color rgb="FF000000"/>
      <name val="Calibri"/>
      <family val="2"/>
    </font>
    <font>
      <b/>
      <sz val="36"/>
      <color rgb="FF000000"/>
      <name val="Calibri"/>
      <family val="2"/>
    </font>
    <font>
      <sz val="11"/>
      <color rgb="FF000000"/>
      <name val="Calibri"/>
      <family val="2"/>
    </font>
    <font>
      <sz val="11"/>
      <color rgb="FF000000"/>
      <name val="Calibri"/>
      <family val="2"/>
    </font>
    <font>
      <b/>
      <sz val="11"/>
      <color theme="1"/>
      <name val="Calibri"/>
      <family val="2"/>
      <scheme val="minor"/>
    </font>
    <font>
      <sz val="11"/>
      <name val="Calibri"/>
      <family val="2"/>
      <scheme val="minor"/>
    </font>
    <font>
      <b/>
      <sz val="11"/>
      <color rgb="FFFF0000"/>
      <name val="Calibri"/>
      <family val="2"/>
      <scheme val="minor"/>
    </font>
    <font>
      <b/>
      <sz val="12"/>
      <color rgb="FF00B050"/>
      <name val="Calibri"/>
      <family val="2"/>
      <scheme val="minor"/>
    </font>
    <font>
      <sz val="9"/>
      <color rgb="FF000000"/>
      <name val="Arial"/>
      <family val="2"/>
    </font>
    <font>
      <sz val="11"/>
      <color rgb="FF9C6500"/>
      <name val="Calibri"/>
      <family val="2"/>
      <scheme val="minor"/>
    </font>
    <font>
      <b/>
      <sz val="16"/>
      <color rgb="FF000000"/>
      <name val="Arial"/>
      <family val="2"/>
    </font>
    <font>
      <b/>
      <sz val="10"/>
      <name val="Arial"/>
      <family val="2"/>
    </font>
    <font>
      <sz val="12"/>
      <color rgb="FF000000"/>
      <name val="Arial"/>
      <family val="2"/>
    </font>
    <font>
      <sz val="10"/>
      <name val="Arial"/>
      <family val="2"/>
    </font>
    <font>
      <b/>
      <sz val="16"/>
      <color rgb="FF000000"/>
      <name val="Calibri"/>
      <family val="2"/>
    </font>
    <font>
      <b/>
      <sz val="9"/>
      <color rgb="FF000000"/>
      <name val="Arial"/>
      <family val="2"/>
    </font>
    <font>
      <sz val="9"/>
      <color indexed="81"/>
      <name val="Tahoma"/>
      <family val="2"/>
    </font>
    <font>
      <b/>
      <sz val="10"/>
      <color rgb="FF000000"/>
      <name val="Calibri"/>
      <family val="2"/>
    </font>
    <font>
      <b/>
      <sz val="10"/>
      <color rgb="FF000000"/>
      <name val="Calibri"/>
      <family val="2"/>
      <scheme val="minor"/>
    </font>
    <font>
      <sz val="8"/>
      <color indexed="81"/>
      <name val="Tahoma"/>
      <family val="2"/>
    </font>
    <font>
      <b/>
      <sz val="8"/>
      <color indexed="81"/>
      <name val="Tahoma"/>
      <family val="2"/>
    </font>
    <font>
      <sz val="8"/>
      <color rgb="FF000000"/>
      <name val="Arial"/>
      <family val="2"/>
    </font>
    <font>
      <sz val="10"/>
      <color rgb="FF000000"/>
      <name val="Calibri"/>
      <family val="2"/>
      <scheme val="minor"/>
    </font>
    <font>
      <b/>
      <sz val="11"/>
      <color rgb="FFFF0000"/>
      <name val="Calibri"/>
      <family val="2"/>
    </font>
    <font>
      <b/>
      <sz val="10"/>
      <color rgb="FFFF0000"/>
      <name val="Arial"/>
      <family val="2"/>
    </font>
    <font>
      <b/>
      <sz val="10"/>
      <name val="Calibri"/>
      <family val="2"/>
    </font>
    <font>
      <b/>
      <sz val="9"/>
      <color rgb="FF000000"/>
      <name val="Calibri"/>
      <family val="2"/>
      <scheme val="minor"/>
    </font>
    <font>
      <sz val="10"/>
      <color rgb="FF000000"/>
      <name val="Arial"/>
    </font>
    <font>
      <b/>
      <sz val="22"/>
      <color rgb="FF000000"/>
      <name val="Calibri"/>
      <family val="2"/>
    </font>
    <font>
      <sz val="22"/>
      <color rgb="FF000000"/>
      <name val="Arial"/>
      <family val="2"/>
    </font>
    <font>
      <sz val="10"/>
      <color rgb="FF000000"/>
      <name val="Calibri"/>
      <family val="2"/>
    </font>
    <font>
      <sz val="11"/>
      <color rgb="FF000000"/>
      <name val="Calibri"/>
      <family val="2"/>
      <scheme val="minor"/>
    </font>
    <font>
      <b/>
      <sz val="12"/>
      <color rgb="FF0070C0"/>
      <name val="Calibri"/>
      <family val="2"/>
    </font>
    <font>
      <sz val="10"/>
      <color rgb="FFFF0000"/>
      <name val="Arial"/>
      <family val="2"/>
    </font>
    <font>
      <b/>
      <sz val="12"/>
      <color rgb="FF000000"/>
      <name val="Arial"/>
      <family val="2"/>
    </font>
    <font>
      <b/>
      <sz val="9"/>
      <color indexed="81"/>
      <name val="Tahoma"/>
      <family val="2"/>
    </font>
  </fonts>
  <fills count="55">
    <fill>
      <patternFill patternType="none"/>
    </fill>
    <fill>
      <patternFill patternType="gray125"/>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6795556505021"/>
        <bgColor indexed="64"/>
      </patternFill>
    </fill>
    <fill>
      <patternFill patternType="solid">
        <fgColor rgb="FFFFEB9C"/>
      </patternFill>
    </fill>
    <fill>
      <patternFill patternType="solid">
        <fgColor theme="0" tint="-0.14999847407452621"/>
        <bgColor indexed="64"/>
      </patternFill>
    </fill>
    <fill>
      <patternFill patternType="solid">
        <fgColor theme="6" tint="0.59999389629810485"/>
        <bgColor indexed="64"/>
      </patternFill>
    </fill>
    <fill>
      <patternFill patternType="solid">
        <fgColor theme="2"/>
        <bgColor indexed="64"/>
      </patternFill>
    </fill>
    <fill>
      <patternFill patternType="solid">
        <fgColor theme="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0.249977111117893"/>
        <bgColor indexed="64"/>
      </patternFill>
    </fill>
  </fills>
  <borders count="148">
    <border>
      <left/>
      <right/>
      <top/>
      <bottom/>
      <diagonal/>
    </border>
    <border>
      <left style="thin">
        <color indexed="64"/>
      </left>
      <right style="thin">
        <color rgb="FFFF0000"/>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FF0000"/>
      </top>
      <bottom/>
      <diagonal/>
    </border>
    <border>
      <left/>
      <right/>
      <top style="thin">
        <color rgb="FFFF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rgb="FFFF0000"/>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FF0000"/>
      </left>
      <right style="thin">
        <color rgb="FFFF0000"/>
      </right>
      <top style="thin">
        <color rgb="FFFF0000"/>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FF0000"/>
      </bottom>
      <diagonal/>
    </border>
    <border>
      <left style="thin">
        <color rgb="FFFF0000"/>
      </left>
      <right/>
      <top/>
      <bottom/>
      <diagonal/>
    </border>
    <border>
      <left/>
      <right style="thin">
        <color indexed="64"/>
      </right>
      <top/>
      <bottom/>
      <diagonal/>
    </border>
    <border>
      <left style="thin">
        <color rgb="FFFF0000"/>
      </left>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rgb="FFFF0000"/>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indexed="64"/>
      </top>
      <bottom style="thin">
        <color rgb="FFFF0000"/>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rgb="FFFF0000"/>
      </top>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style="thin">
        <color indexed="64"/>
      </bottom>
      <diagonal/>
    </border>
    <border>
      <left style="thin">
        <color indexed="64"/>
      </left>
      <right style="thin">
        <color rgb="FFFF0000"/>
      </right>
      <top style="thin">
        <color indexed="64"/>
      </top>
      <bottom style="thin">
        <color indexed="64"/>
      </bottom>
      <diagonal/>
    </border>
    <border>
      <left style="thin">
        <color indexed="64"/>
      </left>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FF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rgb="FFFF0000"/>
      </right>
      <top style="thin">
        <color rgb="FFFF0000"/>
      </top>
      <bottom style="thin">
        <color rgb="FFFF0000"/>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top/>
      <bottom style="thin">
        <color indexed="64"/>
      </bottom>
      <diagonal/>
    </border>
    <border>
      <left style="medium">
        <color rgb="FF00B050"/>
      </left>
      <right style="medium">
        <color rgb="FF00B050"/>
      </right>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style="thin">
        <color auto="1"/>
      </top>
      <bottom style="thin">
        <color auto="1"/>
      </bottom>
      <diagonal/>
    </border>
    <border>
      <left/>
      <right/>
      <top style="medium">
        <color auto="1"/>
      </top>
      <bottom/>
      <diagonal/>
    </border>
    <border>
      <left style="thin">
        <color rgb="FFFF0000"/>
      </left>
      <right style="thin">
        <color rgb="FFFF0000"/>
      </right>
      <top/>
      <bottom style="thin">
        <color rgb="FFFF0000"/>
      </bottom>
      <diagonal/>
    </border>
    <border>
      <left/>
      <right style="thin">
        <color auto="1"/>
      </right>
      <top style="thin">
        <color rgb="FFFF0000"/>
      </top>
      <bottom/>
      <diagonal/>
    </border>
    <border>
      <left style="thin">
        <color auto="1"/>
      </left>
      <right/>
      <top/>
      <bottom style="medium">
        <color auto="1"/>
      </bottom>
      <diagonal/>
    </border>
    <border>
      <left style="medium">
        <color rgb="FFFF0000"/>
      </left>
      <right style="medium">
        <color rgb="FFFF0000"/>
      </right>
      <top style="medium">
        <color rgb="FFFF0000"/>
      </top>
      <bottom/>
      <diagonal/>
    </border>
    <border>
      <left/>
      <right/>
      <top style="medium">
        <color auto="1"/>
      </top>
      <bottom style="thin">
        <color auto="1"/>
      </bottom>
      <diagonal/>
    </border>
    <border>
      <left style="medium">
        <color rgb="FFFF0000"/>
      </left>
      <right style="medium">
        <color rgb="FFFF0000"/>
      </right>
      <top style="thin">
        <color auto="1"/>
      </top>
      <bottom style="thin">
        <color auto="1"/>
      </bottom>
      <diagonal/>
    </border>
    <border>
      <left style="medium">
        <color rgb="FFFF0000"/>
      </left>
      <right style="medium">
        <color rgb="FFFF0000"/>
      </right>
      <top/>
      <bottom style="medium">
        <color rgb="FFFF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top/>
      <bottom style="double">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auto="1"/>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style="thin">
        <color rgb="FFFF0000"/>
      </right>
      <top style="thin">
        <color indexed="64"/>
      </top>
      <bottom style="thin">
        <color rgb="FFFF0000"/>
      </bottom>
      <diagonal/>
    </border>
    <border>
      <left style="thin">
        <color indexed="64"/>
      </left>
      <right/>
      <top style="thin">
        <color rgb="FFFF0000"/>
      </top>
      <bottom style="thin">
        <color indexed="64"/>
      </bottom>
      <diagonal/>
    </border>
    <border>
      <left style="thin">
        <color rgb="FFFF0000"/>
      </left>
      <right/>
      <top style="thin">
        <color indexed="64"/>
      </top>
      <bottom style="thin">
        <color indexed="64"/>
      </bottom>
      <diagonal/>
    </border>
    <border>
      <left style="thin">
        <color rgb="FFFF0000"/>
      </left>
      <right style="thin">
        <color indexed="64"/>
      </right>
      <top style="thin">
        <color rgb="FFFF0000"/>
      </top>
      <bottom style="thin">
        <color rgb="FFFF0000"/>
      </bottom>
      <diagonal/>
    </border>
    <border>
      <left style="thin">
        <color indexed="64"/>
      </left>
      <right/>
      <top style="thin">
        <color rgb="FFFF0000"/>
      </top>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s>
  <cellStyleXfs count="6">
    <xf numFmtId="0" fontId="0" fillId="0" borderId="0"/>
    <xf numFmtId="0" fontId="10" fillId="0" borderId="0"/>
    <xf numFmtId="0" fontId="8" fillId="0" borderId="0"/>
    <xf numFmtId="0" fontId="105" fillId="42" borderId="0" applyNumberFormat="0" applyBorder="0" applyAlignment="0" applyProtection="0"/>
    <xf numFmtId="0" fontId="13" fillId="0" borderId="0"/>
    <xf numFmtId="44" fontId="123" fillId="0" borderId="0" applyFont="0" applyFill="0" applyBorder="0" applyAlignment="0" applyProtection="0"/>
  </cellStyleXfs>
  <cellXfs count="882">
    <xf numFmtId="0" fontId="0" fillId="0" borderId="0" xfId="0" applyAlignment="1">
      <alignment wrapText="1"/>
    </xf>
    <xf numFmtId="0" fontId="13" fillId="2" borderId="1" xfId="0" applyFont="1" applyFill="1" applyBorder="1" applyAlignment="1">
      <alignment wrapText="1"/>
    </xf>
    <xf numFmtId="164" fontId="0" fillId="0" borderId="2" xfId="0" applyNumberFormat="1" applyBorder="1" applyAlignment="1">
      <alignment horizontal="left" wrapText="1"/>
    </xf>
    <xf numFmtId="4" fontId="14" fillId="0" borderId="3" xfId="0" applyNumberFormat="1" applyFont="1" applyBorder="1" applyAlignment="1">
      <alignment horizontal="left" vertical="center"/>
    </xf>
    <xf numFmtId="0" fontId="16" fillId="0" borderId="4" xfId="0" applyFont="1" applyBorder="1" applyAlignment="1">
      <alignment horizontal="left" vertical="center"/>
    </xf>
    <xf numFmtId="0" fontId="0" fillId="0" borderId="0" xfId="0" applyAlignment="1">
      <alignment vertical="center" wrapText="1"/>
    </xf>
    <xf numFmtId="4" fontId="18" fillId="0" borderId="5" xfId="0" applyNumberFormat="1" applyFont="1" applyBorder="1" applyAlignment="1">
      <alignment horizontal="center" vertical="center" wrapText="1"/>
    </xf>
    <xf numFmtId="0" fontId="19" fillId="4" borderId="7" xfId="0" applyFont="1" applyFill="1" applyBorder="1" applyAlignment="1">
      <alignment horizontal="left" vertical="center"/>
    </xf>
    <xf numFmtId="10" fontId="20" fillId="5" borderId="8" xfId="0" applyNumberFormat="1" applyFont="1" applyFill="1" applyBorder="1" applyAlignment="1">
      <alignment horizontal="left" vertical="center"/>
    </xf>
    <xf numFmtId="10" fontId="21" fillId="6" borderId="9" xfId="0" applyNumberFormat="1" applyFont="1" applyFill="1" applyBorder="1" applyAlignment="1">
      <alignment horizontal="left" vertical="center"/>
    </xf>
    <xf numFmtId="4" fontId="22" fillId="0" borderId="10" xfId="0" applyNumberFormat="1" applyFont="1" applyBorder="1" applyAlignment="1">
      <alignment wrapText="1"/>
    </xf>
    <xf numFmtId="3" fontId="24" fillId="7" borderId="12" xfId="0" applyNumberFormat="1" applyFont="1" applyFill="1" applyBorder="1" applyAlignment="1">
      <alignment wrapText="1"/>
    </xf>
    <xf numFmtId="0" fontId="0" fillId="0" borderId="13" xfId="0" applyBorder="1" applyAlignment="1">
      <alignment wrapText="1"/>
    </xf>
    <xf numFmtId="1" fontId="26" fillId="0" borderId="0" xfId="0" applyNumberFormat="1" applyFont="1" applyAlignment="1">
      <alignment horizontal="left" vertical="center"/>
    </xf>
    <xf numFmtId="4" fontId="0" fillId="0" borderId="0" xfId="0" applyNumberFormat="1" applyAlignment="1">
      <alignment wrapText="1"/>
    </xf>
    <xf numFmtId="4" fontId="27" fillId="8" borderId="15" xfId="0" applyNumberFormat="1" applyFont="1" applyFill="1" applyBorder="1" applyAlignment="1">
      <alignment horizontal="left" vertical="center"/>
    </xf>
    <xf numFmtId="4" fontId="0" fillId="0" borderId="16" xfId="0" applyNumberFormat="1" applyBorder="1" applyAlignment="1">
      <alignment vertical="center" wrapText="1"/>
    </xf>
    <xf numFmtId="2" fontId="28" fillId="9" borderId="17" xfId="0" applyNumberFormat="1" applyFont="1" applyFill="1" applyBorder="1" applyAlignment="1">
      <alignment horizontal="left" vertical="center"/>
    </xf>
    <xf numFmtId="0" fontId="30" fillId="0" borderId="0" xfId="0" applyFont="1" applyAlignment="1">
      <alignment horizontal="left" vertical="center"/>
    </xf>
    <xf numFmtId="0" fontId="31" fillId="10" borderId="19" xfId="0" applyFont="1" applyFill="1" applyBorder="1" applyAlignment="1">
      <alignment wrapText="1"/>
    </xf>
    <xf numFmtId="0" fontId="33" fillId="12" borderId="21" xfId="0" applyFont="1" applyFill="1" applyBorder="1" applyAlignment="1">
      <alignment horizontal="left" vertical="center"/>
    </xf>
    <xf numFmtId="4" fontId="0" fillId="0" borderId="23" xfId="0" applyNumberFormat="1" applyBorder="1" applyAlignment="1">
      <alignment wrapText="1"/>
    </xf>
    <xf numFmtId="4" fontId="0" fillId="0" borderId="0" xfId="0" applyNumberFormat="1" applyAlignment="1">
      <alignment vertical="center" wrapText="1"/>
    </xf>
    <xf numFmtId="10" fontId="34" fillId="14" borderId="24" xfId="0" applyNumberFormat="1" applyFont="1" applyFill="1" applyBorder="1" applyAlignment="1">
      <alignment horizontal="left" vertical="center"/>
    </xf>
    <xf numFmtId="0" fontId="35" fillId="0" borderId="25" xfId="0" applyFont="1" applyBorder="1" applyAlignment="1">
      <alignment horizontal="left" vertical="center"/>
    </xf>
    <xf numFmtId="0" fontId="0" fillId="0" borderId="0" xfId="0" applyAlignment="1">
      <alignment horizontal="left" wrapText="1"/>
    </xf>
    <xf numFmtId="0" fontId="37" fillId="15" borderId="27" xfId="0" applyFont="1" applyFill="1" applyBorder="1" applyAlignment="1">
      <alignment horizontal="left" vertical="center"/>
    </xf>
    <xf numFmtId="2" fontId="38" fillId="0" borderId="28" xfId="0" applyNumberFormat="1" applyFont="1" applyBorder="1" applyAlignment="1">
      <alignment horizontal="left" vertical="center"/>
    </xf>
    <xf numFmtId="0" fontId="0" fillId="0" borderId="29" xfId="0" applyBorder="1" applyAlignment="1">
      <alignment wrapText="1"/>
    </xf>
    <xf numFmtId="4" fontId="40" fillId="16" borderId="30" xfId="0" applyNumberFormat="1" applyFont="1" applyFill="1" applyBorder="1" applyAlignment="1">
      <alignment horizontal="left" vertical="center"/>
    </xf>
    <xf numFmtId="0" fontId="42" fillId="17" borderId="33" xfId="0" applyFont="1" applyFill="1" applyBorder="1" applyAlignment="1">
      <alignment horizontal="left" vertical="center"/>
    </xf>
    <xf numFmtId="2" fontId="46" fillId="0" borderId="35" xfId="0" applyNumberFormat="1" applyFont="1" applyBorder="1" applyAlignment="1">
      <alignment horizontal="left" vertical="center"/>
    </xf>
    <xf numFmtId="3" fontId="0" fillId="0" borderId="38" xfId="0" applyNumberFormat="1" applyBorder="1" applyAlignment="1">
      <alignment wrapText="1"/>
    </xf>
    <xf numFmtId="4" fontId="50" fillId="18" borderId="0" xfId="0" applyNumberFormat="1" applyFont="1" applyFill="1" applyAlignment="1">
      <alignment horizontal="left" vertical="center"/>
    </xf>
    <xf numFmtId="4" fontId="51" fillId="0" borderId="0" xfId="0" applyNumberFormat="1" applyFont="1" applyAlignment="1">
      <alignment horizontal="left" vertical="center"/>
    </xf>
    <xf numFmtId="0" fontId="0" fillId="0" borderId="40" xfId="0" applyBorder="1" applyAlignment="1">
      <alignment horizontal="left" wrapText="1"/>
    </xf>
    <xf numFmtId="0" fontId="0" fillId="0" borderId="43" xfId="0" applyBorder="1" applyAlignment="1">
      <alignment wrapText="1"/>
    </xf>
    <xf numFmtId="3" fontId="0" fillId="0" borderId="44" xfId="0" applyNumberFormat="1" applyBorder="1" applyAlignment="1">
      <alignment wrapText="1"/>
    </xf>
    <xf numFmtId="0" fontId="54" fillId="0" borderId="45" xfId="0" applyFont="1" applyBorder="1" applyAlignment="1">
      <alignment horizontal="left" vertical="center"/>
    </xf>
    <xf numFmtId="0" fontId="0" fillId="0" borderId="47" xfId="0" applyBorder="1" applyAlignment="1">
      <alignment wrapText="1"/>
    </xf>
    <xf numFmtId="10" fontId="56" fillId="0" borderId="48" xfId="0" applyNumberFormat="1" applyFont="1" applyBorder="1" applyAlignment="1">
      <alignment horizontal="left" vertical="center"/>
    </xf>
    <xf numFmtId="4" fontId="57" fillId="20" borderId="49" xfId="0" applyNumberFormat="1" applyFont="1" applyFill="1" applyBorder="1" applyAlignment="1">
      <alignment horizontal="left" vertical="center"/>
    </xf>
    <xf numFmtId="10" fontId="58" fillId="0" borderId="50" xfId="0" applyNumberFormat="1" applyFont="1" applyBorder="1" applyAlignment="1">
      <alignment horizontal="left" vertical="center"/>
    </xf>
    <xf numFmtId="2" fontId="59" fillId="0" borderId="51" xfId="0" applyNumberFormat="1" applyFont="1" applyBorder="1" applyAlignment="1">
      <alignment horizontal="left" vertical="center"/>
    </xf>
    <xf numFmtId="0" fontId="61" fillId="0" borderId="53" xfId="0" applyFont="1" applyBorder="1" applyAlignment="1">
      <alignment horizontal="left" vertical="center"/>
    </xf>
    <xf numFmtId="10" fontId="63" fillId="0" borderId="0" xfId="0" applyNumberFormat="1" applyFont="1" applyAlignment="1">
      <alignment horizontal="left" vertical="center"/>
    </xf>
    <xf numFmtId="167" fontId="64" fillId="22" borderId="56" xfId="0" applyNumberFormat="1" applyFont="1" applyFill="1" applyBorder="1" applyAlignment="1">
      <alignment horizontal="left" vertical="center"/>
    </xf>
    <xf numFmtId="4" fontId="0" fillId="0" borderId="58" xfId="0" applyNumberFormat="1" applyBorder="1" applyAlignment="1">
      <alignment vertical="center" wrapText="1"/>
    </xf>
    <xf numFmtId="0" fontId="67" fillId="0" borderId="59" xfId="0" applyFont="1" applyBorder="1" applyAlignment="1">
      <alignment wrapText="1"/>
    </xf>
    <xf numFmtId="4" fontId="68" fillId="0" borderId="60" xfId="0" applyNumberFormat="1" applyFont="1" applyBorder="1" applyAlignment="1">
      <alignment horizontal="left" vertical="center"/>
    </xf>
    <xf numFmtId="0" fontId="69" fillId="0" borderId="61" xfId="0" applyFont="1" applyBorder="1" applyAlignment="1">
      <alignment horizontal="left" vertical="center"/>
    </xf>
    <xf numFmtId="10" fontId="0" fillId="0" borderId="0" xfId="0" applyNumberFormat="1" applyAlignment="1">
      <alignment wrapText="1"/>
    </xf>
    <xf numFmtId="0" fontId="71" fillId="0" borderId="64" xfId="0" applyFont="1" applyBorder="1" applyAlignment="1">
      <alignment vertical="center" wrapText="1"/>
    </xf>
    <xf numFmtId="0" fontId="0" fillId="0" borderId="65" xfId="0" applyBorder="1" applyAlignment="1">
      <alignment wrapText="1"/>
    </xf>
    <xf numFmtId="0" fontId="0" fillId="0" borderId="66" xfId="0" applyBorder="1" applyAlignment="1">
      <alignment wrapText="1"/>
    </xf>
    <xf numFmtId="0" fontId="73" fillId="24" borderId="68" xfId="0" applyFont="1" applyFill="1" applyBorder="1" applyAlignment="1">
      <alignment horizontal="left" vertical="center" wrapText="1"/>
    </xf>
    <xf numFmtId="0" fontId="75" fillId="0" borderId="70" xfId="0" applyFont="1" applyBorder="1" applyAlignment="1">
      <alignment wrapText="1"/>
    </xf>
    <xf numFmtId="1" fontId="77" fillId="25" borderId="72" xfId="0" applyNumberFormat="1" applyFont="1" applyFill="1" applyBorder="1" applyAlignment="1">
      <alignment horizontal="left" vertical="center"/>
    </xf>
    <xf numFmtId="4" fontId="79" fillId="26" borderId="75" xfId="0" applyNumberFormat="1" applyFont="1" applyFill="1" applyBorder="1" applyAlignment="1">
      <alignment wrapText="1"/>
    </xf>
    <xf numFmtId="0" fontId="83" fillId="28" borderId="79" xfId="0" applyFont="1" applyFill="1" applyBorder="1" applyAlignment="1">
      <alignment horizontal="left" vertical="center"/>
    </xf>
    <xf numFmtId="4" fontId="84" fillId="0" borderId="80" xfId="0" applyNumberFormat="1" applyFont="1" applyBorder="1" applyAlignment="1">
      <alignment horizontal="left" vertical="center"/>
    </xf>
    <xf numFmtId="0" fontId="85" fillId="0" borderId="82" xfId="0" applyFont="1" applyBorder="1" applyAlignment="1">
      <alignment horizontal="left" vertical="center"/>
    </xf>
    <xf numFmtId="4" fontId="86" fillId="29" borderId="83" xfId="0" applyNumberFormat="1" applyFont="1" applyFill="1" applyBorder="1" applyAlignment="1">
      <alignment horizontal="left" vertical="center"/>
    </xf>
    <xf numFmtId="2" fontId="88" fillId="32" borderId="86" xfId="0" applyNumberFormat="1" applyFont="1" applyFill="1" applyBorder="1" applyAlignment="1">
      <alignment horizontal="left" vertical="center"/>
    </xf>
    <xf numFmtId="164" fontId="0" fillId="0" borderId="0" xfId="0" applyNumberFormat="1" applyAlignment="1">
      <alignment horizontal="left" wrapText="1"/>
    </xf>
    <xf numFmtId="0" fontId="90" fillId="35" borderId="89" xfId="0" applyFont="1" applyFill="1" applyBorder="1" applyAlignment="1">
      <alignment wrapText="1"/>
    </xf>
    <xf numFmtId="0" fontId="91" fillId="0" borderId="90" xfId="0" applyFont="1" applyBorder="1" applyAlignment="1">
      <alignment horizontal="left" vertical="center"/>
    </xf>
    <xf numFmtId="3" fontId="0" fillId="0" borderId="92" xfId="0" applyNumberFormat="1" applyBorder="1" applyAlignment="1">
      <alignment wrapText="1"/>
    </xf>
    <xf numFmtId="4" fontId="0" fillId="0" borderId="93" xfId="0" applyNumberFormat="1" applyBorder="1" applyAlignment="1">
      <alignment vertical="center" wrapText="1"/>
    </xf>
    <xf numFmtId="2" fontId="92" fillId="0" borderId="0" xfId="0" applyNumberFormat="1" applyFont="1" applyAlignment="1">
      <alignment horizontal="left" vertical="center"/>
    </xf>
    <xf numFmtId="4" fontId="93" fillId="0" borderId="95" xfId="0" applyNumberFormat="1" applyFont="1" applyBorder="1" applyAlignment="1">
      <alignment vertical="center" wrapText="1"/>
    </xf>
    <xf numFmtId="4" fontId="94" fillId="0" borderId="97" xfId="0" applyNumberFormat="1" applyFont="1" applyBorder="1" applyAlignment="1">
      <alignment wrapText="1"/>
    </xf>
    <xf numFmtId="0" fontId="95" fillId="36" borderId="98" xfId="0" applyFont="1" applyFill="1" applyBorder="1" applyAlignment="1">
      <alignment wrapText="1"/>
    </xf>
    <xf numFmtId="3" fontId="0" fillId="0" borderId="0" xfId="0" applyNumberFormat="1" applyAlignment="1">
      <alignment wrapText="1"/>
    </xf>
    <xf numFmtId="10" fontId="98" fillId="0" borderId="102" xfId="0" applyNumberFormat="1" applyFont="1" applyBorder="1" applyAlignment="1">
      <alignment horizontal="left" vertical="center"/>
    </xf>
    <xf numFmtId="0" fontId="0" fillId="0" borderId="105" xfId="0" applyBorder="1" applyAlignment="1">
      <alignment wrapText="1"/>
    </xf>
    <xf numFmtId="2" fontId="15" fillId="0" borderId="76" xfId="0" applyNumberFormat="1" applyFont="1" applyBorder="1" applyAlignment="1">
      <alignment horizontal="left" vertical="center"/>
    </xf>
    <xf numFmtId="2" fontId="15" fillId="0" borderId="103" xfId="0" applyNumberFormat="1" applyFont="1" applyBorder="1" applyAlignment="1">
      <alignment horizontal="left" vertical="center"/>
    </xf>
    <xf numFmtId="0" fontId="15" fillId="0" borderId="76" xfId="0" applyFont="1" applyBorder="1" applyAlignment="1">
      <alignment horizontal="left" vertical="center"/>
    </xf>
    <xf numFmtId="0" fontId="15" fillId="0" borderId="103" xfId="0" applyFont="1" applyBorder="1" applyAlignment="1">
      <alignment horizontal="left" vertical="center"/>
    </xf>
    <xf numFmtId="0" fontId="10" fillId="0" borderId="0" xfId="1"/>
    <xf numFmtId="0" fontId="13" fillId="36" borderId="98" xfId="1" applyFont="1" applyFill="1" applyBorder="1" applyAlignment="1">
      <alignment wrapText="1"/>
    </xf>
    <xf numFmtId="0" fontId="10" fillId="36" borderId="98" xfId="1" applyFill="1" applyBorder="1" applyAlignment="1">
      <alignment wrapText="1"/>
    </xf>
    <xf numFmtId="0" fontId="10" fillId="0" borderId="0" xfId="1" applyAlignment="1">
      <alignment horizontal="center"/>
    </xf>
    <xf numFmtId="10" fontId="10" fillId="0" borderId="0" xfId="1" applyNumberFormat="1" applyFill="1" applyBorder="1" applyAlignment="1">
      <alignment horizontal="center" wrapText="1"/>
    </xf>
    <xf numFmtId="0" fontId="10" fillId="0" borderId="0" xfId="1" applyFill="1" applyBorder="1" applyAlignment="1">
      <alignment wrapText="1"/>
    </xf>
    <xf numFmtId="0" fontId="13" fillId="0" borderId="99" xfId="1" applyFont="1" applyFill="1" applyBorder="1" applyAlignment="1">
      <alignment wrapText="1"/>
    </xf>
    <xf numFmtId="0" fontId="13" fillId="39" borderId="98" xfId="1" applyFont="1" applyFill="1" applyBorder="1" applyAlignment="1">
      <alignment wrapText="1"/>
    </xf>
    <xf numFmtId="0" fontId="10" fillId="39" borderId="98" xfId="1" applyFill="1" applyBorder="1"/>
    <xf numFmtId="0" fontId="0" fillId="0" borderId="0" xfId="0" applyAlignment="1">
      <alignment wrapText="1"/>
    </xf>
    <xf numFmtId="0" fontId="9" fillId="0" borderId="0" xfId="1" applyFont="1"/>
    <xf numFmtId="0" fontId="100" fillId="39" borderId="108" xfId="1" applyFont="1" applyFill="1" applyBorder="1" applyAlignment="1">
      <alignment horizontal="center"/>
    </xf>
    <xf numFmtId="4" fontId="10" fillId="0" borderId="0" xfId="1" applyNumberFormat="1" applyBorder="1" applyAlignment="1">
      <alignment horizontal="center"/>
    </xf>
    <xf numFmtId="0" fontId="9" fillId="0" borderId="0" xfId="1" applyFont="1" applyBorder="1" applyAlignment="1">
      <alignment horizontal="center"/>
    </xf>
    <xf numFmtId="0" fontId="60" fillId="21" borderId="52" xfId="0" applyFont="1" applyFill="1" applyBorder="1" applyAlignment="1">
      <alignment horizontal="center" vertical="center"/>
    </xf>
    <xf numFmtId="0" fontId="0" fillId="0" borderId="0" xfId="0" applyAlignment="1">
      <alignment wrapText="1"/>
    </xf>
    <xf numFmtId="0" fontId="8" fillId="0" borderId="0" xfId="2"/>
    <xf numFmtId="0" fontId="8" fillId="40" borderId="0" xfId="2" applyFill="1"/>
    <xf numFmtId="0" fontId="8" fillId="0" borderId="96" xfId="2" applyBorder="1"/>
    <xf numFmtId="0" fontId="8" fillId="0" borderId="96" xfId="2" applyBorder="1" applyAlignment="1">
      <alignment horizontal="center"/>
    </xf>
    <xf numFmtId="0" fontId="8" fillId="0" borderId="0" xfId="2" applyFill="1" applyBorder="1" applyAlignment="1">
      <alignment horizontal="center"/>
    </xf>
    <xf numFmtId="0" fontId="13" fillId="0" borderId="113" xfId="2" applyFont="1" applyBorder="1"/>
    <xf numFmtId="0" fontId="8" fillId="0" borderId="114" xfId="2" applyBorder="1" applyAlignment="1">
      <alignment horizontal="center"/>
    </xf>
    <xf numFmtId="0" fontId="13" fillId="0" borderId="116" xfId="2" applyFont="1" applyBorder="1"/>
    <xf numFmtId="0" fontId="8" fillId="0" borderId="117" xfId="2" applyBorder="1" applyAlignment="1">
      <alignment horizontal="center"/>
    </xf>
    <xf numFmtId="0" fontId="13" fillId="0" borderId="0" xfId="2" applyFont="1"/>
    <xf numFmtId="0" fontId="8" fillId="0" borderId="116" xfId="2" applyBorder="1"/>
    <xf numFmtId="0" fontId="8" fillId="0" borderId="117" xfId="2" applyNumberFormat="1" applyBorder="1" applyAlignment="1">
      <alignment horizontal="center"/>
    </xf>
    <xf numFmtId="0" fontId="8" fillId="41" borderId="116" xfId="2" applyFill="1" applyBorder="1"/>
    <xf numFmtId="0" fontId="8" fillId="41" borderId="0" xfId="2" applyFill="1" applyAlignment="1">
      <alignment horizontal="center"/>
    </xf>
    <xf numFmtId="0" fontId="8" fillId="0" borderId="0" xfId="2" applyAlignment="1">
      <alignment horizontal="center"/>
    </xf>
    <xf numFmtId="0" fontId="8" fillId="40" borderId="0" xfId="2" applyFill="1" applyAlignment="1">
      <alignment horizontal="center"/>
    </xf>
    <xf numFmtId="0" fontId="8" fillId="41" borderId="0" xfId="2" applyFill="1"/>
    <xf numFmtId="0" fontId="8" fillId="40" borderId="58" xfId="2" applyFill="1" applyBorder="1"/>
    <xf numFmtId="9" fontId="8" fillId="0" borderId="114" xfId="2" applyNumberFormat="1" applyBorder="1" applyAlignment="1">
      <alignment horizontal="center"/>
    </xf>
    <xf numFmtId="0" fontId="8" fillId="40" borderId="54" xfId="2" applyFill="1" applyBorder="1"/>
    <xf numFmtId="9" fontId="8" fillId="0" borderId="117" xfId="2" applyNumberFormat="1" applyBorder="1" applyAlignment="1">
      <alignment horizontal="center"/>
    </xf>
    <xf numFmtId="9" fontId="8" fillId="41" borderId="0" xfId="2" applyNumberFormat="1" applyFill="1" applyAlignment="1">
      <alignment horizontal="center"/>
    </xf>
    <xf numFmtId="9" fontId="8" fillId="40" borderId="0" xfId="2" applyNumberFormat="1" applyFill="1" applyAlignment="1">
      <alignment horizontal="center"/>
    </xf>
    <xf numFmtId="0" fontId="8" fillId="40" borderId="96" xfId="2" applyFill="1" applyBorder="1"/>
    <xf numFmtId="0" fontId="8" fillId="0" borderId="54" xfId="2" applyBorder="1"/>
    <xf numFmtId="0" fontId="8" fillId="41" borderId="0" xfId="2" applyNumberFormat="1" applyFill="1" applyAlignment="1">
      <alignment horizontal="center"/>
    </xf>
    <xf numFmtId="0" fontId="8" fillId="41" borderId="92" xfId="2" applyFill="1" applyBorder="1" applyAlignment="1">
      <alignment horizontal="center"/>
    </xf>
    <xf numFmtId="0" fontId="8" fillId="40" borderId="0" xfId="2" applyFill="1" applyBorder="1"/>
    <xf numFmtId="0" fontId="8" fillId="0" borderId="99" xfId="2" applyBorder="1"/>
    <xf numFmtId="0" fontId="8" fillId="41" borderId="99" xfId="2" applyFill="1" applyBorder="1" applyAlignment="1">
      <alignment horizontal="center"/>
    </xf>
    <xf numFmtId="0" fontId="8" fillId="0" borderId="0" xfId="2" applyBorder="1"/>
    <xf numFmtId="0" fontId="102" fillId="41" borderId="99" xfId="2" applyFont="1" applyFill="1" applyBorder="1" applyAlignment="1">
      <alignment horizontal="center"/>
    </xf>
    <xf numFmtId="0" fontId="8" fillId="40" borderId="102" xfId="2" applyFill="1" applyBorder="1"/>
    <xf numFmtId="0" fontId="13" fillId="0" borderId="0" xfId="2" applyFont="1" applyBorder="1"/>
    <xf numFmtId="0" fontId="103" fillId="41" borderId="0" xfId="2" applyFont="1" applyFill="1" applyBorder="1" applyAlignment="1">
      <alignment horizontal="center"/>
    </xf>
    <xf numFmtId="167" fontId="8" fillId="0" borderId="0" xfId="2" applyNumberFormat="1" applyFill="1" applyAlignment="1">
      <alignment horizontal="center"/>
    </xf>
    <xf numFmtId="0" fontId="8" fillId="40" borderId="121" xfId="2" applyFill="1" applyBorder="1"/>
    <xf numFmtId="0" fontId="8" fillId="40" borderId="112" xfId="2" applyFill="1" applyBorder="1"/>
    <xf numFmtId="0" fontId="8" fillId="40" borderId="0" xfId="2" applyFill="1" applyAlignment="1">
      <alignment horizontal="center" vertical="center" wrapText="1"/>
    </xf>
    <xf numFmtId="0" fontId="8" fillId="40" borderId="91" xfId="2" applyFill="1" applyBorder="1" applyAlignment="1">
      <alignment wrapText="1"/>
    </xf>
    <xf numFmtId="0" fontId="8" fillId="40" borderId="0" xfId="2" applyFill="1" applyBorder="1" applyAlignment="1">
      <alignment wrapText="1"/>
    </xf>
    <xf numFmtId="0" fontId="8" fillId="40" borderId="99" xfId="2" applyFill="1" applyBorder="1" applyAlignment="1">
      <alignment wrapText="1"/>
    </xf>
    <xf numFmtId="0" fontId="8" fillId="40" borderId="58" xfId="2" applyFill="1" applyBorder="1" applyAlignment="1">
      <alignment wrapText="1"/>
    </xf>
    <xf numFmtId="0" fontId="8" fillId="40" borderId="54" xfId="2" applyFill="1" applyBorder="1" applyAlignment="1">
      <alignment wrapText="1"/>
    </xf>
    <xf numFmtId="0" fontId="13" fillId="0" borderId="122" xfId="2" applyFont="1" applyBorder="1" applyAlignment="1">
      <alignment wrapText="1"/>
    </xf>
    <xf numFmtId="0" fontId="13" fillId="0" borderId="96" xfId="2" applyFont="1" applyBorder="1" applyAlignment="1">
      <alignment horizontal="center" wrapText="1"/>
    </xf>
    <xf numFmtId="0" fontId="13" fillId="0" borderId="123" xfId="2" applyFont="1" applyBorder="1" applyAlignment="1">
      <alignment horizontal="center" wrapText="1"/>
    </xf>
    <xf numFmtId="0" fontId="13" fillId="0" borderId="91" xfId="2" applyFont="1" applyBorder="1" applyAlignment="1">
      <alignment wrapText="1"/>
    </xf>
    <xf numFmtId="0" fontId="13" fillId="0" borderId="0" xfId="2" applyFont="1" applyBorder="1" applyAlignment="1">
      <alignment horizontal="center" wrapText="1"/>
    </xf>
    <xf numFmtId="0" fontId="13" fillId="0" borderId="0" xfId="2" applyFont="1" applyBorder="1" applyAlignment="1">
      <alignment horizontal="left" vertical="center" wrapText="1"/>
    </xf>
    <xf numFmtId="0" fontId="8" fillId="41" borderId="124" xfId="2" applyFill="1" applyBorder="1" applyAlignment="1">
      <alignment horizontal="center" wrapText="1"/>
    </xf>
    <xf numFmtId="0" fontId="8" fillId="0" borderId="0" xfId="2" applyBorder="1" applyAlignment="1">
      <alignment horizontal="center" wrapText="1"/>
    </xf>
    <xf numFmtId="0" fontId="13" fillId="41" borderId="125" xfId="2" applyFont="1" applyFill="1" applyBorder="1" applyAlignment="1">
      <alignment horizontal="center" wrapText="1"/>
    </xf>
    <xf numFmtId="0" fontId="13" fillId="0" borderId="0" xfId="2" applyFont="1" applyBorder="1" applyAlignment="1">
      <alignment wrapText="1"/>
    </xf>
    <xf numFmtId="0" fontId="8" fillId="41" borderId="0" xfId="2" applyFill="1" applyBorder="1" applyAlignment="1">
      <alignment horizontal="center" wrapText="1"/>
    </xf>
    <xf numFmtId="0" fontId="8" fillId="0" borderId="96" xfId="2" applyBorder="1" applyAlignment="1">
      <alignment horizontal="center" wrapText="1"/>
    </xf>
    <xf numFmtId="0" fontId="8" fillId="41" borderId="92" xfId="2" applyFill="1" applyBorder="1" applyAlignment="1">
      <alignment horizontal="center" wrapText="1"/>
    </xf>
    <xf numFmtId="0" fontId="8" fillId="0" borderId="126" xfId="2" applyBorder="1" applyAlignment="1">
      <alignment horizontal="center" wrapText="1"/>
    </xf>
    <xf numFmtId="0" fontId="8" fillId="40" borderId="111" xfId="2" applyFill="1" applyBorder="1" applyAlignment="1">
      <alignment wrapText="1"/>
    </xf>
    <xf numFmtId="0" fontId="8" fillId="40" borderId="102" xfId="2" applyFill="1" applyBorder="1" applyAlignment="1">
      <alignment wrapText="1"/>
    </xf>
    <xf numFmtId="0" fontId="8" fillId="40" borderId="112" xfId="2" applyFill="1" applyBorder="1" applyAlignment="1">
      <alignment wrapText="1"/>
    </xf>
    <xf numFmtId="0" fontId="8" fillId="0" borderId="0" xfId="2" applyBorder="1" applyAlignment="1">
      <alignment wrapText="1"/>
    </xf>
    <xf numFmtId="0" fontId="8" fillId="0" borderId="0" xfId="2" applyAlignment="1">
      <alignment wrapText="1"/>
    </xf>
    <xf numFmtId="0" fontId="0" fillId="0" borderId="0" xfId="0" applyAlignment="1">
      <alignment wrapText="1"/>
    </xf>
    <xf numFmtId="14" fontId="0" fillId="0" borderId="0" xfId="0" applyNumberFormat="1" applyAlignment="1">
      <alignment horizontal="left" wrapText="1"/>
    </xf>
    <xf numFmtId="0" fontId="0" fillId="0" borderId="0" xfId="0" applyAlignment="1">
      <alignment horizontal="center" wrapText="1"/>
    </xf>
    <xf numFmtId="0" fontId="13" fillId="0" borderId="0" xfId="0" applyFont="1" applyAlignment="1">
      <alignment wrapText="1"/>
    </xf>
    <xf numFmtId="0" fontId="60" fillId="21" borderId="84" xfId="0" applyFont="1" applyFill="1" applyBorder="1" applyAlignment="1">
      <alignment horizontal="center" vertical="center"/>
    </xf>
    <xf numFmtId="0" fontId="15" fillId="21" borderId="52" xfId="0" applyFont="1" applyFill="1" applyBorder="1" applyAlignment="1">
      <alignment horizontal="center" vertical="center"/>
    </xf>
    <xf numFmtId="0" fontId="15" fillId="21" borderId="84" xfId="0" applyFont="1" applyFill="1" applyBorder="1" applyAlignment="1">
      <alignment horizontal="center" vertical="center"/>
    </xf>
    <xf numFmtId="0" fontId="15" fillId="30" borderId="128" xfId="0" applyFont="1" applyFill="1" applyBorder="1" applyAlignment="1">
      <alignment horizontal="center" wrapText="1"/>
    </xf>
    <xf numFmtId="0" fontId="55" fillId="0" borderId="46" xfId="0" applyFont="1" applyBorder="1" applyAlignment="1">
      <alignment horizontal="center" vertical="center"/>
    </xf>
    <xf numFmtId="4" fontId="12" fillId="0" borderId="0" xfId="0" applyNumberFormat="1" applyFont="1" applyAlignment="1">
      <alignment horizontal="center" wrapText="1"/>
    </xf>
    <xf numFmtId="4" fontId="76" fillId="0" borderId="71" xfId="0" applyNumberFormat="1" applyFont="1" applyBorder="1" applyAlignment="1">
      <alignment horizontal="center" wrapText="1"/>
    </xf>
    <xf numFmtId="2" fontId="41" fillId="0" borderId="32" xfId="0" applyNumberFormat="1" applyFont="1" applyBorder="1" applyAlignment="1">
      <alignment horizontal="center" vertical="center"/>
    </xf>
    <xf numFmtId="2" fontId="92" fillId="0" borderId="0" xfId="0" applyNumberFormat="1" applyFont="1" applyAlignment="1">
      <alignment horizontal="center" vertical="center"/>
    </xf>
    <xf numFmtId="0" fontId="30" fillId="0" borderId="0" xfId="0" applyFont="1" applyAlignment="1">
      <alignment horizontal="center" vertical="center"/>
    </xf>
    <xf numFmtId="0" fontId="0" fillId="0" borderId="29" xfId="0" applyBorder="1" applyAlignment="1">
      <alignment horizontal="center" wrapText="1"/>
    </xf>
    <xf numFmtId="10" fontId="0" fillId="0" borderId="0" xfId="0" applyNumberFormat="1" applyAlignment="1">
      <alignment horizontal="center" wrapText="1"/>
    </xf>
    <xf numFmtId="0" fontId="0" fillId="0" borderId="54" xfId="0" applyBorder="1" applyAlignment="1">
      <alignment horizontal="center" wrapText="1"/>
    </xf>
    <xf numFmtId="4" fontId="51" fillId="0" borderId="0" xfId="0" applyNumberFormat="1" applyFont="1" applyAlignment="1">
      <alignment horizontal="center" vertical="center"/>
    </xf>
    <xf numFmtId="4" fontId="14" fillId="0" borderId="3" xfId="0" applyNumberFormat="1" applyFont="1" applyBorder="1" applyAlignment="1">
      <alignment horizontal="center" vertical="center"/>
    </xf>
    <xf numFmtId="4" fontId="27" fillId="8" borderId="15" xfId="0" applyNumberFormat="1" applyFont="1" applyFill="1" applyBorder="1" applyAlignment="1">
      <alignment horizontal="center" vertical="center"/>
    </xf>
    <xf numFmtId="4" fontId="96" fillId="0" borderId="99" xfId="0" applyNumberFormat="1" applyFont="1" applyBorder="1" applyAlignment="1">
      <alignment horizontal="center" vertical="center"/>
    </xf>
    <xf numFmtId="0" fontId="35" fillId="0" borderId="25" xfId="0" applyFont="1" applyBorder="1" applyAlignment="1">
      <alignment horizontal="center" vertical="center"/>
    </xf>
    <xf numFmtId="0" fontId="91" fillId="0" borderId="90" xfId="0" applyFont="1" applyBorder="1" applyAlignment="1">
      <alignment horizontal="center" vertical="center"/>
    </xf>
    <xf numFmtId="4" fontId="0" fillId="0" borderId="23" xfId="0" applyNumberFormat="1" applyBorder="1" applyAlignment="1">
      <alignment horizontal="center" wrapText="1"/>
    </xf>
    <xf numFmtId="10" fontId="0" fillId="0" borderId="74" xfId="0" applyNumberFormat="1" applyBorder="1" applyAlignment="1">
      <alignment horizontal="center" wrapText="1"/>
    </xf>
    <xf numFmtId="4" fontId="0" fillId="0" borderId="63" xfId="0" applyNumberFormat="1" applyBorder="1" applyAlignment="1">
      <alignment horizontal="center" wrapText="1"/>
    </xf>
    <xf numFmtId="4" fontId="0" fillId="0" borderId="91" xfId="0" applyNumberFormat="1" applyBorder="1" applyAlignment="1">
      <alignment horizontal="center" wrapText="1"/>
    </xf>
    <xf numFmtId="4" fontId="66" fillId="0" borderId="57" xfId="0" applyNumberFormat="1" applyFont="1" applyBorder="1" applyAlignment="1">
      <alignment horizontal="center" wrapText="1"/>
    </xf>
    <xf numFmtId="3" fontId="0" fillId="0" borderId="0" xfId="0" applyNumberFormat="1" applyAlignment="1">
      <alignment horizontal="center" wrapText="1"/>
    </xf>
    <xf numFmtId="0" fontId="0" fillId="13" borderId="22" xfId="0" applyFill="1" applyBorder="1" applyAlignment="1">
      <alignment horizontal="center" wrapText="1"/>
    </xf>
    <xf numFmtId="10" fontId="0" fillId="34" borderId="88" xfId="0" applyNumberFormat="1" applyFill="1" applyBorder="1" applyAlignment="1">
      <alignment horizontal="center" wrapText="1"/>
    </xf>
    <xf numFmtId="4" fontId="0" fillId="3" borderId="6" xfId="0" applyNumberFormat="1" applyFill="1" applyBorder="1" applyAlignment="1">
      <alignment horizontal="center" wrapText="1"/>
    </xf>
    <xf numFmtId="10" fontId="11" fillId="0" borderId="0" xfId="0" applyNumberFormat="1" applyFont="1" applyAlignment="1">
      <alignment horizontal="left" vertical="center"/>
    </xf>
    <xf numFmtId="0" fontId="18" fillId="36" borderId="98" xfId="0" applyFont="1" applyFill="1" applyBorder="1" applyAlignment="1">
      <alignment wrapText="1"/>
    </xf>
    <xf numFmtId="0" fontId="15" fillId="28" borderId="79" xfId="0" applyFont="1" applyFill="1" applyBorder="1" applyAlignment="1">
      <alignment horizontal="left" vertical="center"/>
    </xf>
    <xf numFmtId="0" fontId="11" fillId="0" borderId="0" xfId="0" applyFont="1" applyAlignment="1">
      <alignment horizontal="left" vertical="center"/>
    </xf>
    <xf numFmtId="4" fontId="15" fillId="0" borderId="0" xfId="0" applyNumberFormat="1" applyFont="1" applyFill="1" applyBorder="1" applyAlignment="1">
      <alignment horizontal="left" vertical="center"/>
    </xf>
    <xf numFmtId="2" fontId="15" fillId="0" borderId="0" xfId="0" applyNumberFormat="1" applyFont="1" applyFill="1" applyBorder="1" applyAlignment="1">
      <alignment horizontal="left" vertical="center"/>
    </xf>
    <xf numFmtId="165" fontId="51" fillId="0" borderId="0" xfId="0" applyNumberFormat="1" applyFont="1" applyAlignment="1">
      <alignment horizontal="center" vertical="center"/>
    </xf>
    <xf numFmtId="0" fontId="0" fillId="0" borderId="0" xfId="0" applyBorder="1" applyAlignment="1">
      <alignment vertical="center" wrapText="1"/>
    </xf>
    <xf numFmtId="0" fontId="0" fillId="38" borderId="69" xfId="0" applyFill="1" applyBorder="1" applyAlignment="1">
      <alignment wrapText="1"/>
    </xf>
    <xf numFmtId="0" fontId="0" fillId="38" borderId="104" xfId="0" applyFill="1" applyBorder="1" applyAlignment="1">
      <alignment wrapText="1"/>
    </xf>
    <xf numFmtId="10" fontId="0" fillId="38" borderId="104" xfId="0" applyNumberFormat="1" applyFill="1" applyBorder="1" applyAlignment="1">
      <alignment wrapText="1"/>
    </xf>
    <xf numFmtId="0" fontId="11" fillId="38" borderId="77" xfId="0" applyFont="1" applyFill="1" applyBorder="1" applyAlignment="1">
      <alignment horizontal="center" vertical="center"/>
    </xf>
    <xf numFmtId="0" fontId="81" fillId="38" borderId="77" xfId="0" applyFont="1" applyFill="1" applyBorder="1" applyAlignment="1">
      <alignment horizontal="center" vertical="center"/>
    </xf>
    <xf numFmtId="0" fontId="11" fillId="38" borderId="94" xfId="0" applyFont="1" applyFill="1" applyBorder="1" applyAlignment="1">
      <alignment horizontal="center"/>
    </xf>
    <xf numFmtId="0" fontId="99" fillId="38" borderId="104" xfId="0" applyFont="1" applyFill="1" applyBorder="1" applyAlignment="1">
      <alignment horizontal="center"/>
    </xf>
    <xf numFmtId="0" fontId="11" fillId="38" borderId="104" xfId="0" applyFont="1" applyFill="1" applyBorder="1" applyAlignment="1">
      <alignment horizontal="center"/>
    </xf>
    <xf numFmtId="0" fontId="0" fillId="43" borderId="112" xfId="0" applyFill="1" applyBorder="1" applyAlignment="1">
      <alignment horizontal="center" wrapText="1"/>
    </xf>
    <xf numFmtId="0" fontId="0" fillId="43" borderId="98" xfId="0" applyFill="1" applyBorder="1" applyAlignment="1">
      <alignment horizontal="center" wrapText="1"/>
    </xf>
    <xf numFmtId="0" fontId="0" fillId="43" borderId="101" xfId="0" applyFill="1" applyBorder="1" applyAlignment="1">
      <alignment horizontal="center" wrapText="1"/>
    </xf>
    <xf numFmtId="1" fontId="15" fillId="43" borderId="104" xfId="0" applyNumberFormat="1" applyFont="1" applyFill="1" applyBorder="1" applyAlignment="1">
      <alignment horizontal="left" vertical="center"/>
    </xf>
    <xf numFmtId="166" fontId="53" fillId="38" borderId="41" xfId="0" applyNumberFormat="1" applyFont="1" applyFill="1" applyBorder="1" applyAlignment="1">
      <alignment horizontal="left" vertical="center"/>
    </xf>
    <xf numFmtId="4" fontId="78" fillId="43" borderId="73" xfId="0" applyNumberFormat="1" applyFont="1" applyFill="1" applyBorder="1" applyAlignment="1">
      <alignment horizontal="left" wrapText="1"/>
    </xf>
    <xf numFmtId="4" fontId="29" fillId="43" borderId="18" xfId="0" applyNumberFormat="1" applyFont="1" applyFill="1" applyBorder="1" applyAlignment="1">
      <alignment horizontal="left" wrapText="1"/>
    </xf>
    <xf numFmtId="0" fontId="0" fillId="43" borderId="100" xfId="0" applyFill="1" applyBorder="1" applyAlignment="1">
      <alignment horizontal="center" wrapText="1"/>
    </xf>
    <xf numFmtId="0" fontId="11" fillId="40" borderId="99" xfId="0" applyFont="1" applyFill="1" applyBorder="1" applyAlignment="1">
      <alignment horizontal="left" vertical="center"/>
    </xf>
    <xf numFmtId="0" fontId="0" fillId="40" borderId="99" xfId="0" applyFill="1" applyBorder="1" applyAlignment="1">
      <alignment wrapText="1"/>
    </xf>
    <xf numFmtId="0" fontId="0" fillId="40" borderId="58" xfId="0" applyFill="1" applyBorder="1" applyAlignment="1">
      <alignment wrapText="1"/>
    </xf>
    <xf numFmtId="0" fontId="30" fillId="40" borderId="0" xfId="0" applyFont="1" applyFill="1" applyAlignment="1">
      <alignment horizontal="left" vertical="center"/>
    </xf>
    <xf numFmtId="0" fontId="0" fillId="40" borderId="0" xfId="0" applyFill="1" applyAlignment="1">
      <alignment wrapText="1"/>
    </xf>
    <xf numFmtId="0" fontId="0" fillId="0" borderId="0" xfId="0" applyAlignment="1">
      <alignment wrapText="1"/>
    </xf>
    <xf numFmtId="0" fontId="11" fillId="45" borderId="110" xfId="0" applyFont="1" applyFill="1" applyBorder="1" applyAlignment="1">
      <alignment horizontal="center"/>
    </xf>
    <xf numFmtId="0" fontId="11" fillId="38" borderId="129" xfId="0" applyFont="1" applyFill="1" applyBorder="1" applyAlignment="1">
      <alignment horizontal="center" vertical="center"/>
    </xf>
    <xf numFmtId="4" fontId="86" fillId="29" borderId="98" xfId="0" applyNumberFormat="1" applyFont="1" applyFill="1" applyBorder="1" applyAlignment="1">
      <alignment horizontal="center" vertical="center"/>
    </xf>
    <xf numFmtId="0" fontId="33" fillId="12" borderId="98" xfId="0" applyFont="1" applyFill="1" applyBorder="1" applyAlignment="1">
      <alignment horizontal="center" vertical="center"/>
    </xf>
    <xf numFmtId="4" fontId="15" fillId="0" borderId="0" xfId="0" applyNumberFormat="1" applyFont="1" applyFill="1" applyBorder="1" applyAlignment="1">
      <alignment horizontal="center" vertical="center"/>
    </xf>
    <xf numFmtId="4" fontId="51" fillId="0" borderId="0" xfId="0" applyNumberFormat="1" applyFont="1" applyFill="1" applyBorder="1" applyAlignment="1">
      <alignment horizontal="center" vertical="center"/>
    </xf>
    <xf numFmtId="4" fontId="49" fillId="0" borderId="37" xfId="0" applyNumberFormat="1" applyFont="1" applyFill="1" applyBorder="1" applyAlignment="1">
      <alignment horizontal="center" vertical="center"/>
    </xf>
    <xf numFmtId="165" fontId="51" fillId="0" borderId="0" xfId="0" applyNumberFormat="1" applyFont="1" applyFill="1" applyBorder="1" applyAlignment="1">
      <alignment horizontal="center" vertical="center"/>
    </xf>
    <xf numFmtId="0" fontId="10" fillId="0" borderId="0" xfId="1" applyBorder="1"/>
    <xf numFmtId="0" fontId="100" fillId="0" borderId="0" xfId="1" applyFont="1" applyBorder="1" applyAlignment="1">
      <alignment horizontal="center"/>
    </xf>
    <xf numFmtId="168" fontId="10" fillId="0" borderId="0" xfId="1" applyNumberFormat="1" applyBorder="1" applyAlignment="1">
      <alignment horizontal="center"/>
    </xf>
    <xf numFmtId="0" fontId="0" fillId="0" borderId="0" xfId="0" applyAlignment="1">
      <alignment wrapText="1"/>
    </xf>
    <xf numFmtId="0" fontId="11" fillId="0" borderId="0" xfId="0" applyFont="1" applyBorder="1" applyAlignment="1">
      <alignment horizontal="left" vertical="center"/>
    </xf>
    <xf numFmtId="0" fontId="0" fillId="40" borderId="97" xfId="0" applyFill="1" applyBorder="1" applyAlignment="1">
      <alignment horizontal="center" wrapText="1"/>
    </xf>
    <xf numFmtId="0" fontId="0" fillId="0" borderId="0" xfId="0" applyFill="1" applyAlignment="1">
      <alignment wrapText="1"/>
    </xf>
    <xf numFmtId="0" fontId="11" fillId="39" borderId="98" xfId="0" applyFont="1" applyFill="1" applyBorder="1" applyAlignment="1">
      <alignment horizontal="left" vertical="center"/>
    </xf>
    <xf numFmtId="4" fontId="0" fillId="43" borderId="98" xfId="0" applyNumberFormat="1" applyFill="1" applyBorder="1" applyAlignment="1">
      <alignment horizontal="center" vertical="center" wrapText="1"/>
    </xf>
    <xf numFmtId="10" fontId="13" fillId="43" borderId="9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wrapText="1"/>
    </xf>
    <xf numFmtId="0" fontId="61" fillId="0" borderId="55" xfId="0" applyFont="1" applyBorder="1" applyAlignment="1">
      <alignment horizontal="left" vertical="center"/>
    </xf>
    <xf numFmtId="0" fontId="15" fillId="28" borderId="79" xfId="0" quotePrefix="1" applyFont="1" applyFill="1" applyBorder="1" applyAlignment="1">
      <alignment horizontal="left" vertical="center"/>
    </xf>
    <xf numFmtId="4" fontId="15" fillId="43" borderId="104" xfId="0" applyNumberFormat="1" applyFont="1" applyFill="1" applyBorder="1" applyAlignment="1">
      <alignment horizontal="left" vertical="center"/>
    </xf>
    <xf numFmtId="0" fontId="0" fillId="0" borderId="0" xfId="0" applyAlignment="1">
      <alignment wrapText="1"/>
    </xf>
    <xf numFmtId="0" fontId="0" fillId="46" borderId="0" xfId="0" applyFill="1" applyAlignment="1">
      <alignment vertical="center" wrapText="1"/>
    </xf>
    <xf numFmtId="0" fontId="18" fillId="47" borderId="0" xfId="0" applyFont="1" applyFill="1" applyAlignment="1">
      <alignment horizontal="center" vertical="center" wrapText="1"/>
    </xf>
    <xf numFmtId="0" fontId="0" fillId="47" borderId="0" xfId="0" applyFill="1" applyAlignment="1">
      <alignment vertical="center" wrapText="1"/>
    </xf>
    <xf numFmtId="0" fontId="13" fillId="47" borderId="0" xfId="0" applyFont="1" applyFill="1" applyAlignment="1">
      <alignment vertical="center" wrapText="1"/>
    </xf>
    <xf numFmtId="0" fontId="0" fillId="46" borderId="0" xfId="0" applyFill="1" applyAlignment="1">
      <alignment wrapText="1"/>
    </xf>
    <xf numFmtId="0" fontId="111" fillId="45" borderId="132" xfId="0" applyFont="1" applyFill="1" applyBorder="1" applyAlignment="1">
      <alignment horizontal="left" vertical="center" wrapText="1" readingOrder="1"/>
    </xf>
    <xf numFmtId="0" fontId="13" fillId="45" borderId="0" xfId="0" quotePrefix="1" applyFont="1" applyFill="1" applyAlignment="1">
      <alignment vertical="center" wrapText="1" readingOrder="1"/>
    </xf>
    <xf numFmtId="0" fontId="0" fillId="45" borderId="0" xfId="0" applyFill="1" applyAlignment="1">
      <alignment vertical="center" wrapText="1"/>
    </xf>
    <xf numFmtId="0" fontId="0" fillId="48" borderId="0" xfId="0" applyFill="1" applyAlignment="1">
      <alignment wrapText="1"/>
    </xf>
    <xf numFmtId="0" fontId="0" fillId="48" borderId="0" xfId="0" applyFill="1" applyAlignment="1">
      <alignment vertical="center" wrapText="1"/>
    </xf>
    <xf numFmtId="0" fontId="0" fillId="47" borderId="131" xfId="0" applyFill="1" applyBorder="1" applyAlignment="1">
      <alignment vertical="center" wrapText="1"/>
    </xf>
    <xf numFmtId="0" fontId="18" fillId="44" borderId="102" xfId="0" applyFont="1" applyFill="1" applyBorder="1" applyAlignment="1">
      <alignment horizontal="center" wrapText="1"/>
    </xf>
    <xf numFmtId="0" fontId="0" fillId="44" borderId="108" xfId="0" applyFill="1" applyBorder="1" applyAlignment="1">
      <alignment wrapText="1"/>
    </xf>
    <xf numFmtId="0" fontId="0" fillId="44" borderId="110" xfId="0" applyFill="1" applyBorder="1" applyAlignment="1">
      <alignment wrapText="1"/>
    </xf>
    <xf numFmtId="0" fontId="0" fillId="44" borderId="109" xfId="0" applyFill="1" applyBorder="1" applyAlignment="1">
      <alignment wrapText="1"/>
    </xf>
    <xf numFmtId="0" fontId="11" fillId="45" borderId="97" xfId="0" applyFont="1" applyFill="1" applyBorder="1" applyAlignment="1">
      <alignment horizontal="left" vertical="center"/>
    </xf>
    <xf numFmtId="0" fontId="18" fillId="45" borderId="99" xfId="0" applyFont="1" applyFill="1" applyBorder="1" applyAlignment="1">
      <alignment horizontal="center" wrapText="1"/>
    </xf>
    <xf numFmtId="0" fontId="18" fillId="45" borderId="99" xfId="0" applyFont="1" applyFill="1" applyBorder="1" applyAlignment="1">
      <alignment wrapText="1"/>
    </xf>
    <xf numFmtId="0" fontId="18" fillId="45" borderId="58" xfId="0" applyFont="1" applyFill="1" applyBorder="1" applyAlignment="1">
      <alignment horizontal="center" wrapText="1"/>
    </xf>
    <xf numFmtId="0" fontId="30" fillId="45" borderId="97" xfId="0" applyFont="1" applyFill="1" applyBorder="1" applyAlignment="1">
      <alignment horizontal="left" vertical="center"/>
    </xf>
    <xf numFmtId="0" fontId="13" fillId="45" borderId="99" xfId="0" applyFont="1" applyFill="1" applyBorder="1" applyAlignment="1">
      <alignment horizontal="center" wrapText="1"/>
    </xf>
    <xf numFmtId="0" fontId="0" fillId="45" borderId="99" xfId="0" applyFill="1" applyBorder="1" applyAlignment="1">
      <alignment wrapText="1"/>
    </xf>
    <xf numFmtId="0" fontId="30" fillId="45" borderId="111" xfId="0" applyFont="1" applyFill="1" applyBorder="1" applyAlignment="1">
      <alignment horizontal="left" vertical="center"/>
    </xf>
    <xf numFmtId="0" fontId="0" fillId="45" borderId="102" xfId="0" applyFill="1" applyBorder="1" applyAlignment="1">
      <alignment wrapText="1"/>
    </xf>
    <xf numFmtId="0" fontId="0" fillId="45" borderId="112" xfId="0" applyFill="1" applyBorder="1" applyAlignment="1">
      <alignment wrapText="1"/>
    </xf>
    <xf numFmtId="0" fontId="0" fillId="0" borderId="0" xfId="0" applyAlignment="1">
      <alignment wrapText="1"/>
    </xf>
    <xf numFmtId="4" fontId="15" fillId="38" borderId="104" xfId="0" applyNumberFormat="1" applyFont="1" applyFill="1" applyBorder="1" applyAlignment="1" applyProtection="1">
      <alignment horizontal="left" vertical="center"/>
      <protection locked="0"/>
    </xf>
    <xf numFmtId="10" fontId="15" fillId="38" borderId="104" xfId="0" applyNumberFormat="1" applyFont="1" applyFill="1" applyBorder="1" applyAlignment="1" applyProtection="1">
      <alignment horizontal="left" vertical="center"/>
      <protection locked="0"/>
    </xf>
    <xf numFmtId="167" fontId="15" fillId="38" borderId="104" xfId="0" applyNumberFormat="1" applyFont="1" applyFill="1" applyBorder="1" applyAlignment="1" applyProtection="1">
      <alignment horizontal="left" vertical="center"/>
      <protection locked="0"/>
    </xf>
    <xf numFmtId="9" fontId="15" fillId="38" borderId="104" xfId="0" applyNumberFormat="1" applyFont="1" applyFill="1" applyBorder="1" applyAlignment="1" applyProtection="1">
      <alignment horizontal="left" vertical="center"/>
      <protection locked="0"/>
    </xf>
    <xf numFmtId="2" fontId="15" fillId="38" borderId="104" xfId="0" applyNumberFormat="1" applyFont="1" applyFill="1" applyBorder="1" applyAlignment="1" applyProtection="1">
      <alignment horizontal="left" vertical="center"/>
      <protection locked="0"/>
    </xf>
    <xf numFmtId="0" fontId="0" fillId="38" borderId="98" xfId="0" applyFill="1" applyBorder="1" applyAlignment="1" applyProtection="1">
      <alignment horizontal="center" wrapText="1"/>
      <protection locked="0"/>
    </xf>
    <xf numFmtId="0" fontId="0" fillId="38" borderId="100" xfId="0" applyFill="1" applyBorder="1" applyAlignment="1" applyProtection="1">
      <alignment horizontal="center" wrapText="1"/>
      <protection locked="0"/>
    </xf>
    <xf numFmtId="0" fontId="0" fillId="38" borderId="101" xfId="0" applyFill="1" applyBorder="1" applyAlignment="1" applyProtection="1">
      <alignment horizontal="center" wrapText="1"/>
      <protection locked="0"/>
    </xf>
    <xf numFmtId="0" fontId="0" fillId="38" borderId="58" xfId="0" applyFill="1" applyBorder="1" applyAlignment="1" applyProtection="1">
      <alignment horizontal="center" wrapText="1"/>
      <protection locked="0"/>
    </xf>
    <xf numFmtId="0" fontId="0" fillId="38" borderId="108" xfId="0" applyFill="1" applyBorder="1" applyAlignment="1" applyProtection="1">
      <alignment horizontal="center" wrapText="1"/>
      <protection locked="0"/>
    </xf>
    <xf numFmtId="0" fontId="0" fillId="38" borderId="97" xfId="0" applyFill="1" applyBorder="1" applyAlignment="1" applyProtection="1">
      <alignment horizontal="center" wrapText="1"/>
      <protection locked="0"/>
    </xf>
    <xf numFmtId="0" fontId="13" fillId="38" borderId="100" xfId="0" applyNumberFormat="1" applyFont="1" applyFill="1" applyBorder="1" applyAlignment="1" applyProtection="1">
      <alignment horizontal="center" wrapText="1"/>
      <protection locked="0"/>
    </xf>
    <xf numFmtId="0" fontId="13" fillId="38" borderId="112" xfId="2" applyFont="1" applyFill="1" applyBorder="1" applyAlignment="1" applyProtection="1">
      <alignment horizontal="center"/>
      <protection locked="0"/>
    </xf>
    <xf numFmtId="0" fontId="13" fillId="38" borderId="100" xfId="2" applyFont="1" applyFill="1" applyBorder="1" applyAlignment="1" applyProtection="1">
      <alignment horizontal="center"/>
      <protection locked="0"/>
    </xf>
    <xf numFmtId="0" fontId="13" fillId="38" borderId="115" xfId="2" applyFont="1" applyFill="1" applyBorder="1" applyAlignment="1" applyProtection="1">
      <alignment horizontal="center"/>
      <protection locked="0"/>
    </xf>
    <xf numFmtId="0" fontId="101" fillId="38" borderId="118" xfId="2" applyFont="1" applyFill="1" applyBorder="1" applyAlignment="1" applyProtection="1">
      <alignment horizontal="center"/>
      <protection locked="0"/>
    </xf>
    <xf numFmtId="0" fontId="8" fillId="38" borderId="109" xfId="2" applyFill="1" applyBorder="1" applyAlignment="1" applyProtection="1">
      <alignment horizontal="center"/>
      <protection locked="0"/>
    </xf>
    <xf numFmtId="0" fontId="13" fillId="38" borderId="120" xfId="2" applyFont="1" applyFill="1" applyBorder="1" applyAlignment="1" applyProtection="1">
      <alignment horizontal="center"/>
      <protection locked="0"/>
    </xf>
    <xf numFmtId="9" fontId="10" fillId="38" borderId="98" xfId="1" applyNumberFormat="1" applyFill="1" applyBorder="1" applyAlignment="1" applyProtection="1">
      <alignment horizontal="center"/>
      <protection locked="0"/>
    </xf>
    <xf numFmtId="0" fontId="10" fillId="38" borderId="98" xfId="1" applyFill="1" applyBorder="1" applyAlignment="1" applyProtection="1">
      <alignment horizontal="center"/>
      <protection locked="0"/>
    </xf>
    <xf numFmtId="0" fontId="10" fillId="38" borderId="98" xfId="1" applyFill="1" applyBorder="1" applyAlignment="1" applyProtection="1">
      <alignment horizontal="center" wrapText="1"/>
      <protection locked="0"/>
    </xf>
    <xf numFmtId="9" fontId="10" fillId="38" borderId="98" xfId="1" applyNumberFormat="1" applyFill="1" applyBorder="1" applyAlignment="1" applyProtection="1">
      <alignment horizontal="center" wrapText="1"/>
      <protection locked="0"/>
    </xf>
    <xf numFmtId="1" fontId="10" fillId="37" borderId="99" xfId="1" applyNumberFormat="1" applyFill="1" applyBorder="1" applyAlignment="1" applyProtection="1">
      <alignment horizontal="center" wrapText="1"/>
      <protection locked="0"/>
    </xf>
    <xf numFmtId="0" fontId="74" fillId="38" borderId="69" xfId="0" applyFont="1" applyFill="1" applyBorder="1" applyAlignment="1" applyProtection="1">
      <alignment horizontal="left" vertical="center"/>
      <protection locked="0"/>
    </xf>
    <xf numFmtId="165" fontId="32" fillId="11" borderId="20" xfId="0" applyNumberFormat="1" applyFont="1" applyFill="1" applyBorder="1" applyAlignment="1">
      <alignment horizontal="left" vertical="center"/>
    </xf>
    <xf numFmtId="165" fontId="89" fillId="33" borderId="87" xfId="0" applyNumberFormat="1" applyFont="1" applyFill="1" applyBorder="1" applyAlignment="1">
      <alignment horizontal="left" vertical="center"/>
    </xf>
    <xf numFmtId="0" fontId="7" fillId="0" borderId="0" xfId="2" applyFont="1" applyAlignment="1">
      <alignment horizontal="center" vertical="center"/>
    </xf>
    <xf numFmtId="0" fontId="0" fillId="0" borderId="0" xfId="0" applyAlignment="1">
      <alignment horizontal="center" vertical="center"/>
    </xf>
    <xf numFmtId="10" fontId="70" fillId="23" borderId="62" xfId="0" applyNumberFormat="1" applyFont="1" applyFill="1" applyBorder="1" applyAlignment="1">
      <alignment horizontal="left" vertical="center"/>
    </xf>
    <xf numFmtId="171" fontId="23" fillId="0" borderId="11" xfId="0" applyNumberFormat="1" applyFont="1" applyBorder="1" applyAlignment="1">
      <alignment horizontal="left" vertical="center"/>
    </xf>
    <xf numFmtId="0" fontId="8" fillId="0" borderId="0" xfId="2" applyFill="1" applyBorder="1"/>
    <xf numFmtId="0" fontId="6" fillId="0" borderId="108" xfId="2" applyFont="1" applyBorder="1" applyAlignment="1">
      <alignment horizontal="center"/>
    </xf>
    <xf numFmtId="0" fontId="8" fillId="43" borderId="98" xfId="2" applyFill="1" applyBorder="1" applyAlignment="1">
      <alignment horizontal="center"/>
    </xf>
    <xf numFmtId="10" fontId="8" fillId="43" borderId="109" xfId="2" applyNumberFormat="1" applyFill="1" applyBorder="1" applyAlignment="1">
      <alignment horizontal="center"/>
    </xf>
    <xf numFmtId="0" fontId="8" fillId="45" borderId="91" xfId="2" applyFill="1" applyBorder="1" applyAlignment="1">
      <alignment horizontal="center"/>
    </xf>
    <xf numFmtId="0" fontId="100" fillId="45" borderId="91" xfId="2" applyFont="1" applyFill="1" applyBorder="1" applyAlignment="1">
      <alignment horizontal="center"/>
    </xf>
    <xf numFmtId="0" fontId="8" fillId="45" borderId="91" xfId="2" applyFill="1" applyBorder="1"/>
    <xf numFmtId="0" fontId="100" fillId="45" borderId="91" xfId="2" applyFont="1" applyFill="1" applyBorder="1"/>
    <xf numFmtId="0" fontId="8" fillId="40" borderId="97" xfId="2" applyFill="1" applyBorder="1"/>
    <xf numFmtId="0" fontId="8" fillId="40" borderId="91" xfId="2" applyFill="1" applyBorder="1"/>
    <xf numFmtId="0" fontId="8" fillId="40" borderId="0" xfId="2" applyFill="1" applyBorder="1" applyAlignment="1">
      <alignment horizontal="center"/>
    </xf>
    <xf numFmtId="0" fontId="8" fillId="45" borderId="0" xfId="2" applyFill="1" applyBorder="1" applyAlignment="1">
      <alignment horizontal="center"/>
    </xf>
    <xf numFmtId="0" fontId="8" fillId="40" borderId="54" xfId="2" applyFill="1" applyBorder="1" applyAlignment="1">
      <alignment horizontal="center"/>
    </xf>
    <xf numFmtId="0" fontId="100" fillId="45" borderId="0" xfId="2" applyFont="1" applyFill="1" applyBorder="1" applyAlignment="1">
      <alignment horizontal="center"/>
    </xf>
    <xf numFmtId="0" fontId="8" fillId="40" borderId="111" xfId="2" applyFill="1" applyBorder="1"/>
    <xf numFmtId="0" fontId="8" fillId="49" borderId="98" xfId="2" applyFill="1" applyBorder="1" applyAlignment="1">
      <alignment horizontal="center"/>
    </xf>
    <xf numFmtId="0" fontId="0" fillId="0" borderId="0" xfId="0" applyAlignment="1">
      <alignment wrapText="1"/>
    </xf>
    <xf numFmtId="0" fontId="0" fillId="40" borderId="97" xfId="0" applyFill="1" applyBorder="1" applyAlignment="1">
      <alignment wrapText="1"/>
    </xf>
    <xf numFmtId="0" fontId="0" fillId="40" borderId="91" xfId="0" applyFill="1" applyBorder="1" applyAlignment="1">
      <alignment wrapText="1"/>
    </xf>
    <xf numFmtId="0" fontId="0" fillId="40" borderId="111" xfId="0" applyFill="1" applyBorder="1" applyAlignment="1">
      <alignment wrapText="1"/>
    </xf>
    <xf numFmtId="0" fontId="0" fillId="40" borderId="100" xfId="0" applyFill="1" applyBorder="1" applyAlignment="1">
      <alignment wrapText="1"/>
    </xf>
    <xf numFmtId="0" fontId="0" fillId="0" borderId="111" xfId="0" applyBorder="1" applyAlignment="1">
      <alignment wrapText="1"/>
    </xf>
    <xf numFmtId="0" fontId="0" fillId="0" borderId="91" xfId="0" applyBorder="1" applyAlignment="1">
      <alignment wrapText="1"/>
    </xf>
    <xf numFmtId="0" fontId="0" fillId="0" borderId="0" xfId="0" applyBorder="1" applyAlignment="1">
      <alignment wrapText="1"/>
    </xf>
    <xf numFmtId="0" fontId="0" fillId="39" borderId="98" xfId="0" applyFill="1" applyBorder="1" applyAlignment="1">
      <alignment horizontal="center" wrapText="1"/>
    </xf>
    <xf numFmtId="0" fontId="0" fillId="39" borderId="111" xfId="0" applyFill="1" applyBorder="1" applyAlignment="1">
      <alignment wrapText="1"/>
    </xf>
    <xf numFmtId="0" fontId="0" fillId="39" borderId="102" xfId="0" applyFill="1" applyBorder="1" applyAlignment="1">
      <alignment wrapText="1"/>
    </xf>
    <xf numFmtId="0" fontId="0" fillId="38" borderId="98" xfId="0" applyFill="1" applyBorder="1" applyAlignment="1">
      <alignment horizontal="center" wrapText="1"/>
    </xf>
    <xf numFmtId="0" fontId="0" fillId="38" borderId="98" xfId="0" applyFill="1" applyBorder="1" applyAlignment="1">
      <alignment wrapText="1"/>
    </xf>
    <xf numFmtId="0" fontId="0" fillId="50" borderId="111" xfId="0" applyFill="1" applyBorder="1" applyAlignment="1">
      <alignment wrapText="1"/>
    </xf>
    <xf numFmtId="0" fontId="13" fillId="44" borderId="111" xfId="0" applyFont="1" applyFill="1" applyBorder="1" applyAlignment="1">
      <alignment horizontal="center" wrapText="1"/>
    </xf>
    <xf numFmtId="0" fontId="0" fillId="50" borderId="98" xfId="0" applyFill="1" applyBorder="1" applyAlignment="1">
      <alignment horizontal="right" wrapText="1"/>
    </xf>
    <xf numFmtId="0" fontId="0" fillId="50" borderId="98" xfId="0" applyFill="1" applyBorder="1" applyAlignment="1">
      <alignment wrapText="1"/>
    </xf>
    <xf numFmtId="0" fontId="0" fillId="44" borderId="110" xfId="0" applyFill="1" applyBorder="1" applyAlignment="1">
      <alignment horizontal="center" wrapText="1"/>
    </xf>
    <xf numFmtId="0" fontId="13" fillId="44" borderId="91" xfId="0" applyFont="1" applyFill="1" applyBorder="1" applyAlignment="1">
      <alignment horizontal="center" wrapText="1"/>
    </xf>
    <xf numFmtId="0" fontId="0" fillId="50" borderId="112" xfId="0" applyFill="1" applyBorder="1" applyAlignment="1">
      <alignment horizontal="right" wrapText="1"/>
    </xf>
    <xf numFmtId="0" fontId="0" fillId="40" borderId="0" xfId="0" applyFill="1" applyBorder="1" applyAlignment="1">
      <alignment wrapText="1"/>
    </xf>
    <xf numFmtId="0" fontId="0" fillId="40" borderId="54" xfId="0" applyFill="1" applyBorder="1" applyAlignment="1">
      <alignment wrapText="1"/>
    </xf>
    <xf numFmtId="0" fontId="13" fillId="44" borderId="111" xfId="0" applyFont="1" applyFill="1" applyBorder="1" applyAlignment="1">
      <alignment wrapText="1"/>
    </xf>
    <xf numFmtId="0" fontId="13" fillId="44" borderId="112" xfId="0" applyFont="1" applyFill="1" applyBorder="1" applyAlignment="1">
      <alignment horizontal="center" wrapText="1"/>
    </xf>
    <xf numFmtId="0" fontId="13" fillId="0" borderId="91" xfId="0" applyFont="1" applyBorder="1" applyAlignment="1">
      <alignment wrapText="1"/>
    </xf>
    <xf numFmtId="0" fontId="0" fillId="39" borderId="112" xfId="0" applyFill="1" applyBorder="1" applyAlignment="1">
      <alignment horizontal="center" wrapText="1"/>
    </xf>
    <xf numFmtId="0" fontId="0" fillId="38" borderId="54" xfId="0" applyFill="1" applyBorder="1" applyAlignment="1">
      <alignment horizontal="center" wrapText="1"/>
    </xf>
    <xf numFmtId="0" fontId="0" fillId="0" borderId="0" xfId="0" applyBorder="1" applyAlignment="1">
      <alignment horizontal="center" wrapText="1"/>
    </xf>
    <xf numFmtId="0" fontId="0" fillId="40" borderId="0" xfId="0" applyFill="1" applyBorder="1" applyAlignment="1">
      <alignment horizontal="center" wrapText="1"/>
    </xf>
    <xf numFmtId="0" fontId="0" fillId="40" borderId="102" xfId="0" applyFill="1" applyBorder="1" applyAlignment="1">
      <alignment wrapText="1"/>
    </xf>
    <xf numFmtId="0" fontId="0" fillId="40" borderId="54" xfId="0" applyFill="1" applyBorder="1" applyAlignment="1">
      <alignment horizontal="center" wrapText="1"/>
    </xf>
    <xf numFmtId="0" fontId="0" fillId="40" borderId="112" xfId="0" applyFill="1" applyBorder="1" applyAlignment="1">
      <alignment wrapText="1"/>
    </xf>
    <xf numFmtId="0" fontId="0" fillId="39" borderId="101" xfId="0" applyFill="1" applyBorder="1" applyAlignment="1">
      <alignment horizontal="center" wrapText="1"/>
    </xf>
    <xf numFmtId="0" fontId="0" fillId="39" borderId="97" xfId="0" applyFill="1" applyBorder="1" applyAlignment="1">
      <alignment horizontal="center" wrapText="1"/>
    </xf>
    <xf numFmtId="0" fontId="0" fillId="50" borderId="109" xfId="0" applyFill="1" applyBorder="1" applyAlignment="1">
      <alignment horizontal="right" wrapText="1"/>
    </xf>
    <xf numFmtId="0" fontId="0" fillId="52" borderId="108" xfId="0" applyFill="1" applyBorder="1" applyAlignment="1">
      <alignment wrapText="1"/>
    </xf>
    <xf numFmtId="0" fontId="0" fillId="52" borderId="110" xfId="0" applyFill="1" applyBorder="1" applyAlignment="1">
      <alignment wrapText="1"/>
    </xf>
    <xf numFmtId="0" fontId="0" fillId="52" borderId="109" xfId="0" applyFill="1" applyBorder="1" applyAlignment="1">
      <alignment wrapText="1"/>
    </xf>
    <xf numFmtId="0" fontId="13" fillId="0" borderId="0" xfId="0" applyFont="1" applyFill="1" applyBorder="1" applyAlignment="1">
      <alignment vertical="center" wrapText="1"/>
    </xf>
    <xf numFmtId="0" fontId="0" fillId="0" borderId="0" xfId="0" applyFill="1" applyBorder="1" applyAlignment="1">
      <alignment wrapText="1"/>
    </xf>
    <xf numFmtId="0" fontId="113" fillId="28" borderId="79" xfId="0" quotePrefix="1" applyFont="1" applyFill="1" applyBorder="1" applyAlignment="1">
      <alignment horizontal="left" vertical="center"/>
    </xf>
    <xf numFmtId="0" fontId="0" fillId="0" borderId="0" xfId="0" applyAlignment="1">
      <alignment wrapText="1"/>
    </xf>
    <xf numFmtId="0" fontId="113" fillId="28" borderId="101" xfId="0" applyFont="1" applyFill="1" applyBorder="1" applyAlignment="1">
      <alignment horizontal="left" vertical="center"/>
    </xf>
    <xf numFmtId="0" fontId="113" fillId="28" borderId="100" xfId="0" applyFont="1" applyFill="1" applyBorder="1" applyAlignment="1">
      <alignment horizontal="left" vertical="center"/>
    </xf>
    <xf numFmtId="0" fontId="0" fillId="0" borderId="54" xfId="0" applyBorder="1" applyAlignment="1">
      <alignment wrapText="1"/>
    </xf>
    <xf numFmtId="0" fontId="113" fillId="28" borderId="98" xfId="0" quotePrefix="1" applyFont="1" applyFill="1" applyBorder="1" applyAlignment="1">
      <alignment horizontal="left" vertical="center"/>
    </xf>
    <xf numFmtId="0" fontId="0" fillId="38" borderId="98" xfId="0" applyFill="1" applyBorder="1" applyAlignment="1">
      <alignment horizontal="right" wrapText="1"/>
    </xf>
    <xf numFmtId="9" fontId="0" fillId="38" borderId="98" xfId="0" applyNumberFormat="1" applyFill="1" applyBorder="1" applyAlignment="1">
      <alignment wrapText="1"/>
    </xf>
    <xf numFmtId="167" fontId="0" fillId="38" borderId="98" xfId="0" applyNumberFormat="1" applyFill="1" applyBorder="1" applyAlignment="1">
      <alignment wrapText="1"/>
    </xf>
    <xf numFmtId="3" fontId="0" fillId="43" borderId="98" xfId="0" applyNumberFormat="1" applyFill="1" applyBorder="1" applyAlignment="1">
      <alignment wrapText="1"/>
    </xf>
    <xf numFmtId="0" fontId="0" fillId="43" borderId="98" xfId="0" applyFill="1" applyBorder="1" applyAlignment="1">
      <alignment horizontal="right" wrapText="1"/>
    </xf>
    <xf numFmtId="9" fontId="0" fillId="38" borderId="98" xfId="0" applyNumberFormat="1" applyFill="1" applyBorder="1" applyAlignment="1">
      <alignment horizontal="right" wrapText="1"/>
    </xf>
    <xf numFmtId="2" fontId="0" fillId="38" borderId="98" xfId="0" applyNumberFormat="1" applyFill="1" applyBorder="1" applyAlignment="1">
      <alignment horizontal="right" wrapText="1"/>
    </xf>
    <xf numFmtId="2" fontId="13" fillId="38" borderId="98" xfId="0" applyNumberFormat="1" applyFont="1" applyFill="1" applyBorder="1" applyAlignment="1">
      <alignment horizontal="right" wrapText="1"/>
    </xf>
    <xf numFmtId="2" fontId="0" fillId="40" borderId="0" xfId="0" applyNumberFormat="1" applyFill="1" applyBorder="1" applyAlignment="1">
      <alignment horizontal="right" wrapText="1"/>
    </xf>
    <xf numFmtId="0" fontId="0" fillId="0" borderId="0" xfId="0" applyNumberFormat="1" applyFill="1" applyBorder="1" applyAlignment="1">
      <alignment wrapText="1"/>
    </xf>
    <xf numFmtId="0" fontId="13" fillId="0" borderId="0" xfId="4" applyAlignment="1">
      <alignment wrapText="1"/>
    </xf>
    <xf numFmtId="0" fontId="11" fillId="0" borderId="0" xfId="4" applyFont="1"/>
    <xf numFmtId="0" fontId="15" fillId="0" borderId="0" xfId="4" applyFont="1"/>
    <xf numFmtId="172" fontId="11" fillId="0" borderId="0" xfId="4" applyNumberFormat="1" applyFont="1"/>
    <xf numFmtId="0" fontId="18" fillId="0" borderId="0" xfId="4" applyFont="1" applyAlignment="1">
      <alignment wrapText="1"/>
    </xf>
    <xf numFmtId="2" fontId="11" fillId="0" borderId="0" xfId="4" applyNumberFormat="1" applyFont="1" applyAlignment="1">
      <alignment horizontal="center"/>
    </xf>
    <xf numFmtId="0" fontId="11" fillId="38" borderId="98" xfId="4" applyFont="1" applyFill="1" applyBorder="1" applyAlignment="1">
      <alignment horizontal="center"/>
    </xf>
    <xf numFmtId="0" fontId="113" fillId="0" borderId="0" xfId="0" applyFont="1" applyFill="1" applyBorder="1" applyAlignment="1">
      <alignment horizontal="left" vertical="center"/>
    </xf>
    <xf numFmtId="0" fontId="0" fillId="0" borderId="0" xfId="0" applyFill="1" applyBorder="1" applyAlignment="1">
      <alignment horizontal="left" vertical="center"/>
    </xf>
    <xf numFmtId="0" fontId="119" fillId="4" borderId="7" xfId="0" applyFont="1" applyFill="1" applyBorder="1" applyAlignment="1">
      <alignment horizontal="left" vertical="center"/>
    </xf>
    <xf numFmtId="0" fontId="119" fillId="0" borderId="31" xfId="0" applyFont="1" applyBorder="1" applyAlignment="1">
      <alignment horizontal="left" vertical="center"/>
    </xf>
    <xf numFmtId="0" fontId="119" fillId="0" borderId="0" xfId="0" applyFont="1" applyAlignment="1">
      <alignment horizontal="left" vertical="center"/>
    </xf>
    <xf numFmtId="0" fontId="119" fillId="0" borderId="90" xfId="0" applyFont="1" applyBorder="1" applyAlignment="1">
      <alignment horizontal="left" vertical="center"/>
    </xf>
    <xf numFmtId="0" fontId="120" fillId="36" borderId="98" xfId="0" applyFont="1" applyFill="1" applyBorder="1" applyAlignment="1">
      <alignment wrapText="1"/>
    </xf>
    <xf numFmtId="0" fontId="4" fillId="0" borderId="0" xfId="2" applyFont="1"/>
    <xf numFmtId="0" fontId="113" fillId="44" borderId="98" xfId="0" quotePrefix="1" applyFont="1" applyFill="1" applyBorder="1" applyAlignment="1">
      <alignment horizontal="center" vertical="center"/>
    </xf>
    <xf numFmtId="170" fontId="113" fillId="43" borderId="98" xfId="0" applyNumberFormat="1" applyFont="1" applyFill="1" applyBorder="1" applyAlignment="1">
      <alignment horizontal="center" vertical="center"/>
    </xf>
    <xf numFmtId="0" fontId="114" fillId="44" borderId="98" xfId="0" applyNumberFormat="1" applyFont="1" applyFill="1" applyBorder="1" applyAlignment="1">
      <alignment horizontal="center" wrapText="1"/>
    </xf>
    <xf numFmtId="0" fontId="113" fillId="44" borderId="98" xfId="0" applyNumberFormat="1" applyFont="1" applyFill="1" applyBorder="1" applyAlignment="1">
      <alignment horizontal="center" vertical="center"/>
    </xf>
    <xf numFmtId="0" fontId="118" fillId="38" borderId="98" xfId="0" applyNumberFormat="1" applyFont="1" applyFill="1" applyBorder="1" applyAlignment="1">
      <alignment horizontal="center" vertical="center" wrapText="1"/>
    </xf>
    <xf numFmtId="0" fontId="113" fillId="44" borderId="98" xfId="0" applyFont="1" applyFill="1" applyBorder="1" applyAlignment="1">
      <alignment horizontal="left" vertical="center"/>
    </xf>
    <xf numFmtId="0" fontId="0" fillId="0" borderId="0" xfId="0" applyAlignment="1">
      <alignment wrapText="1"/>
    </xf>
    <xf numFmtId="0" fontId="114" fillId="43" borderId="98" xfId="0" applyFont="1" applyFill="1" applyBorder="1" applyAlignment="1">
      <alignment horizontal="center" wrapText="1"/>
    </xf>
    <xf numFmtId="0" fontId="114" fillId="44" borderId="98" xfId="0" applyFont="1" applyFill="1" applyBorder="1" applyAlignment="1">
      <alignment horizontal="center" wrapText="1"/>
    </xf>
    <xf numFmtId="10" fontId="114" fillId="43" borderId="98" xfId="0" applyNumberFormat="1" applyFont="1" applyFill="1" applyBorder="1" applyAlignment="1">
      <alignment horizontal="center" wrapText="1"/>
    </xf>
    <xf numFmtId="0" fontId="113" fillId="44" borderId="98" xfId="0" quotePrefix="1" applyFont="1" applyFill="1" applyBorder="1" applyAlignment="1">
      <alignment horizontal="left" vertical="center"/>
    </xf>
    <xf numFmtId="0" fontId="121" fillId="44" borderId="98" xfId="0" quotePrefix="1" applyFont="1" applyFill="1" applyBorder="1" applyAlignment="1">
      <alignment horizontal="left" vertical="center"/>
    </xf>
    <xf numFmtId="10" fontId="114" fillId="53" borderId="98" xfId="0" applyNumberFormat="1" applyFont="1" applyFill="1" applyBorder="1" applyAlignment="1">
      <alignment horizontal="center" wrapText="1"/>
    </xf>
    <xf numFmtId="0" fontId="114" fillId="53" borderId="98" xfId="0" applyFont="1" applyFill="1" applyBorder="1" applyAlignment="1">
      <alignment horizontal="center" wrapText="1"/>
    </xf>
    <xf numFmtId="0" fontId="0" fillId="53" borderId="98" xfId="0" applyFill="1" applyBorder="1" applyAlignment="1">
      <alignment horizontal="center" wrapText="1"/>
    </xf>
    <xf numFmtId="0" fontId="13" fillId="53" borderId="98" xfId="0" applyNumberFormat="1" applyFont="1" applyFill="1" applyBorder="1" applyAlignment="1">
      <alignment horizontal="center" wrapText="1"/>
    </xf>
    <xf numFmtId="0" fontId="113" fillId="0" borderId="135" xfId="0" applyFont="1" applyFill="1" applyBorder="1" applyAlignment="1">
      <alignment horizontal="center" vertical="center"/>
    </xf>
    <xf numFmtId="0" fontId="113" fillId="0" borderId="136" xfId="0" applyFont="1" applyFill="1" applyBorder="1" applyAlignment="1">
      <alignment horizontal="left" vertical="center"/>
    </xf>
    <xf numFmtId="0" fontId="0" fillId="0" borderId="99" xfId="0" applyFill="1" applyBorder="1" applyAlignment="1">
      <alignment wrapText="1"/>
    </xf>
    <xf numFmtId="10" fontId="114" fillId="43" borderId="108" xfId="0" applyNumberFormat="1" applyFont="1" applyFill="1" applyBorder="1" applyAlignment="1">
      <alignment horizontal="center" wrapText="1"/>
    </xf>
    <xf numFmtId="0" fontId="13" fillId="53" borderId="108" xfId="0" applyNumberFormat="1" applyFont="1" applyFill="1" applyBorder="1" applyAlignment="1">
      <alignment horizontal="center" wrapText="1"/>
    </xf>
    <xf numFmtId="0" fontId="0" fillId="0" borderId="0" xfId="0" applyAlignment="1">
      <alignment wrapText="1"/>
    </xf>
    <xf numFmtId="0" fontId="3" fillId="38" borderId="100" xfId="2" applyFont="1" applyFill="1" applyBorder="1" applyAlignment="1" applyProtection="1">
      <alignment horizontal="center"/>
      <protection locked="0"/>
    </xf>
    <xf numFmtId="44" fontId="8" fillId="40" borderId="0" xfId="5" applyFont="1" applyFill="1"/>
    <xf numFmtId="2" fontId="15" fillId="54" borderId="104" xfId="0" applyNumberFormat="1" applyFont="1" applyFill="1" applyBorder="1" applyAlignment="1" applyProtection="1">
      <alignment horizontal="left" vertical="center"/>
      <protection locked="0"/>
    </xf>
    <xf numFmtId="2" fontId="15" fillId="54" borderId="94" xfId="0" applyNumberFormat="1" applyFont="1" applyFill="1" applyBorder="1" applyAlignment="1" applyProtection="1">
      <alignment horizontal="left" vertical="center"/>
      <protection locked="0"/>
    </xf>
    <xf numFmtId="0" fontId="11" fillId="0" borderId="0" xfId="4" applyFont="1" applyFill="1" applyBorder="1" applyAlignment="1">
      <alignment horizontal="center"/>
    </xf>
    <xf numFmtId="0" fontId="11" fillId="0" borderId="0" xfId="4" applyFont="1" applyFill="1" applyBorder="1"/>
    <xf numFmtId="0" fontId="11" fillId="0" borderId="0" xfId="4" applyFont="1" applyFill="1"/>
    <xf numFmtId="0" fontId="13" fillId="0" borderId="0" xfId="4" applyFill="1" applyBorder="1" applyAlignment="1">
      <alignment wrapText="1"/>
    </xf>
    <xf numFmtId="0" fontId="15" fillId="0" borderId="0" xfId="4" applyFont="1" applyFill="1" applyBorder="1" applyAlignment="1">
      <alignment horizontal="center"/>
    </xf>
    <xf numFmtId="0" fontId="11" fillId="44" borderId="101" xfId="4" applyFont="1" applyFill="1" applyBorder="1" applyAlignment="1">
      <alignment horizontal="center"/>
    </xf>
    <xf numFmtId="0" fontId="11" fillId="44" borderId="98" xfId="4" applyFont="1" applyFill="1" applyBorder="1" applyAlignment="1">
      <alignment horizontal="center"/>
    </xf>
    <xf numFmtId="0" fontId="11" fillId="0" borderId="98" xfId="4" applyFont="1" applyBorder="1" applyAlignment="1">
      <alignment horizontal="center"/>
    </xf>
    <xf numFmtId="0" fontId="10" fillId="43" borderId="98" xfId="1" applyFill="1" applyBorder="1" applyAlignment="1">
      <alignment horizontal="center" wrapText="1"/>
    </xf>
    <xf numFmtId="10" fontId="10" fillId="43" borderId="98" xfId="1" applyNumberFormat="1" applyFill="1" applyBorder="1" applyAlignment="1">
      <alignment horizontal="center" wrapText="1"/>
    </xf>
    <xf numFmtId="9" fontId="10" fillId="43" borderId="98" xfId="1" applyNumberFormat="1" applyFill="1" applyBorder="1" applyAlignment="1">
      <alignment horizontal="center" wrapText="1"/>
    </xf>
    <xf numFmtId="3" fontId="10" fillId="43" borderId="98" xfId="1" applyNumberFormat="1" applyFill="1" applyBorder="1" applyAlignment="1">
      <alignment horizontal="center" wrapText="1"/>
    </xf>
    <xf numFmtId="4" fontId="10" fillId="43" borderId="98" xfId="1" applyNumberFormat="1" applyFill="1" applyBorder="1" applyAlignment="1">
      <alignment horizontal="center" wrapText="1"/>
    </xf>
    <xf numFmtId="0" fontId="10" fillId="43" borderId="100" xfId="1" applyFill="1" applyBorder="1" applyAlignment="1">
      <alignment horizontal="center"/>
    </xf>
    <xf numFmtId="168" fontId="10" fillId="43" borderId="109" xfId="1" applyNumberFormat="1" applyFill="1" applyBorder="1" applyAlignment="1">
      <alignment horizontal="center"/>
    </xf>
    <xf numFmtId="169" fontId="105" fillId="43" borderId="127" xfId="3" applyNumberFormat="1" applyFill="1" applyBorder="1" applyAlignment="1">
      <alignment horizontal="center"/>
    </xf>
    <xf numFmtId="0" fontId="3" fillId="0" borderId="0" xfId="2" applyFont="1"/>
    <xf numFmtId="10" fontId="11" fillId="38" borderId="98" xfId="4" applyNumberFormat="1" applyFont="1" applyFill="1" applyBorder="1" applyAlignment="1">
      <alignment horizontal="center"/>
    </xf>
    <xf numFmtId="0" fontId="126" fillId="0" borderId="0" xfId="4" applyFont="1" applyAlignment="1">
      <alignment wrapText="1"/>
    </xf>
    <xf numFmtId="0" fontId="126" fillId="43" borderId="98" xfId="4" applyFont="1" applyFill="1" applyBorder="1" applyAlignment="1">
      <alignment wrapText="1"/>
    </xf>
    <xf numFmtId="0" fontId="126" fillId="0" borderId="0" xfId="4" applyFont="1" applyFill="1" applyBorder="1" applyAlignment="1">
      <alignment wrapText="1"/>
    </xf>
    <xf numFmtId="4" fontId="126" fillId="43" borderId="98" xfId="4" applyNumberFormat="1" applyFont="1" applyFill="1" applyBorder="1" applyAlignment="1">
      <alignment horizontal="center" wrapText="1"/>
    </xf>
    <xf numFmtId="0" fontId="0" fillId="38" borderId="0" xfId="0" applyFill="1" applyAlignment="1">
      <alignment vertical="center" wrapText="1"/>
    </xf>
    <xf numFmtId="2" fontId="127" fillId="0" borderId="81" xfId="0" applyNumberFormat="1" applyFont="1" applyBorder="1" applyAlignment="1">
      <alignment horizontal="left" vertical="center" wrapText="1"/>
    </xf>
    <xf numFmtId="2" fontId="127" fillId="0" borderId="42" xfId="0" applyNumberFormat="1" applyFont="1" applyBorder="1" applyAlignment="1">
      <alignment horizontal="left" vertical="center"/>
    </xf>
    <xf numFmtId="0" fontId="125" fillId="0" borderId="0" xfId="0" applyFont="1" applyBorder="1" applyAlignment="1">
      <alignment horizontal="center" vertical="center" wrapText="1"/>
    </xf>
    <xf numFmtId="0" fontId="15" fillId="0" borderId="102" xfId="4" applyFont="1" applyBorder="1"/>
    <xf numFmtId="0" fontId="128" fillId="0" borderId="0" xfId="4" applyFont="1"/>
    <xf numFmtId="0" fontId="128" fillId="0" borderId="0" xfId="4" applyFont="1" applyFill="1"/>
    <xf numFmtId="2" fontId="11" fillId="43" borderId="98" xfId="4" applyNumberFormat="1" applyFont="1" applyFill="1" applyBorder="1"/>
    <xf numFmtId="4" fontId="11" fillId="43" borderId="98" xfId="4" applyNumberFormat="1" applyFont="1" applyFill="1" applyBorder="1"/>
    <xf numFmtId="10" fontId="11" fillId="43" borderId="98" xfId="4" applyNumberFormat="1" applyFont="1" applyFill="1" applyBorder="1"/>
    <xf numFmtId="0" fontId="0" fillId="0" borderId="0" xfId="0" applyAlignment="1">
      <alignment wrapText="1"/>
    </xf>
    <xf numFmtId="0" fontId="0" fillId="40" borderId="0" xfId="0" applyFill="1" applyAlignment="1">
      <alignment wrapText="1"/>
    </xf>
    <xf numFmtId="1" fontId="11" fillId="54" borderId="98" xfId="4" applyNumberFormat="1" applyFont="1" applyFill="1" applyBorder="1" applyAlignment="1">
      <alignment horizontal="center"/>
    </xf>
    <xf numFmtId="10" fontId="11" fillId="54" borderId="98" xfId="4" applyNumberFormat="1" applyFont="1" applyFill="1" applyBorder="1" applyAlignment="1">
      <alignment horizontal="center"/>
    </xf>
    <xf numFmtId="0" fontId="19" fillId="0" borderId="0" xfId="0" applyFont="1" applyFill="1" applyBorder="1" applyAlignment="1">
      <alignment horizontal="left" vertical="center"/>
    </xf>
    <xf numFmtId="2" fontId="88" fillId="0" borderId="0" xfId="0" applyNumberFormat="1" applyFont="1" applyFill="1" applyBorder="1" applyAlignment="1">
      <alignment horizontal="left" vertical="center"/>
    </xf>
    <xf numFmtId="0" fontId="74" fillId="0" borderId="0" xfId="0" applyFont="1" applyFill="1" applyBorder="1" applyAlignment="1" applyProtection="1">
      <alignment horizontal="left" vertical="center"/>
      <protection locked="0"/>
    </xf>
    <xf numFmtId="4" fontId="65" fillId="0" borderId="0" xfId="0" applyNumberFormat="1" applyFont="1" applyFill="1" applyBorder="1" applyAlignment="1">
      <alignment horizontal="left" vertical="center"/>
    </xf>
    <xf numFmtId="4" fontId="96" fillId="0" borderId="0" xfId="0" applyNumberFormat="1" applyFont="1" applyFill="1" applyBorder="1" applyAlignment="1">
      <alignment horizontal="left" vertical="center"/>
    </xf>
    <xf numFmtId="0" fontId="45" fillId="0" borderId="0" xfId="0" applyFont="1" applyFill="1" applyBorder="1" applyAlignment="1">
      <alignment horizontal="left" vertical="center"/>
    </xf>
    <xf numFmtId="4" fontId="14" fillId="0" borderId="0" xfId="0" applyNumberFormat="1" applyFont="1" applyFill="1" applyBorder="1" applyAlignment="1">
      <alignment horizontal="left" vertical="center"/>
    </xf>
    <xf numFmtId="0" fontId="60" fillId="0" borderId="0" xfId="0" applyFont="1" applyFill="1" applyBorder="1" applyAlignment="1">
      <alignment horizontal="left" vertical="center"/>
    </xf>
    <xf numFmtId="4" fontId="27" fillId="0" borderId="0" xfId="0" applyNumberFormat="1" applyFont="1" applyFill="1" applyBorder="1" applyAlignment="1">
      <alignment horizontal="left" vertical="center"/>
    </xf>
    <xf numFmtId="10" fontId="39" fillId="0" borderId="0" xfId="0" applyNumberFormat="1" applyFont="1" applyFill="1" applyBorder="1" applyAlignment="1">
      <alignment horizontal="left" vertical="center"/>
    </xf>
    <xf numFmtId="0" fontId="45" fillId="0" borderId="0" xfId="0" applyFont="1" applyFill="1" applyBorder="1" applyAlignment="1" applyProtection="1">
      <alignment horizontal="left" vertical="center"/>
      <protection locked="0"/>
    </xf>
    <xf numFmtId="3" fontId="17" fillId="0" borderId="0" xfId="0" applyNumberFormat="1" applyFont="1" applyFill="1" applyBorder="1" applyAlignment="1" applyProtection="1">
      <alignment horizontal="left" vertical="center"/>
      <protection locked="0"/>
    </xf>
    <xf numFmtId="0" fontId="19" fillId="4" borderId="98" xfId="0" applyFont="1" applyFill="1" applyBorder="1" applyAlignment="1">
      <alignment horizontal="left" vertical="center"/>
    </xf>
    <xf numFmtId="0" fontId="45" fillId="0" borderId="142" xfId="0" applyFont="1" applyBorder="1" applyAlignment="1">
      <alignment horizontal="left" vertical="center"/>
    </xf>
    <xf numFmtId="10" fontId="39" fillId="38" borderId="94" xfId="0" applyNumberFormat="1" applyFont="1" applyFill="1" applyBorder="1" applyAlignment="1">
      <alignment horizontal="left" vertical="center"/>
    </xf>
    <xf numFmtId="0" fontId="45" fillId="0" borderId="142" xfId="0" applyFont="1" applyBorder="1" applyAlignment="1" applyProtection="1">
      <alignment horizontal="left" vertical="center"/>
      <protection locked="0"/>
    </xf>
    <xf numFmtId="3" fontId="17" fillId="38" borderId="141" xfId="0" applyNumberFormat="1" applyFont="1" applyFill="1" applyBorder="1" applyAlignment="1" applyProtection="1">
      <alignment horizontal="left" vertical="center"/>
      <protection locked="0"/>
    </xf>
    <xf numFmtId="0" fontId="19" fillId="4" borderId="109" xfId="0" applyFont="1" applyFill="1" applyBorder="1" applyAlignment="1">
      <alignment horizontal="left" vertical="center"/>
    </xf>
    <xf numFmtId="2" fontId="88" fillId="32" borderId="109" xfId="0" applyNumberFormat="1" applyFont="1" applyFill="1" applyBorder="1" applyAlignment="1">
      <alignment horizontal="center" vertical="center"/>
    </xf>
    <xf numFmtId="4" fontId="65" fillId="0" borderId="143" xfId="0" applyNumberFormat="1" applyFont="1" applyBorder="1" applyAlignment="1">
      <alignment horizontal="center" vertical="center"/>
    </xf>
    <xf numFmtId="4" fontId="96" fillId="0" borderId="92" xfId="0" applyNumberFormat="1" applyFont="1" applyBorder="1" applyAlignment="1">
      <alignment horizontal="center" vertical="center"/>
    </xf>
    <xf numFmtId="4" fontId="14" fillId="0" borderId="112" xfId="0" applyNumberFormat="1" applyFont="1" applyBorder="1" applyAlignment="1">
      <alignment horizontal="center" vertical="center"/>
    </xf>
    <xf numFmtId="4" fontId="27" fillId="8" borderId="98" xfId="0" applyNumberFormat="1" applyFont="1" applyFill="1" applyBorder="1" applyAlignment="1">
      <alignment horizontal="center" vertical="center"/>
    </xf>
    <xf numFmtId="4" fontId="15" fillId="8" borderId="15" xfId="0" applyNumberFormat="1" applyFont="1" applyFill="1" applyBorder="1" applyAlignment="1">
      <alignment horizontal="center" vertical="center"/>
    </xf>
    <xf numFmtId="0" fontId="15" fillId="4" borderId="109" xfId="0" applyFont="1" applyFill="1" applyBorder="1" applyAlignment="1">
      <alignment horizontal="center" vertical="center"/>
    </xf>
    <xf numFmtId="0" fontId="18" fillId="40" borderId="0" xfId="0" applyFont="1" applyFill="1" applyAlignment="1">
      <alignment wrapText="1"/>
    </xf>
    <xf numFmtId="0" fontId="0" fillId="40" borderId="0" xfId="0" applyFill="1" applyBorder="1" applyAlignment="1">
      <alignment vertical="center" wrapText="1"/>
    </xf>
    <xf numFmtId="0" fontId="0" fillId="40" borderId="0" xfId="0" applyFill="1" applyAlignment="1">
      <alignment horizontal="center" wrapText="1"/>
    </xf>
    <xf numFmtId="0" fontId="13" fillId="40" borderId="0" xfId="0" applyFont="1" applyFill="1" applyBorder="1" applyAlignment="1">
      <alignment horizontal="left" vertical="center"/>
    </xf>
    <xf numFmtId="0" fontId="13" fillId="40" borderId="91" xfId="0" applyNumberFormat="1" applyFont="1" applyFill="1" applyBorder="1" applyAlignment="1">
      <alignment horizontal="center" wrapText="1"/>
    </xf>
    <xf numFmtId="0" fontId="0" fillId="40" borderId="91" xfId="0" applyNumberFormat="1" applyFill="1" applyBorder="1" applyAlignment="1">
      <alignment wrapText="1"/>
    </xf>
    <xf numFmtId="0" fontId="113" fillId="40" borderId="0" xfId="0" applyFont="1" applyFill="1" applyBorder="1" applyAlignment="1">
      <alignment horizontal="left" vertical="center"/>
    </xf>
    <xf numFmtId="0" fontId="0" fillId="40" borderId="0" xfId="0" applyNumberFormat="1" applyFill="1" applyBorder="1" applyAlignment="1">
      <alignment wrapText="1"/>
    </xf>
    <xf numFmtId="0" fontId="113" fillId="40" borderId="91" xfId="0" applyNumberFormat="1" applyFont="1" applyFill="1" applyBorder="1" applyAlignment="1">
      <alignment horizontal="left" vertical="center"/>
    </xf>
    <xf numFmtId="0" fontId="113" fillId="40" borderId="0" xfId="0" quotePrefix="1" applyFont="1" applyFill="1" applyBorder="1" applyAlignment="1">
      <alignment horizontal="left" vertical="center"/>
    </xf>
    <xf numFmtId="0" fontId="118" fillId="40" borderId="0" xfId="0" applyFont="1" applyFill="1" applyBorder="1" applyAlignment="1">
      <alignment horizontal="center" vertical="center"/>
    </xf>
    <xf numFmtId="0" fontId="118" fillId="40" borderId="54" xfId="0" applyFont="1" applyFill="1" applyBorder="1" applyAlignment="1">
      <alignment horizontal="center" vertical="center" wrapText="1"/>
    </xf>
    <xf numFmtId="0" fontId="0" fillId="40" borderId="0" xfId="0" applyNumberFormat="1" applyFill="1" applyBorder="1" applyAlignment="1">
      <alignment horizontal="center" wrapText="1"/>
    </xf>
    <xf numFmtId="0" fontId="113" fillId="40" borderId="91" xfId="0" quotePrefix="1" applyNumberFormat="1" applyFont="1" applyFill="1" applyBorder="1" applyAlignment="1">
      <alignment horizontal="left" vertical="center"/>
    </xf>
    <xf numFmtId="9" fontId="0" fillId="40" borderId="0" xfId="0" applyNumberFormat="1" applyFill="1" applyBorder="1" applyAlignment="1">
      <alignment horizontal="center" wrapText="1"/>
    </xf>
    <xf numFmtId="10" fontId="0" fillId="40" borderId="0" xfId="0" applyNumberFormat="1" applyFill="1" applyBorder="1" applyAlignment="1">
      <alignment wrapText="1"/>
    </xf>
    <xf numFmtId="0" fontId="114" fillId="40" borderId="0" xfId="0" applyNumberFormat="1" applyFont="1" applyFill="1" applyBorder="1" applyAlignment="1">
      <alignment horizontal="center" wrapText="1"/>
    </xf>
    <xf numFmtId="0" fontId="13" fillId="40" borderId="0" xfId="0" applyNumberFormat="1" applyFont="1" applyFill="1" applyBorder="1" applyAlignment="1">
      <alignment wrapText="1"/>
    </xf>
    <xf numFmtId="0" fontId="13" fillId="40" borderId="0" xfId="0" applyNumberFormat="1" applyFont="1" applyFill="1" applyBorder="1" applyAlignment="1" applyProtection="1">
      <alignment horizontal="center" wrapText="1"/>
    </xf>
    <xf numFmtId="0" fontId="0" fillId="40" borderId="0" xfId="0" applyNumberFormat="1" applyFill="1" applyBorder="1" applyAlignment="1" applyProtection="1">
      <alignment horizontal="center" wrapText="1"/>
    </xf>
    <xf numFmtId="10" fontId="0" fillId="40" borderId="0" xfId="0" applyNumberFormat="1" applyFill="1" applyBorder="1" applyAlignment="1" applyProtection="1">
      <alignment horizontal="center" wrapText="1"/>
    </xf>
    <xf numFmtId="0" fontId="13" fillId="40" borderId="0" xfId="0" applyNumberFormat="1" applyFont="1" applyFill="1" applyBorder="1" applyAlignment="1" applyProtection="1">
      <alignment wrapText="1"/>
    </xf>
    <xf numFmtId="10" fontId="13" fillId="40" borderId="0" xfId="0" applyNumberFormat="1" applyFont="1" applyFill="1" applyBorder="1" applyAlignment="1" applyProtection="1">
      <alignment wrapText="1"/>
    </xf>
    <xf numFmtId="0" fontId="106" fillId="0" borderId="96" xfId="0" applyFont="1" applyBorder="1" applyAlignment="1">
      <alignment wrapText="1"/>
    </xf>
    <xf numFmtId="4" fontId="96" fillId="43" borderId="100" xfId="0" applyNumberFormat="1" applyFont="1" applyFill="1" applyBorder="1" applyAlignment="1">
      <alignment horizontal="center" vertical="center"/>
    </xf>
    <xf numFmtId="9" fontId="10" fillId="43" borderId="98" xfId="1" applyNumberFormat="1" applyFill="1" applyBorder="1" applyAlignment="1" applyProtection="1">
      <alignment horizontal="center"/>
      <protection locked="0"/>
    </xf>
    <xf numFmtId="0" fontId="10" fillId="43" borderId="98" xfId="1" applyFill="1" applyBorder="1" applyAlignment="1" applyProtection="1">
      <alignment horizontal="center"/>
      <protection locked="0"/>
    </xf>
    <xf numFmtId="0" fontId="10" fillId="43" borderId="98" xfId="1" applyFill="1" applyBorder="1" applyAlignment="1" applyProtection="1">
      <alignment horizontal="center" wrapText="1"/>
      <protection locked="0"/>
    </xf>
    <xf numFmtId="0" fontId="113" fillId="43" borderId="98" xfId="0" applyNumberFormat="1" applyFont="1" applyFill="1" applyBorder="1" applyAlignment="1">
      <alignment horizontal="center" vertical="center"/>
    </xf>
    <xf numFmtId="10" fontId="113" fillId="43" borderId="98" xfId="0" applyNumberFormat="1" applyFont="1" applyFill="1" applyBorder="1" applyAlignment="1">
      <alignment horizontal="center" vertical="center"/>
    </xf>
    <xf numFmtId="0" fontId="129" fillId="40" borderId="0" xfId="0" applyFont="1" applyFill="1" applyAlignment="1">
      <alignment wrapText="1"/>
    </xf>
    <xf numFmtId="0" fontId="13" fillId="47" borderId="0" xfId="0" applyFont="1" applyFill="1" applyAlignment="1">
      <alignment horizontal="left" vertical="center" wrapText="1"/>
    </xf>
    <xf numFmtId="0" fontId="13" fillId="47" borderId="0" xfId="0" applyFont="1" applyFill="1" applyAlignment="1">
      <alignment vertical="center" wrapText="1"/>
    </xf>
    <xf numFmtId="0" fontId="0" fillId="0" borderId="0" xfId="0" applyAlignment="1">
      <alignment wrapText="1"/>
    </xf>
    <xf numFmtId="0" fontId="0" fillId="40" borderId="0" xfId="0" applyFill="1" applyBorder="1" applyAlignment="1">
      <alignment horizontal="center"/>
    </xf>
    <xf numFmtId="0" fontId="0" fillId="40" borderId="0" xfId="0" applyFill="1" applyAlignment="1">
      <alignment wrapText="1"/>
    </xf>
    <xf numFmtId="0" fontId="11" fillId="38" borderId="104" xfId="0" applyFont="1" applyFill="1" applyBorder="1" applyAlignment="1">
      <alignment horizontal="center" vertical="center"/>
    </xf>
    <xf numFmtId="0" fontId="11" fillId="38" borderId="144" xfId="0" applyFont="1" applyFill="1" applyBorder="1" applyAlignment="1">
      <alignment horizontal="center" vertical="center"/>
    </xf>
    <xf numFmtId="0" fontId="11" fillId="0" borderId="98" xfId="0" applyFont="1" applyBorder="1" applyAlignment="1">
      <alignment horizontal="center"/>
    </xf>
    <xf numFmtId="0" fontId="11" fillId="38" borderId="94" xfId="0" applyFont="1" applyFill="1" applyBorder="1" applyAlignment="1">
      <alignment horizontal="center" vertical="center"/>
    </xf>
    <xf numFmtId="0" fontId="15" fillId="30" borderId="84" xfId="0" applyFont="1" applyFill="1" applyBorder="1" applyAlignment="1">
      <alignment horizontal="center" wrapText="1"/>
    </xf>
    <xf numFmtId="0" fontId="15" fillId="45" borderId="108" xfId="0" applyFont="1" applyFill="1" applyBorder="1" applyAlignment="1">
      <alignment horizontal="center" vertical="center"/>
    </xf>
    <xf numFmtId="0" fontId="11" fillId="44" borderId="0" xfId="0" applyFont="1" applyFill="1" applyAlignment="1">
      <alignment horizontal="center"/>
    </xf>
    <xf numFmtId="0" fontId="80" fillId="44" borderId="0" xfId="0" applyFont="1" applyFill="1"/>
    <xf numFmtId="0" fontId="130" fillId="40" borderId="102" xfId="0" applyFont="1" applyFill="1" applyBorder="1" applyAlignment="1">
      <alignment horizontal="center" wrapText="1"/>
    </xf>
    <xf numFmtId="0" fontId="25" fillId="40" borderId="0" xfId="0" applyFont="1" applyFill="1" applyBorder="1" applyAlignment="1">
      <alignment horizontal="center"/>
    </xf>
    <xf numFmtId="0" fontId="25" fillId="40" borderId="54" xfId="0" applyFont="1" applyFill="1" applyBorder="1" applyAlignment="1">
      <alignment horizontal="center"/>
    </xf>
    <xf numFmtId="0" fontId="15" fillId="40" borderId="0" xfId="0" applyFont="1" applyFill="1" applyBorder="1" applyAlignment="1">
      <alignment horizontal="center"/>
    </xf>
    <xf numFmtId="0" fontId="18" fillId="40" borderId="112" xfId="0" applyFont="1" applyFill="1" applyBorder="1" applyAlignment="1">
      <alignment horizontal="center"/>
    </xf>
    <xf numFmtId="0" fontId="25" fillId="40" borderId="0" xfId="0" applyFont="1" applyFill="1" applyBorder="1"/>
    <xf numFmtId="0" fontId="80" fillId="40" borderId="0" xfId="0" applyFont="1" applyFill="1"/>
    <xf numFmtId="0" fontId="80" fillId="40" borderId="0" xfId="0" applyFont="1" applyFill="1" applyAlignment="1">
      <alignment horizontal="center"/>
    </xf>
    <xf numFmtId="0" fontId="11" fillId="40" borderId="0" xfId="0" applyFont="1" applyFill="1" applyBorder="1" applyAlignment="1">
      <alignment horizontal="center" vertical="center"/>
    </xf>
    <xf numFmtId="0" fontId="0" fillId="40" borderId="0" xfId="0" applyFill="1" applyAlignment="1"/>
    <xf numFmtId="0" fontId="80" fillId="40" borderId="121" xfId="0" applyFont="1" applyFill="1" applyBorder="1"/>
    <xf numFmtId="0" fontId="80" fillId="40" borderId="112" xfId="0" applyFont="1" applyFill="1" applyBorder="1"/>
    <xf numFmtId="0" fontId="18" fillId="40" borderId="0" xfId="0" applyFont="1" applyFill="1" applyBorder="1" applyAlignment="1">
      <alignment horizontal="center" wrapText="1"/>
    </xf>
    <xf numFmtId="0" fontId="25" fillId="40" borderId="91" xfId="0" applyFont="1" applyFill="1" applyBorder="1" applyAlignment="1">
      <alignment horizontal="center"/>
    </xf>
    <xf numFmtId="0" fontId="80" fillId="40" borderId="0" xfId="0" applyFont="1" applyFill="1" applyBorder="1" applyAlignment="1">
      <alignment horizontal="center"/>
    </xf>
    <xf numFmtId="0" fontId="80" fillId="40" borderId="0" xfId="0" applyFont="1" applyFill="1" applyBorder="1"/>
    <xf numFmtId="0" fontId="80" fillId="40" borderId="145" xfId="0" applyFont="1" applyFill="1" applyBorder="1"/>
    <xf numFmtId="0" fontId="80" fillId="40" borderId="111" xfId="0" applyFont="1" applyFill="1" applyBorder="1"/>
    <xf numFmtId="0" fontId="80" fillId="40" borderId="97" xfId="0" applyFont="1" applyFill="1" applyBorder="1"/>
    <xf numFmtId="0" fontId="127" fillId="40" borderId="0" xfId="0" applyFont="1" applyFill="1" applyAlignment="1">
      <alignment wrapText="1"/>
    </xf>
    <xf numFmtId="0" fontId="0" fillId="40" borderId="145" xfId="0" applyFill="1" applyBorder="1" applyAlignment="1">
      <alignment wrapText="1"/>
    </xf>
    <xf numFmtId="0" fontId="0" fillId="40" borderId="112" xfId="0" applyFill="1" applyBorder="1" applyAlignment="1">
      <alignment horizontal="center" vertical="center"/>
    </xf>
    <xf numFmtId="0" fontId="13" fillId="0" borderId="104" xfId="0" applyFont="1" applyBorder="1" applyAlignment="1">
      <alignment horizontal="center" wrapText="1"/>
    </xf>
    <xf numFmtId="0" fontId="25" fillId="40" borderId="14" xfId="0" applyFont="1" applyFill="1" applyBorder="1" applyAlignment="1">
      <alignment horizontal="center"/>
    </xf>
    <xf numFmtId="0" fontId="25" fillId="40" borderId="76" xfId="0" applyFont="1" applyFill="1" applyBorder="1" applyAlignment="1">
      <alignment horizontal="center"/>
    </xf>
    <xf numFmtId="0" fontId="18" fillId="40" borderId="0" xfId="0" applyFont="1" applyFill="1" applyBorder="1" applyAlignment="1">
      <alignment horizontal="center"/>
    </xf>
    <xf numFmtId="0" fontId="18" fillId="48" borderId="98" xfId="0" applyFont="1" applyFill="1" applyBorder="1" applyAlignment="1">
      <alignment horizontal="center" wrapText="1"/>
    </xf>
    <xf numFmtId="0" fontId="18" fillId="48" borderId="108" xfId="0" applyFont="1" applyFill="1" applyBorder="1" applyAlignment="1">
      <alignment horizontal="center" wrapText="1"/>
    </xf>
    <xf numFmtId="0" fontId="80" fillId="48" borderId="0" xfId="0" applyFont="1" applyFill="1"/>
    <xf numFmtId="0" fontId="11" fillId="48" borderId="98" xfId="0" applyFont="1" applyFill="1" applyBorder="1" applyAlignment="1">
      <alignment horizontal="center"/>
    </xf>
    <xf numFmtId="0" fontId="15" fillId="48" borderId="98" xfId="0" applyFont="1" applyFill="1" applyBorder="1" applyAlignment="1">
      <alignment horizontal="center"/>
    </xf>
    <xf numFmtId="0" fontId="0" fillId="47" borderId="0" xfId="0" applyFill="1" applyAlignment="1">
      <alignment vertical="center" wrapText="1"/>
    </xf>
    <xf numFmtId="0" fontId="0" fillId="40" borderId="0" xfId="0" applyFill="1" applyBorder="1" applyAlignment="1">
      <alignment wrapText="1"/>
    </xf>
    <xf numFmtId="0" fontId="0" fillId="40" borderId="91" xfId="0" applyFill="1" applyBorder="1" applyAlignment="1">
      <alignment horizontal="center" wrapText="1"/>
    </xf>
    <xf numFmtId="0" fontId="13" fillId="40" borderId="0" xfId="0" applyFont="1" applyFill="1" applyBorder="1" applyAlignment="1">
      <alignment horizontal="center" wrapText="1"/>
    </xf>
    <xf numFmtId="0" fontId="60" fillId="21" borderId="84" xfId="0" applyFont="1" applyFill="1" applyBorder="1" applyAlignment="1">
      <alignment horizontal="left" vertical="top"/>
    </xf>
    <xf numFmtId="4" fontId="15" fillId="8" borderId="15" xfId="0" applyNumberFormat="1" applyFont="1" applyFill="1" applyBorder="1" applyAlignment="1">
      <alignment horizontal="center" vertical="top"/>
    </xf>
    <xf numFmtId="4" fontId="27" fillId="8" borderId="15" xfId="0" applyNumberFormat="1" applyFont="1" applyFill="1" applyBorder="1" applyAlignment="1">
      <alignment horizontal="center" vertical="top"/>
    </xf>
    <xf numFmtId="4" fontId="27" fillId="8" borderId="98" xfId="0" applyNumberFormat="1" applyFont="1" applyFill="1" applyBorder="1" applyAlignment="1">
      <alignment horizontal="center" vertical="top"/>
    </xf>
    <xf numFmtId="0" fontId="0" fillId="47" borderId="0" xfId="0" applyFill="1" applyAlignment="1">
      <alignment wrapText="1"/>
    </xf>
    <xf numFmtId="0" fontId="13" fillId="47" borderId="0" xfId="0" applyFont="1" applyFill="1" applyAlignment="1">
      <alignment vertical="center" wrapText="1"/>
    </xf>
    <xf numFmtId="0" fontId="0" fillId="47" borderId="0" xfId="0" applyFill="1" applyAlignment="1">
      <alignment vertical="center" wrapText="1"/>
    </xf>
    <xf numFmtId="0" fontId="13" fillId="45" borderId="0" xfId="0" applyFont="1" applyFill="1" applyAlignment="1">
      <alignment horizontal="center" vertical="center" wrapText="1"/>
    </xf>
    <xf numFmtId="0" fontId="0" fillId="45" borderId="0" xfId="0" applyFill="1" applyAlignment="1">
      <alignment horizontal="center" vertical="center" wrapText="1"/>
    </xf>
    <xf numFmtId="0" fontId="0" fillId="0" borderId="0" xfId="0" applyAlignment="1">
      <alignment wrapText="1"/>
    </xf>
    <xf numFmtId="0" fontId="0" fillId="47" borderId="102" xfId="0" applyFill="1" applyBorder="1" applyAlignment="1">
      <alignment vertical="center" wrapText="1"/>
    </xf>
    <xf numFmtId="0" fontId="13" fillId="47" borderId="0" xfId="0" applyFont="1" applyFill="1" applyAlignment="1">
      <alignment horizontal="left" vertical="center" wrapText="1"/>
    </xf>
    <xf numFmtId="0" fontId="13" fillId="47" borderId="130" xfId="0" applyFont="1" applyFill="1" applyBorder="1" applyAlignment="1">
      <alignment horizontal="center" vertical="center" wrapText="1"/>
    </xf>
    <xf numFmtId="0" fontId="0" fillId="47" borderId="131" xfId="0" applyFill="1" applyBorder="1" applyAlignment="1">
      <alignment horizontal="center" vertical="center" wrapText="1"/>
    </xf>
    <xf numFmtId="0" fontId="0" fillId="45" borderId="132" xfId="0" applyFill="1" applyBorder="1" applyAlignment="1">
      <alignment horizontal="left" vertical="center" wrapText="1" readingOrder="1"/>
    </xf>
    <xf numFmtId="0" fontId="13" fillId="47" borderId="0" xfId="0" applyFont="1" applyFill="1" applyAlignment="1">
      <alignment horizontal="left" vertical="top" wrapText="1"/>
    </xf>
    <xf numFmtId="0" fontId="0" fillId="47" borderId="0" xfId="0" applyFill="1" applyAlignment="1">
      <alignment horizontal="left" vertical="top" wrapText="1"/>
    </xf>
    <xf numFmtId="0" fontId="0" fillId="0" borderId="0" xfId="0" applyAlignment="1">
      <alignment horizontal="left" wrapText="1"/>
    </xf>
    <xf numFmtId="4" fontId="109" fillId="43" borderId="101" xfId="0" applyNumberFormat="1" applyFont="1" applyFill="1" applyBorder="1" applyAlignment="1">
      <alignment horizontal="center" wrapText="1"/>
    </xf>
    <xf numFmtId="0" fontId="109" fillId="43" borderId="100" xfId="0" applyFont="1" applyFill="1" applyBorder="1" applyAlignment="1">
      <alignment horizontal="center" wrapText="1"/>
    </xf>
    <xf numFmtId="1" fontId="11" fillId="0" borderId="0" xfId="0" applyNumberFormat="1" applyFont="1" applyFill="1" applyBorder="1" applyAlignment="1">
      <alignment horizontal="center" vertical="center"/>
    </xf>
    <xf numFmtId="0" fontId="0" fillId="0" borderId="0" xfId="0" applyFill="1" applyBorder="1" applyAlignment="1">
      <alignment horizontal="center" wrapText="1"/>
    </xf>
    <xf numFmtId="0" fontId="110" fillId="0" borderId="101" xfId="0" applyFont="1" applyFill="1" applyBorder="1" applyAlignment="1" applyProtection="1">
      <alignment horizontal="center" vertical="center" wrapText="1"/>
      <protection locked="0"/>
    </xf>
    <xf numFmtId="0" fontId="106" fillId="0" borderId="92" xfId="0" applyFont="1" applyBorder="1" applyAlignment="1">
      <alignment horizontal="center" vertical="center" wrapText="1"/>
    </xf>
    <xf numFmtId="0" fontId="106" fillId="0" borderId="100" xfId="0" applyFont="1" applyBorder="1" applyAlignment="1">
      <alignment horizontal="center" vertical="center" wrapText="1"/>
    </xf>
    <xf numFmtId="0" fontId="106" fillId="0" borderId="101" xfId="0" applyFont="1" applyBorder="1" applyAlignment="1">
      <alignment horizontal="center" vertical="center" wrapText="1"/>
    </xf>
    <xf numFmtId="0" fontId="11" fillId="0" borderId="97" xfId="0" applyFont="1" applyBorder="1" applyAlignment="1">
      <alignment horizontal="center" vertical="center" wrapText="1"/>
    </xf>
    <xf numFmtId="0" fontId="0" fillId="0" borderId="99" xfId="0" applyBorder="1" applyAlignment="1">
      <alignment horizontal="center" vertical="center" wrapText="1"/>
    </xf>
    <xf numFmtId="0" fontId="0" fillId="0" borderId="58" xfId="0" applyBorder="1" applyAlignment="1">
      <alignment horizontal="center" vertical="center" wrapText="1"/>
    </xf>
    <xf numFmtId="0" fontId="0" fillId="0" borderId="91" xfId="0" applyBorder="1" applyAlignment="1">
      <alignment horizontal="center" vertical="center" wrapText="1"/>
    </xf>
    <xf numFmtId="0" fontId="0" fillId="0" borderId="0" xfId="0" applyBorder="1" applyAlignment="1">
      <alignment horizontal="center" vertical="center" wrapText="1"/>
    </xf>
    <xf numFmtId="0" fontId="0" fillId="0" borderId="54" xfId="0" applyBorder="1" applyAlignment="1">
      <alignment horizontal="center" vertical="center" wrapText="1"/>
    </xf>
    <xf numFmtId="0" fontId="0" fillId="0" borderId="111" xfId="0" applyBorder="1" applyAlignment="1">
      <alignment horizontal="center" vertical="center" wrapText="1"/>
    </xf>
    <xf numFmtId="0" fontId="0" fillId="0" borderId="102" xfId="0" applyBorder="1" applyAlignment="1">
      <alignment horizontal="center" vertical="center" wrapText="1"/>
    </xf>
    <xf numFmtId="0" fontId="0" fillId="0" borderId="112" xfId="0" applyBorder="1" applyAlignment="1">
      <alignment horizontal="center" vertical="center" wrapText="1"/>
    </xf>
    <xf numFmtId="0" fontId="110" fillId="0" borderId="102" xfId="0" applyFont="1" applyBorder="1" applyAlignment="1">
      <alignment horizontal="center" vertical="center"/>
    </xf>
    <xf numFmtId="0" fontId="106" fillId="0" borderId="102" xfId="0" applyFont="1" applyBorder="1" applyAlignment="1">
      <alignment horizontal="center" wrapText="1"/>
    </xf>
    <xf numFmtId="0" fontId="11" fillId="39" borderId="101" xfId="0" applyFont="1" applyFill="1" applyBorder="1" applyAlignment="1">
      <alignment horizontal="center" vertical="center"/>
    </xf>
    <xf numFmtId="0" fontId="0" fillId="39" borderId="100" xfId="0" applyFill="1" applyBorder="1" applyAlignment="1">
      <alignment horizontal="center" wrapText="1"/>
    </xf>
    <xf numFmtId="0" fontId="13" fillId="39" borderId="92" xfId="0" applyFont="1" applyFill="1" applyBorder="1" applyAlignment="1">
      <alignment horizontal="center" vertical="center" wrapText="1"/>
    </xf>
    <xf numFmtId="0" fontId="0" fillId="39" borderId="92" xfId="0" applyFill="1" applyBorder="1" applyAlignment="1">
      <alignment horizontal="center" vertical="center" wrapText="1"/>
    </xf>
    <xf numFmtId="0" fontId="13" fillId="39" borderId="101" xfId="0" applyFont="1" applyFill="1" applyBorder="1" applyAlignment="1">
      <alignment horizontal="center" vertical="center" wrapText="1"/>
    </xf>
    <xf numFmtId="0" fontId="0" fillId="39" borderId="100" xfId="0" applyFill="1" applyBorder="1" applyAlignment="1">
      <alignment horizontal="center" vertical="center" wrapText="1"/>
    </xf>
    <xf numFmtId="0" fontId="11" fillId="45" borderId="101" xfId="0" applyFont="1" applyFill="1" applyBorder="1" applyAlignment="1">
      <alignment horizontal="center" vertical="center"/>
    </xf>
    <xf numFmtId="0" fontId="0" fillId="45" borderId="92" xfId="0" applyFill="1" applyBorder="1" applyAlignment="1">
      <alignment horizontal="center" wrapText="1"/>
    </xf>
    <xf numFmtId="0" fontId="0" fillId="45" borderId="100" xfId="0" applyFill="1" applyBorder="1" applyAlignment="1">
      <alignment horizontal="center" wrapText="1"/>
    </xf>
    <xf numFmtId="4" fontId="0" fillId="43" borderId="101" xfId="0" applyNumberFormat="1" applyFill="1" applyBorder="1" applyAlignment="1">
      <alignment horizontal="center" wrapText="1"/>
    </xf>
    <xf numFmtId="0" fontId="0" fillId="43" borderId="100" xfId="0" applyFill="1" applyBorder="1" applyAlignment="1">
      <alignment horizontal="center" wrapText="1"/>
    </xf>
    <xf numFmtId="0" fontId="11" fillId="39" borderId="97" xfId="0" applyFont="1" applyFill="1" applyBorder="1" applyAlignment="1">
      <alignment horizontal="left" vertical="center"/>
    </xf>
    <xf numFmtId="0" fontId="0" fillId="39" borderId="99" xfId="0" applyFill="1" applyBorder="1" applyAlignment="1">
      <alignment wrapText="1"/>
    </xf>
    <xf numFmtId="0" fontId="0" fillId="39" borderId="111" xfId="0" applyFill="1" applyBorder="1" applyAlignment="1">
      <alignment wrapText="1"/>
    </xf>
    <xf numFmtId="0" fontId="0" fillId="39" borderId="102" xfId="0" applyFill="1" applyBorder="1" applyAlignment="1">
      <alignment wrapText="1"/>
    </xf>
    <xf numFmtId="170" fontId="0" fillId="43" borderId="108" xfId="0" applyNumberFormat="1" applyFill="1" applyBorder="1" applyAlignment="1">
      <alignment horizontal="center" vertical="center" wrapText="1"/>
    </xf>
    <xf numFmtId="170" fontId="0" fillId="0" borderId="109" xfId="0" applyNumberFormat="1" applyBorder="1" applyAlignment="1">
      <alignment horizontal="center" vertical="center" wrapText="1"/>
    </xf>
    <xf numFmtId="0" fontId="13" fillId="39" borderId="58" xfId="0" applyFont="1" applyFill="1" applyBorder="1" applyAlignment="1">
      <alignment horizontal="center" vertical="center" wrapText="1"/>
    </xf>
    <xf numFmtId="0" fontId="0" fillId="39" borderId="112" xfId="0" applyFill="1" applyBorder="1" applyAlignment="1">
      <alignment horizontal="center" vertical="center" wrapText="1"/>
    </xf>
    <xf numFmtId="0" fontId="13" fillId="39" borderId="0" xfId="0" applyNumberFormat="1" applyFont="1" applyFill="1" applyBorder="1" applyAlignment="1">
      <alignment horizontal="center" wrapText="1"/>
    </xf>
    <xf numFmtId="0" fontId="0" fillId="39" borderId="54" xfId="0" applyFill="1" applyBorder="1" applyAlignment="1">
      <alignment horizontal="center" wrapText="1"/>
    </xf>
    <xf numFmtId="0" fontId="11" fillId="39" borderId="91" xfId="0" applyNumberFormat="1" applyFont="1" applyFill="1" applyBorder="1" applyAlignment="1">
      <alignment horizontal="center" vertical="center"/>
    </xf>
    <xf numFmtId="0" fontId="18" fillId="0" borderId="101" xfId="0" applyFont="1" applyBorder="1" applyAlignment="1">
      <alignment horizontal="center" wrapText="1"/>
    </xf>
    <xf numFmtId="0" fontId="18" fillId="0" borderId="100" xfId="0" applyFont="1" applyBorder="1" applyAlignment="1">
      <alignment horizontal="center" wrapText="1"/>
    </xf>
    <xf numFmtId="0" fontId="13" fillId="0" borderId="146" xfId="0" applyFont="1" applyBorder="1" applyAlignment="1">
      <alignment horizontal="center" vertical="center" wrapText="1"/>
    </xf>
    <xf numFmtId="0" fontId="0" fillId="0" borderId="147" xfId="0" applyBorder="1" applyAlignment="1">
      <alignment horizontal="center" vertical="center" wrapText="1"/>
    </xf>
    <xf numFmtId="0" fontId="0" fillId="0" borderId="120" xfId="0" applyBorder="1" applyAlignment="1">
      <alignment horizontal="center" vertical="center" wrapText="1"/>
    </xf>
    <xf numFmtId="0" fontId="13" fillId="0" borderId="101" xfId="0" applyFont="1" applyBorder="1" applyAlignment="1">
      <alignment horizontal="center" wrapText="1"/>
    </xf>
    <xf numFmtId="0" fontId="13" fillId="0" borderId="92" xfId="0" applyFont="1" applyBorder="1" applyAlignment="1">
      <alignment horizontal="center" wrapText="1"/>
    </xf>
    <xf numFmtId="0" fontId="13" fillId="0" borderId="100" xfId="0" applyFont="1" applyBorder="1" applyAlignment="1">
      <alignment horizontal="center" wrapText="1"/>
    </xf>
    <xf numFmtId="4" fontId="15" fillId="0" borderId="108" xfId="0" applyNumberFormat="1" applyFont="1" applyBorder="1" applyAlignment="1">
      <alignment horizontal="center" vertical="center" wrapText="1"/>
    </xf>
    <xf numFmtId="0" fontId="15" fillId="0" borderId="110" xfId="0" applyFont="1" applyBorder="1" applyAlignment="1">
      <alignment horizontal="center" vertical="center" wrapText="1"/>
    </xf>
    <xf numFmtId="0" fontId="15" fillId="0" borderId="109" xfId="0" applyFont="1" applyBorder="1" applyAlignment="1">
      <alignment horizontal="center" vertical="center" wrapText="1"/>
    </xf>
    <xf numFmtId="4" fontId="18" fillId="0" borderId="108" xfId="0" applyNumberFormat="1" applyFont="1" applyBorder="1" applyAlignment="1">
      <alignment horizontal="center" vertical="center" wrapText="1"/>
    </xf>
    <xf numFmtId="0" fontId="18" fillId="0" borderId="110" xfId="0" applyFont="1" applyBorder="1" applyAlignment="1">
      <alignment horizontal="center" vertical="center" wrapText="1"/>
    </xf>
    <xf numFmtId="0" fontId="18" fillId="0" borderId="109" xfId="0" applyFont="1" applyBorder="1" applyAlignment="1">
      <alignment horizontal="center" vertical="center" wrapText="1"/>
    </xf>
    <xf numFmtId="0" fontId="80" fillId="44" borderId="91" xfId="0" applyFont="1" applyFill="1" applyBorder="1" applyAlignment="1"/>
    <xf numFmtId="0" fontId="0" fillId="44" borderId="91" xfId="0" applyFill="1" applyBorder="1" applyAlignment="1"/>
    <xf numFmtId="0" fontId="80" fillId="44" borderId="54" xfId="0" applyFont="1" applyFill="1" applyBorder="1" applyAlignment="1"/>
    <xf numFmtId="0" fontId="0" fillId="44" borderId="54" xfId="0" applyFill="1" applyBorder="1" applyAlignment="1"/>
    <xf numFmtId="0" fontId="0" fillId="44" borderId="91" xfId="0" applyFill="1" applyBorder="1" applyAlignment="1">
      <alignment wrapText="1"/>
    </xf>
    <xf numFmtId="0" fontId="0" fillId="44" borderId="0" xfId="0" applyFill="1" applyAlignment="1">
      <alignment wrapText="1"/>
    </xf>
    <xf numFmtId="0" fontId="0" fillId="44" borderId="54" xfId="0" applyFill="1" applyBorder="1" applyAlignment="1">
      <alignment wrapText="1"/>
    </xf>
    <xf numFmtId="0" fontId="0" fillId="44" borderId="110" xfId="0" applyFill="1" applyBorder="1" applyAlignment="1">
      <alignment wrapText="1"/>
    </xf>
    <xf numFmtId="0" fontId="15" fillId="48" borderId="101" xfId="0" applyFont="1" applyFill="1" applyBorder="1" applyAlignment="1">
      <alignment horizontal="center"/>
    </xf>
    <xf numFmtId="0" fontId="18" fillId="48" borderId="92" xfId="0" applyFont="1" applyFill="1" applyBorder="1" applyAlignment="1">
      <alignment horizontal="center"/>
    </xf>
    <xf numFmtId="0" fontId="18" fillId="48" borderId="100" xfId="0" applyFont="1" applyFill="1" applyBorder="1" applyAlignment="1">
      <alignment horizontal="center"/>
    </xf>
    <xf numFmtId="0" fontId="18" fillId="48" borderId="101" xfId="0" applyFont="1" applyFill="1" applyBorder="1" applyAlignment="1">
      <alignment horizontal="center" wrapText="1"/>
    </xf>
    <xf numFmtId="0" fontId="18" fillId="48" borderId="100" xfId="0" applyFont="1" applyFill="1" applyBorder="1" applyAlignment="1">
      <alignment horizontal="center" wrapText="1"/>
    </xf>
    <xf numFmtId="0" fontId="11" fillId="0" borderId="146" xfId="0" applyFont="1" applyBorder="1" applyAlignment="1">
      <alignment horizontal="center" vertical="center" wrapText="1"/>
    </xf>
    <xf numFmtId="0" fontId="97" fillId="40" borderId="0" xfId="0" applyNumberFormat="1" applyFont="1" applyFill="1" applyBorder="1" applyAlignment="1">
      <alignment horizontal="left" vertical="center"/>
    </xf>
    <xf numFmtId="0" fontId="0" fillId="40" borderId="0" xfId="0" applyFill="1" applyBorder="1" applyAlignment="1">
      <alignment horizontal="left" wrapText="1"/>
    </xf>
    <xf numFmtId="0" fontId="18" fillId="48" borderId="111" xfId="0" applyFont="1" applyFill="1" applyBorder="1" applyAlignment="1">
      <alignment horizontal="center" wrapText="1"/>
    </xf>
    <xf numFmtId="0" fontId="18" fillId="48" borderId="102" xfId="0" applyFont="1" applyFill="1" applyBorder="1" applyAlignment="1">
      <alignment horizontal="center" wrapText="1"/>
    </xf>
    <xf numFmtId="0" fontId="18" fillId="48" borderId="112" xfId="0" applyFont="1" applyFill="1" applyBorder="1" applyAlignment="1">
      <alignment horizontal="center" wrapText="1"/>
    </xf>
    <xf numFmtId="0" fontId="18" fillId="40" borderId="0" xfId="0" applyFont="1" applyFill="1" applyBorder="1" applyAlignment="1">
      <alignment horizontal="center" wrapText="1"/>
    </xf>
    <xf numFmtId="0" fontId="0" fillId="0" borderId="120" xfId="0" applyBorder="1" applyAlignment="1">
      <alignment wrapText="1"/>
    </xf>
    <xf numFmtId="0" fontId="127" fillId="0" borderId="146" xfId="0" applyFont="1" applyBorder="1" applyAlignment="1">
      <alignment horizontal="center" vertical="center" wrapText="1"/>
    </xf>
    <xf numFmtId="0" fontId="127" fillId="0" borderId="147" xfId="0" applyFont="1" applyBorder="1" applyAlignment="1">
      <alignment horizontal="center" vertical="center" wrapText="1"/>
    </xf>
    <xf numFmtId="0" fontId="127" fillId="0" borderId="120" xfId="0" applyFont="1" applyBorder="1" applyAlignment="1">
      <alignment horizontal="center" vertical="center" wrapText="1"/>
    </xf>
    <xf numFmtId="0" fontId="0" fillId="40" borderId="0" xfId="0" applyFill="1" applyBorder="1" applyAlignment="1">
      <alignment wrapText="1"/>
    </xf>
    <xf numFmtId="0" fontId="130" fillId="40" borderId="102" xfId="0" applyFont="1" applyFill="1" applyBorder="1" applyAlignment="1">
      <alignment horizontal="center" wrapText="1"/>
    </xf>
    <xf numFmtId="0" fontId="0" fillId="0" borderId="102" xfId="0" applyBorder="1" applyAlignment="1">
      <alignment wrapText="1"/>
    </xf>
    <xf numFmtId="0" fontId="47" fillId="0" borderId="0" xfId="0" applyFont="1" applyBorder="1" applyAlignment="1">
      <alignment horizontal="center" wrapText="1"/>
    </xf>
    <xf numFmtId="0" fontId="0" fillId="0" borderId="0" xfId="0" applyAlignment="1">
      <alignment horizontal="center" wrapText="1"/>
    </xf>
    <xf numFmtId="0" fontId="44" fillId="0" borderId="97" xfId="0" applyFont="1" applyBorder="1" applyAlignment="1">
      <alignment vertical="center" wrapText="1"/>
    </xf>
    <xf numFmtId="4" fontId="18" fillId="0" borderId="58" xfId="0" applyNumberFormat="1" applyFont="1" applyBorder="1" applyAlignment="1">
      <alignment horizontal="center" vertical="center" wrapText="1"/>
    </xf>
    <xf numFmtId="0" fontId="0" fillId="0" borderId="111" xfId="0" applyBorder="1" applyAlignment="1">
      <alignment wrapText="1"/>
    </xf>
    <xf numFmtId="0" fontId="0" fillId="0" borderId="112" xfId="0" applyBorder="1" applyAlignment="1">
      <alignment wrapText="1"/>
    </xf>
    <xf numFmtId="0" fontId="36" fillId="0" borderId="26" xfId="0" applyFont="1" applyBorder="1" applyAlignment="1">
      <alignment wrapText="1"/>
    </xf>
    <xf numFmtId="0" fontId="44" fillId="0" borderId="34" xfId="0" applyFont="1" applyBorder="1" applyAlignment="1">
      <alignment vertical="center" wrapText="1"/>
    </xf>
    <xf numFmtId="2" fontId="87" fillId="31" borderId="85" xfId="0" applyNumberFormat="1" applyFont="1" applyFill="1" applyBorder="1" applyAlignment="1">
      <alignment horizontal="left" vertical="center" wrapText="1"/>
    </xf>
    <xf numFmtId="0" fontId="0" fillId="0" borderId="100" xfId="0" applyBorder="1" applyAlignment="1">
      <alignment wrapText="1"/>
    </xf>
    <xf numFmtId="4" fontId="72" fillId="0" borderId="67" xfId="0" applyNumberFormat="1" applyFont="1" applyBorder="1" applyAlignment="1">
      <alignment vertical="center" wrapText="1"/>
    </xf>
    <xf numFmtId="0" fontId="48" fillId="0" borderId="36" xfId="0" applyFont="1" applyBorder="1" applyAlignment="1">
      <alignment horizontal="center" vertical="center" wrapText="1"/>
    </xf>
    <xf numFmtId="0" fontId="52" fillId="19" borderId="39" xfId="0" applyFont="1" applyFill="1" applyBorder="1" applyAlignment="1">
      <alignment vertical="center" wrapText="1"/>
    </xf>
    <xf numFmtId="0" fontId="82" fillId="27" borderId="78" xfId="0" applyFont="1" applyFill="1" applyBorder="1" applyAlignment="1">
      <alignment horizontal="left" vertical="center" wrapText="1"/>
    </xf>
    <xf numFmtId="0" fontId="43" fillId="0" borderId="101" xfId="0" applyFont="1" applyBorder="1" applyAlignment="1">
      <alignment horizontal="center" vertical="center" wrapText="1"/>
    </xf>
    <xf numFmtId="0" fontId="5" fillId="0" borderId="97" xfId="2" applyFont="1" applyBorder="1" applyAlignment="1">
      <alignment vertical="center" wrapText="1"/>
    </xf>
    <xf numFmtId="0" fontId="0" fillId="0" borderId="99" xfId="0" applyBorder="1" applyAlignment="1">
      <alignment vertical="center" wrapText="1"/>
    </xf>
    <xf numFmtId="0" fontId="0" fillId="0" borderId="58" xfId="0" applyBorder="1" applyAlignment="1">
      <alignment vertical="center" wrapText="1"/>
    </xf>
    <xf numFmtId="0" fontId="0" fillId="0" borderId="91" xfId="0" applyBorder="1" applyAlignment="1">
      <alignment vertical="center" wrapText="1"/>
    </xf>
    <xf numFmtId="0" fontId="0" fillId="0" borderId="0" xfId="0" applyBorder="1" applyAlignment="1">
      <alignment vertical="center" wrapText="1"/>
    </xf>
    <xf numFmtId="0" fontId="0" fillId="0" borderId="54" xfId="0" applyBorder="1" applyAlignment="1">
      <alignment vertical="center" wrapText="1"/>
    </xf>
    <xf numFmtId="0" fontId="13" fillId="0" borderId="0" xfId="2" applyFont="1" applyAlignment="1">
      <alignment wrapText="1"/>
    </xf>
    <xf numFmtId="0" fontId="8" fillId="0" borderId="0" xfId="2" applyAlignment="1">
      <alignment wrapText="1"/>
    </xf>
    <xf numFmtId="0" fontId="8" fillId="0" borderId="119" xfId="2" applyBorder="1" applyAlignment="1">
      <alignment horizontal="center" vertical="center" wrapText="1"/>
    </xf>
    <xf numFmtId="0" fontId="8" fillId="0" borderId="0" xfId="2" applyBorder="1" applyAlignment="1">
      <alignment horizontal="center" vertical="center" wrapText="1"/>
    </xf>
    <xf numFmtId="0" fontId="8" fillId="41" borderId="119" xfId="2" applyFill="1" applyBorder="1" applyAlignment="1">
      <alignment horizontal="center" vertical="center" wrapText="1"/>
    </xf>
    <xf numFmtId="0" fontId="8" fillId="41" borderId="0" xfId="2" applyFill="1" applyBorder="1" applyAlignment="1">
      <alignment horizontal="center" vertical="center" wrapText="1"/>
    </xf>
    <xf numFmtId="0" fontId="8" fillId="0" borderId="0" xfId="2" applyAlignment="1"/>
    <xf numFmtId="0" fontId="104" fillId="0" borderId="91" xfId="2" applyFont="1" applyBorder="1" applyAlignment="1">
      <alignment horizontal="center" vertical="center" wrapText="1"/>
    </xf>
    <xf numFmtId="0" fontId="104" fillId="0" borderId="0" xfId="2" applyFont="1" applyBorder="1" applyAlignment="1">
      <alignment horizontal="center" vertical="center" wrapText="1"/>
    </xf>
    <xf numFmtId="0" fontId="104" fillId="0" borderId="111" xfId="2" applyFont="1" applyBorder="1" applyAlignment="1">
      <alignment horizontal="center" vertical="center" wrapText="1"/>
    </xf>
    <xf numFmtId="0" fontId="104" fillId="0" borderId="102" xfId="2" applyFont="1" applyBorder="1" applyAlignment="1">
      <alignment horizontal="center" vertical="center" wrapText="1"/>
    </xf>
    <xf numFmtId="0" fontId="13" fillId="0" borderId="96" xfId="2" applyFont="1" applyBorder="1" applyAlignment="1">
      <alignment horizontal="center"/>
    </xf>
    <xf numFmtId="0" fontId="8" fillId="0" borderId="96" xfId="2" applyBorder="1" applyAlignment="1">
      <alignment horizontal="center"/>
    </xf>
    <xf numFmtId="0" fontId="13" fillId="0" borderId="0" xfId="2" applyFont="1" applyAlignment="1">
      <alignment horizontal="center" vertical="center" wrapText="1"/>
    </xf>
    <xf numFmtId="0" fontId="8" fillId="0" borderId="0" xfId="2" applyAlignment="1">
      <alignment horizontal="center" vertical="center" wrapText="1"/>
    </xf>
    <xf numFmtId="0" fontId="104" fillId="0" borderId="96" xfId="2" applyFont="1" applyBorder="1" applyAlignment="1">
      <alignment horizontal="center" vertical="center" wrapText="1"/>
    </xf>
    <xf numFmtId="0" fontId="7" fillId="39" borderId="0" xfId="2" applyFont="1" applyFill="1" applyBorder="1" applyAlignment="1"/>
    <xf numFmtId="0" fontId="0" fillId="39" borderId="54" xfId="0" applyFill="1" applyBorder="1" applyAlignment="1"/>
    <xf numFmtId="0" fontId="6" fillId="44" borderId="92" xfId="2" applyFont="1" applyFill="1" applyBorder="1" applyAlignment="1">
      <alignment horizontal="center"/>
    </xf>
    <xf numFmtId="0" fontId="0" fillId="44" borderId="92" xfId="0" applyFill="1" applyBorder="1" applyAlignment="1">
      <alignment horizontal="center"/>
    </xf>
    <xf numFmtId="0" fontId="0" fillId="44" borderId="100" xfId="0" applyFill="1" applyBorder="1" applyAlignment="1">
      <alignment horizontal="center"/>
    </xf>
    <xf numFmtId="0" fontId="0" fillId="39" borderId="0" xfId="0" applyFill="1" applyBorder="1" applyAlignment="1"/>
    <xf numFmtId="0" fontId="6" fillId="44" borderId="101" xfId="2" applyFont="1" applyFill="1" applyBorder="1" applyAlignment="1">
      <alignment horizontal="center"/>
    </xf>
    <xf numFmtId="0" fontId="8" fillId="40" borderId="0" xfId="2" applyFill="1" applyBorder="1" applyAlignment="1"/>
    <xf numFmtId="0" fontId="0" fillId="40" borderId="0" xfId="0" applyFill="1" applyBorder="1" applyAlignment="1"/>
    <xf numFmtId="0" fontId="100" fillId="0" borderId="92" xfId="2" applyFont="1" applyBorder="1" applyAlignment="1">
      <alignment horizontal="center"/>
    </xf>
    <xf numFmtId="0" fontId="7" fillId="0" borderId="0" xfId="2" applyFont="1" applyFill="1" applyBorder="1" applyAlignment="1"/>
    <xf numFmtId="0" fontId="0" fillId="0" borderId="0" xfId="0" applyFill="1" applyBorder="1" applyAlignment="1"/>
    <xf numFmtId="0" fontId="7" fillId="40" borderId="0" xfId="2" applyFont="1" applyFill="1" applyBorder="1" applyAlignment="1">
      <alignment horizontal="center"/>
    </xf>
    <xf numFmtId="0" fontId="0" fillId="40" borderId="0" xfId="0" applyFill="1" applyBorder="1" applyAlignment="1">
      <alignment horizontal="center"/>
    </xf>
    <xf numFmtId="0" fontId="7" fillId="40" borderId="102" xfId="2" applyFont="1" applyFill="1" applyBorder="1" applyAlignment="1"/>
    <xf numFmtId="0" fontId="0" fillId="40" borderId="102" xfId="0" applyFill="1" applyBorder="1" applyAlignment="1"/>
    <xf numFmtId="0" fontId="6" fillId="44" borderId="111" xfId="2" applyFont="1" applyFill="1" applyBorder="1" applyAlignment="1">
      <alignment horizontal="center"/>
    </xf>
    <xf numFmtId="0" fontId="0" fillId="44" borderId="102" xfId="0" applyFill="1" applyBorder="1" applyAlignment="1">
      <alignment horizontal="center"/>
    </xf>
    <xf numFmtId="0" fontId="0" fillId="44" borderId="112" xfId="0" applyFill="1" applyBorder="1" applyAlignment="1">
      <alignment horizontal="center"/>
    </xf>
    <xf numFmtId="0" fontId="6" fillId="44" borderId="102" xfId="2" applyFont="1" applyFill="1" applyBorder="1" applyAlignment="1">
      <alignment horizontal="center"/>
    </xf>
    <xf numFmtId="0" fontId="13" fillId="0" borderId="97" xfId="4" applyBorder="1" applyAlignment="1">
      <alignment wrapText="1"/>
    </xf>
    <xf numFmtId="0" fontId="0" fillId="0" borderId="99" xfId="0" applyBorder="1" applyAlignment="1">
      <alignment wrapText="1"/>
    </xf>
    <xf numFmtId="0" fontId="0" fillId="0" borderId="58" xfId="0" applyBorder="1" applyAlignment="1">
      <alignment wrapText="1"/>
    </xf>
    <xf numFmtId="0" fontId="124" fillId="0" borderId="97" xfId="4" applyFont="1" applyBorder="1" applyAlignment="1">
      <alignment horizontal="center" vertical="center" wrapText="1"/>
    </xf>
    <xf numFmtId="0" fontId="15" fillId="0" borderId="0" xfId="4" applyFont="1" applyBorder="1" applyAlignment="1">
      <alignment horizontal="center" vertical="center"/>
    </xf>
    <xf numFmtId="0" fontId="18" fillId="0" borderId="0" xfId="4" applyFont="1" applyBorder="1" applyAlignment="1">
      <alignment horizontal="center" vertical="center"/>
    </xf>
    <xf numFmtId="4" fontId="11" fillId="43" borderId="97" xfId="4" applyNumberFormat="1" applyFont="1" applyFill="1" applyBorder="1" applyAlignment="1">
      <alignment horizontal="center" vertical="center"/>
    </xf>
    <xf numFmtId="0" fontId="0" fillId="43" borderId="111" xfId="0" applyFill="1" applyBorder="1" applyAlignment="1">
      <alignment horizontal="center" vertical="center"/>
    </xf>
    <xf numFmtId="4" fontId="11" fillId="43" borderId="108" xfId="4" applyNumberFormat="1" applyFont="1" applyFill="1" applyBorder="1" applyAlignment="1">
      <alignment horizontal="center" vertical="center"/>
    </xf>
    <xf numFmtId="0" fontId="0" fillId="43" borderId="109" xfId="0" applyFill="1" applyBorder="1" applyAlignment="1">
      <alignment horizontal="center" vertical="center"/>
    </xf>
    <xf numFmtId="0" fontId="104" fillId="0" borderId="97" xfId="4" applyFont="1" applyBorder="1" applyAlignment="1">
      <alignment horizontal="left" vertical="center" wrapText="1"/>
    </xf>
    <xf numFmtId="0" fontId="0" fillId="0" borderId="99" xfId="0" applyBorder="1" applyAlignment="1">
      <alignment horizontal="left" wrapText="1"/>
    </xf>
    <xf numFmtId="0" fontId="0" fillId="0" borderId="58" xfId="0" applyBorder="1" applyAlignment="1">
      <alignment horizontal="left" wrapText="1"/>
    </xf>
    <xf numFmtId="0" fontId="0" fillId="0" borderId="91" xfId="0" applyBorder="1" applyAlignment="1">
      <alignment horizontal="left" wrapText="1"/>
    </xf>
    <xf numFmtId="0" fontId="0" fillId="0" borderId="54" xfId="0" applyBorder="1" applyAlignment="1">
      <alignment horizontal="left" wrapText="1"/>
    </xf>
    <xf numFmtId="0" fontId="0" fillId="0" borderId="111" xfId="0" applyBorder="1" applyAlignment="1">
      <alignment horizontal="left" wrapText="1"/>
    </xf>
    <xf numFmtId="0" fontId="0" fillId="0" borderId="102" xfId="0" applyBorder="1" applyAlignment="1">
      <alignment horizontal="left" wrapText="1"/>
    </xf>
    <xf numFmtId="0" fontId="0" fillId="0" borderId="112" xfId="0" applyBorder="1" applyAlignment="1">
      <alignment horizontal="left" wrapText="1"/>
    </xf>
    <xf numFmtId="0" fontId="2" fillId="0" borderId="97" xfId="1" applyFont="1" applyBorder="1" applyAlignment="1">
      <alignment vertical="center" wrapText="1"/>
    </xf>
    <xf numFmtId="0" fontId="10" fillId="0" borderId="99" xfId="1" applyBorder="1" applyAlignment="1">
      <alignment vertical="center" wrapText="1"/>
    </xf>
    <xf numFmtId="0" fontId="10" fillId="0" borderId="58" xfId="1" applyBorder="1" applyAlignment="1">
      <alignment vertical="center" wrapText="1"/>
    </xf>
    <xf numFmtId="0" fontId="10" fillId="0" borderId="91" xfId="1" applyBorder="1" applyAlignment="1">
      <alignment vertical="center" wrapText="1"/>
    </xf>
    <xf numFmtId="0" fontId="10" fillId="0" borderId="0" xfId="1" applyBorder="1" applyAlignment="1">
      <alignment vertical="center" wrapText="1"/>
    </xf>
    <xf numFmtId="0" fontId="10" fillId="0" borderId="54" xfId="1" applyBorder="1" applyAlignment="1">
      <alignment vertical="center" wrapText="1"/>
    </xf>
    <xf numFmtId="0" fontId="10" fillId="0" borderId="111" xfId="1" applyBorder="1" applyAlignment="1">
      <alignment vertical="center" wrapText="1"/>
    </xf>
    <xf numFmtId="0" fontId="10" fillId="0" borderId="102" xfId="1" applyBorder="1" applyAlignment="1">
      <alignment vertical="center" wrapText="1"/>
    </xf>
    <xf numFmtId="0" fontId="10" fillId="0" borderId="112" xfId="1" applyBorder="1" applyAlignment="1">
      <alignment vertical="center" wrapText="1"/>
    </xf>
    <xf numFmtId="0" fontId="9" fillId="0" borderId="108" xfId="1" applyFont="1" applyBorder="1" applyAlignment="1">
      <alignment horizontal="center" vertical="center"/>
    </xf>
    <xf numFmtId="0" fontId="10" fillId="0" borderId="109" xfId="1" applyBorder="1" applyAlignment="1">
      <alignment horizontal="center" vertical="center"/>
    </xf>
    <xf numFmtId="1" fontId="10" fillId="0" borderId="107" xfId="1" applyNumberFormat="1" applyBorder="1" applyAlignment="1">
      <alignment horizontal="center" vertical="center" wrapText="1"/>
    </xf>
    <xf numFmtId="1" fontId="10" fillId="0" borderId="106" xfId="1" applyNumberFormat="1" applyBorder="1" applyAlignment="1">
      <alignment horizontal="center" vertical="center" wrapText="1"/>
    </xf>
    <xf numFmtId="0" fontId="10" fillId="0" borderId="0" xfId="1" applyAlignment="1">
      <alignment horizontal="center" vertical="center" wrapText="1"/>
    </xf>
    <xf numFmtId="0" fontId="2" fillId="0" borderId="97" xfId="1" applyFont="1" applyBorder="1" applyAlignment="1" applyProtection="1">
      <alignment horizontal="center" vertical="center" wrapText="1"/>
      <protection locked="0"/>
    </xf>
    <xf numFmtId="0" fontId="10" fillId="0" borderId="58" xfId="1" applyBorder="1" applyAlignment="1" applyProtection="1">
      <alignment horizontal="center" vertical="center" wrapText="1"/>
      <protection locked="0"/>
    </xf>
    <xf numFmtId="0" fontId="10" fillId="0" borderId="111" xfId="1" applyBorder="1" applyAlignment="1" applyProtection="1">
      <alignment horizontal="center" vertical="center" wrapText="1"/>
      <protection locked="0"/>
    </xf>
    <xf numFmtId="0" fontId="10" fillId="0" borderId="112" xfId="1" applyBorder="1" applyAlignment="1" applyProtection="1">
      <alignment horizontal="center" vertical="center" wrapText="1"/>
      <protection locked="0"/>
    </xf>
    <xf numFmtId="0" fontId="1" fillId="0" borderId="97" xfId="1" applyFont="1" applyBorder="1" applyAlignment="1" applyProtection="1">
      <alignment horizontal="center" vertical="center" wrapText="1"/>
      <protection locked="0"/>
    </xf>
    <xf numFmtId="0" fontId="13" fillId="0" borderId="101" xfId="0" applyFont="1" applyFill="1" applyBorder="1" applyAlignment="1">
      <alignment horizontal="center" wrapText="1"/>
    </xf>
    <xf numFmtId="0" fontId="0" fillId="0" borderId="92" xfId="0" applyBorder="1" applyAlignment="1">
      <alignment horizontal="center" wrapText="1"/>
    </xf>
    <xf numFmtId="0" fontId="0" fillId="0" borderId="100" xfId="0" applyBorder="1" applyAlignment="1">
      <alignment horizontal="center" wrapText="1"/>
    </xf>
    <xf numFmtId="0" fontId="117" fillId="45" borderId="101" xfId="0" applyFont="1" applyFill="1" applyBorder="1" applyAlignment="1">
      <alignment wrapText="1"/>
    </xf>
    <xf numFmtId="0" fontId="0" fillId="45" borderId="100" xfId="0" applyFill="1" applyBorder="1" applyAlignment="1">
      <alignment wrapText="1"/>
    </xf>
    <xf numFmtId="0" fontId="114" fillId="45" borderId="98" xfId="0" applyFont="1" applyFill="1" applyBorder="1" applyAlignment="1">
      <alignment wrapText="1"/>
    </xf>
    <xf numFmtId="0" fontId="114" fillId="40" borderId="0" xfId="0" applyFont="1" applyFill="1" applyBorder="1" applyAlignment="1">
      <alignment wrapText="1"/>
    </xf>
    <xf numFmtId="0" fontId="13" fillId="45" borderId="98" xfId="0" applyFont="1" applyFill="1" applyBorder="1" applyAlignment="1">
      <alignment wrapText="1"/>
    </xf>
    <xf numFmtId="0" fontId="0" fillId="45" borderId="98" xfId="0" applyFill="1" applyBorder="1" applyAlignment="1">
      <alignment wrapText="1"/>
    </xf>
    <xf numFmtId="0" fontId="13" fillId="0" borderId="97" xfId="0" applyFont="1" applyBorder="1" applyAlignment="1">
      <alignment vertical="center" wrapText="1"/>
    </xf>
    <xf numFmtId="0" fontId="0" fillId="0" borderId="111" xfId="0" applyBorder="1" applyAlignment="1">
      <alignment vertical="center" wrapText="1"/>
    </xf>
    <xf numFmtId="0" fontId="0" fillId="0" borderId="102" xfId="0" applyBorder="1" applyAlignment="1">
      <alignment vertical="center" wrapText="1"/>
    </xf>
    <xf numFmtId="0" fontId="0" fillId="0" borderId="112" xfId="0" applyBorder="1" applyAlignment="1">
      <alignment vertical="center" wrapText="1"/>
    </xf>
    <xf numFmtId="0" fontId="13" fillId="51" borderId="101" xfId="0" applyFont="1" applyFill="1" applyBorder="1" applyAlignment="1">
      <alignment horizontal="center" wrapText="1"/>
    </xf>
    <xf numFmtId="0" fontId="0" fillId="51" borderId="92" xfId="0" applyFill="1" applyBorder="1" applyAlignment="1">
      <alignment horizontal="center" wrapText="1"/>
    </xf>
    <xf numFmtId="0" fontId="0" fillId="51" borderId="100" xfId="0" applyFill="1" applyBorder="1" applyAlignment="1">
      <alignment horizontal="center" wrapText="1"/>
    </xf>
    <xf numFmtId="0" fontId="111" fillId="0" borderId="113" xfId="0" applyFont="1" applyBorder="1" applyAlignment="1">
      <alignment horizontal="center" vertical="center" wrapText="1"/>
    </xf>
    <xf numFmtId="0" fontId="0" fillId="0" borderId="119" xfId="0" applyBorder="1" applyAlignment="1">
      <alignment horizontal="center" vertical="center" wrapText="1"/>
    </xf>
    <xf numFmtId="0" fontId="0" fillId="0" borderId="114" xfId="0" applyBorder="1" applyAlignment="1">
      <alignment horizontal="center" vertical="center" wrapText="1"/>
    </xf>
    <xf numFmtId="0" fontId="0" fillId="0" borderId="133" xfId="0" applyBorder="1" applyAlignment="1">
      <alignment horizontal="center" vertical="center" wrapText="1"/>
    </xf>
    <xf numFmtId="0" fontId="0" fillId="0" borderId="96" xfId="0" applyBorder="1" applyAlignment="1">
      <alignment horizontal="center" vertical="center" wrapText="1"/>
    </xf>
    <xf numFmtId="0" fontId="0" fillId="0" borderId="134" xfId="0" applyBorder="1" applyAlignment="1">
      <alignment horizontal="center" vertical="center" wrapText="1"/>
    </xf>
    <xf numFmtId="9" fontId="13" fillId="45" borderId="98" xfId="0" applyNumberFormat="1" applyFont="1" applyFill="1" applyBorder="1" applyAlignment="1">
      <alignment wrapText="1"/>
    </xf>
    <xf numFmtId="9" fontId="0" fillId="45" borderId="98" xfId="0" applyNumberFormat="1" applyFill="1" applyBorder="1" applyAlignment="1">
      <alignment wrapText="1"/>
    </xf>
    <xf numFmtId="0" fontId="13" fillId="45" borderId="101" xfId="0" applyFont="1" applyFill="1" applyBorder="1" applyAlignment="1">
      <alignment wrapText="1"/>
    </xf>
    <xf numFmtId="0" fontId="13" fillId="51" borderId="97" xfId="0" applyFont="1" applyFill="1" applyBorder="1" applyAlignment="1">
      <alignment horizontal="center" vertical="center" wrapText="1"/>
    </xf>
    <xf numFmtId="0" fontId="0" fillId="51" borderId="99" xfId="0" applyFill="1" applyBorder="1" applyAlignment="1">
      <alignment horizontal="center" vertical="center" wrapText="1"/>
    </xf>
    <xf numFmtId="0" fontId="0" fillId="51" borderId="58" xfId="0" applyFill="1" applyBorder="1" applyAlignment="1">
      <alignment horizontal="center" vertical="center" wrapText="1"/>
    </xf>
    <xf numFmtId="0" fontId="0" fillId="51" borderId="111" xfId="0" applyFill="1" applyBorder="1" applyAlignment="1">
      <alignment horizontal="center" vertical="center" wrapText="1"/>
    </xf>
    <xf numFmtId="0" fontId="0" fillId="51" borderId="102" xfId="0" applyFill="1" applyBorder="1" applyAlignment="1">
      <alignment horizontal="center" vertical="center" wrapText="1"/>
    </xf>
    <xf numFmtId="0" fontId="0" fillId="51" borderId="112" xfId="0" applyFill="1" applyBorder="1" applyAlignment="1">
      <alignment horizontal="center" vertical="center" wrapText="1"/>
    </xf>
    <xf numFmtId="0" fontId="113" fillId="4" borderId="98" xfId="0" applyFont="1" applyFill="1" applyBorder="1" applyAlignment="1">
      <alignment horizontal="left" vertical="center"/>
    </xf>
    <xf numFmtId="0" fontId="0" fillId="40" borderId="0" xfId="0" applyFill="1" applyAlignment="1">
      <alignment wrapText="1"/>
    </xf>
    <xf numFmtId="0" fontId="113" fillId="28" borderId="101" xfId="0" applyFont="1" applyFill="1" applyBorder="1" applyAlignment="1">
      <alignment horizontal="left" vertical="center"/>
    </xf>
    <xf numFmtId="0" fontId="13" fillId="0" borderId="100" xfId="0" applyFont="1" applyBorder="1" applyAlignment="1">
      <alignment horizontal="left" vertical="center"/>
    </xf>
    <xf numFmtId="0" fontId="13" fillId="44" borderId="101" xfId="0" applyFont="1" applyFill="1" applyBorder="1" applyAlignment="1">
      <alignment horizontal="center" wrapText="1"/>
    </xf>
    <xf numFmtId="0" fontId="0" fillId="44" borderId="92" xfId="0" applyFill="1" applyBorder="1" applyAlignment="1">
      <alignment horizontal="center" wrapText="1"/>
    </xf>
    <xf numFmtId="0" fontId="0" fillId="44" borderId="100" xfId="0" applyFill="1" applyBorder="1" applyAlignment="1">
      <alignment horizontal="center" wrapText="1"/>
    </xf>
    <xf numFmtId="0" fontId="13" fillId="0" borderId="97" xfId="0" applyFont="1" applyBorder="1" applyAlignment="1">
      <alignment horizontal="center" vertical="center" wrapText="1"/>
    </xf>
    <xf numFmtId="0" fontId="0" fillId="0" borderId="91" xfId="0" applyBorder="1" applyAlignment="1">
      <alignment wrapText="1"/>
    </xf>
    <xf numFmtId="0" fontId="0" fillId="0" borderId="0" xfId="0" applyBorder="1" applyAlignment="1">
      <alignment wrapText="1"/>
    </xf>
    <xf numFmtId="0" fontId="0" fillId="0" borderId="54" xfId="0" applyBorder="1" applyAlignment="1">
      <alignment wrapText="1"/>
    </xf>
    <xf numFmtId="0" fontId="13" fillId="39" borderId="101" xfId="0" applyFont="1" applyFill="1" applyBorder="1" applyAlignment="1">
      <alignment horizontal="center" wrapText="1"/>
    </xf>
    <xf numFmtId="4" fontId="0" fillId="38" borderId="97" xfId="0" applyNumberFormat="1" applyFill="1" applyBorder="1" applyAlignment="1">
      <alignment horizontal="center" vertical="center" wrapText="1"/>
    </xf>
    <xf numFmtId="4" fontId="0" fillId="38" borderId="58" xfId="0" applyNumberFormat="1" applyFill="1" applyBorder="1" applyAlignment="1">
      <alignment horizontal="center" vertical="center" wrapText="1"/>
    </xf>
    <xf numFmtId="4" fontId="0" fillId="38" borderId="111" xfId="0" applyNumberFormat="1" applyFill="1" applyBorder="1" applyAlignment="1">
      <alignment horizontal="center" vertical="center" wrapText="1"/>
    </xf>
    <xf numFmtId="4" fontId="0" fillId="38" borderId="112" xfId="0" applyNumberFormat="1" applyFill="1" applyBorder="1" applyAlignment="1">
      <alignment horizontal="center" vertical="center" wrapText="1"/>
    </xf>
    <xf numFmtId="1" fontId="0" fillId="50" borderId="98" xfId="0" applyNumberFormat="1" applyFill="1" applyBorder="1" applyAlignment="1">
      <alignment horizontal="center" vertical="center" wrapText="1"/>
    </xf>
    <xf numFmtId="0" fontId="13" fillId="39" borderId="98" xfId="0" applyFont="1" applyFill="1" applyBorder="1" applyAlignment="1">
      <alignment horizontal="center" wrapText="1"/>
    </xf>
    <xf numFmtId="0" fontId="0" fillId="39" borderId="98" xfId="0" applyFill="1" applyBorder="1" applyAlignment="1">
      <alignment horizontal="center" wrapText="1"/>
    </xf>
    <xf numFmtId="4" fontId="0" fillId="50" borderId="91" xfId="0" applyNumberFormat="1" applyFill="1" applyBorder="1" applyAlignment="1">
      <alignment horizontal="center" vertical="center" wrapText="1"/>
    </xf>
    <xf numFmtId="0" fontId="0" fillId="50" borderId="54" xfId="0" applyFill="1" applyBorder="1" applyAlignment="1">
      <alignment horizontal="center" vertical="center" wrapText="1"/>
    </xf>
    <xf numFmtId="0" fontId="0" fillId="50" borderId="91" xfId="0" applyFill="1" applyBorder="1" applyAlignment="1">
      <alignment horizontal="center" vertical="center" wrapText="1"/>
    </xf>
    <xf numFmtId="0" fontId="0" fillId="50" borderId="111" xfId="0" applyFill="1" applyBorder="1" applyAlignment="1">
      <alignment horizontal="center" vertical="center" wrapText="1"/>
    </xf>
    <xf numFmtId="0" fontId="0" fillId="50" borderId="112" xfId="0" applyFill="1" applyBorder="1" applyAlignment="1">
      <alignment horizontal="center" vertical="center" wrapText="1"/>
    </xf>
    <xf numFmtId="10" fontId="0" fillId="38" borderId="97" xfId="0" applyNumberFormat="1" applyFill="1" applyBorder="1" applyAlignment="1">
      <alignment horizontal="center" vertical="center" wrapText="1"/>
    </xf>
    <xf numFmtId="10" fontId="0" fillId="38" borderId="58" xfId="0" applyNumberFormat="1" applyFill="1" applyBorder="1" applyAlignment="1">
      <alignment horizontal="center" vertical="center" wrapText="1"/>
    </xf>
    <xf numFmtId="10" fontId="0" fillId="38" borderId="111" xfId="0" applyNumberFormat="1" applyFill="1" applyBorder="1" applyAlignment="1">
      <alignment horizontal="center" vertical="center" wrapText="1"/>
    </xf>
    <xf numFmtId="10" fontId="0" fillId="38" borderId="112" xfId="0" applyNumberFormat="1" applyFill="1" applyBorder="1" applyAlignment="1">
      <alignment horizontal="center" vertical="center" wrapText="1"/>
    </xf>
    <xf numFmtId="0" fontId="13" fillId="47" borderId="98" xfId="0" applyFont="1" applyFill="1" applyBorder="1" applyAlignment="1">
      <alignment horizontal="center" wrapText="1"/>
    </xf>
    <xf numFmtId="0" fontId="0" fillId="47" borderId="98" xfId="0" applyFill="1" applyBorder="1" applyAlignment="1">
      <alignment horizontal="center" wrapText="1"/>
    </xf>
    <xf numFmtId="1" fontId="0" fillId="50" borderId="97" xfId="0" applyNumberFormat="1" applyFill="1" applyBorder="1" applyAlignment="1">
      <alignment horizontal="center" vertical="center" wrapText="1"/>
    </xf>
    <xf numFmtId="1" fontId="0" fillId="50" borderId="58" xfId="0" applyNumberFormat="1" applyFill="1" applyBorder="1" applyAlignment="1">
      <alignment horizontal="center" vertical="center" wrapText="1"/>
    </xf>
    <xf numFmtId="1" fontId="0" fillId="50" borderId="111" xfId="0" applyNumberFormat="1" applyFill="1" applyBorder="1" applyAlignment="1">
      <alignment horizontal="center" vertical="center" wrapText="1"/>
    </xf>
    <xf numFmtId="1" fontId="0" fillId="50" borderId="112" xfId="0" applyNumberFormat="1" applyFill="1" applyBorder="1" applyAlignment="1">
      <alignment horizontal="center" vertical="center" wrapText="1"/>
    </xf>
    <xf numFmtId="0" fontId="13" fillId="44" borderId="92" xfId="0" applyFont="1" applyFill="1" applyBorder="1" applyAlignment="1">
      <alignment horizontal="center" wrapText="1"/>
    </xf>
    <xf numFmtId="1" fontId="108" fillId="50" borderId="58" xfId="0" applyNumberFormat="1" applyFont="1" applyFill="1" applyBorder="1" applyAlignment="1">
      <alignment horizontal="center" vertical="center" wrapText="1"/>
    </xf>
    <xf numFmtId="1" fontId="108" fillId="50" borderId="54" xfId="0" applyNumberFormat="1" applyFont="1" applyFill="1" applyBorder="1" applyAlignment="1">
      <alignment horizontal="center" vertical="center" wrapText="1"/>
    </xf>
    <xf numFmtId="0" fontId="108" fillId="0" borderId="54" xfId="0" applyFont="1" applyBorder="1" applyAlignment="1">
      <alignment wrapText="1"/>
    </xf>
    <xf numFmtId="0" fontId="0" fillId="0" borderId="54" xfId="0" applyFill="1" applyBorder="1" applyAlignment="1">
      <alignment wrapText="1"/>
    </xf>
    <xf numFmtId="0" fontId="13" fillId="0" borderId="0" xfId="0" applyFont="1" applyFill="1" applyBorder="1" applyAlignment="1">
      <alignment horizontal="center" vertical="center" wrapText="1"/>
    </xf>
    <xf numFmtId="0" fontId="13" fillId="0" borderId="58" xfId="0" applyFont="1" applyFill="1" applyBorder="1" applyAlignment="1">
      <alignment vertical="center" wrapText="1"/>
    </xf>
    <xf numFmtId="0" fontId="13" fillId="0" borderId="97"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Border="1" applyAlignment="1">
      <alignment wrapText="1"/>
    </xf>
    <xf numFmtId="10" fontId="13" fillId="0" borderId="0" xfId="0" applyNumberFormat="1" applyFont="1" applyFill="1" applyBorder="1" applyAlignment="1">
      <alignment vertical="center" wrapText="1"/>
    </xf>
    <xf numFmtId="0" fontId="13" fillId="40" borderId="112" xfId="0" applyFont="1" applyFill="1" applyBorder="1" applyAlignment="1">
      <alignment horizontal="left" vertical="center" wrapText="1"/>
    </xf>
    <xf numFmtId="0" fontId="0" fillId="40" borderId="109" xfId="0" applyFill="1" applyBorder="1" applyAlignment="1">
      <alignment horizontal="left" vertical="center" wrapText="1"/>
    </xf>
    <xf numFmtId="0" fontId="0" fillId="40" borderId="98" xfId="0" applyFill="1" applyBorder="1" applyAlignment="1">
      <alignment horizontal="left" vertical="center" wrapText="1"/>
    </xf>
    <xf numFmtId="0" fontId="18" fillId="40" borderId="0" xfId="0" applyFont="1" applyFill="1" applyAlignment="1">
      <alignment wrapText="1"/>
    </xf>
    <xf numFmtId="0" fontId="18" fillId="40" borderId="54" xfId="0" applyFont="1" applyFill="1" applyBorder="1" applyAlignment="1">
      <alignment wrapText="1"/>
    </xf>
    <xf numFmtId="10" fontId="13" fillId="40" borderId="112" xfId="0" applyNumberFormat="1" applyFont="1" applyFill="1" applyBorder="1" applyAlignment="1">
      <alignment vertical="center" wrapText="1"/>
    </xf>
    <xf numFmtId="10" fontId="0" fillId="40" borderId="111" xfId="0" applyNumberFormat="1" applyFill="1" applyBorder="1" applyAlignment="1">
      <alignment vertical="center" wrapText="1"/>
    </xf>
    <xf numFmtId="0" fontId="121" fillId="47" borderId="97" xfId="0" applyFont="1" applyFill="1" applyBorder="1" applyAlignment="1">
      <alignment horizontal="center" vertical="center" wrapText="1"/>
    </xf>
    <xf numFmtId="0" fontId="109" fillId="47" borderId="99" xfId="0" applyFont="1" applyFill="1" applyBorder="1" applyAlignment="1">
      <alignment horizontal="center" vertical="center" wrapText="1"/>
    </xf>
    <xf numFmtId="0" fontId="109" fillId="47" borderId="58" xfId="0" applyFont="1" applyFill="1" applyBorder="1" applyAlignment="1">
      <alignment horizontal="center" vertical="center" wrapText="1"/>
    </xf>
    <xf numFmtId="0" fontId="109" fillId="47" borderId="111" xfId="0" applyFont="1" applyFill="1" applyBorder="1" applyAlignment="1">
      <alignment horizontal="center" vertical="center" wrapText="1"/>
    </xf>
    <xf numFmtId="0" fontId="109" fillId="47" borderId="102" xfId="0" applyFont="1" applyFill="1" applyBorder="1" applyAlignment="1">
      <alignment horizontal="center" vertical="center" wrapText="1"/>
    </xf>
    <xf numFmtId="0" fontId="109" fillId="47" borderId="112" xfId="0" applyFont="1" applyFill="1" applyBorder="1" applyAlignment="1">
      <alignment horizontal="center" vertical="center" wrapText="1"/>
    </xf>
    <xf numFmtId="0" fontId="13" fillId="44" borderId="98" xfId="0" applyFont="1" applyFill="1" applyBorder="1" applyAlignment="1">
      <alignment horizontal="center" wrapText="1"/>
    </xf>
    <xf numFmtId="0" fontId="0" fillId="44" borderId="98" xfId="0" applyFill="1" applyBorder="1" applyAlignment="1">
      <alignment horizontal="center" wrapText="1"/>
    </xf>
    <xf numFmtId="9" fontId="0" fillId="38" borderId="97" xfId="0" applyNumberFormat="1" applyFill="1" applyBorder="1" applyAlignment="1">
      <alignment horizontal="center" vertical="center" wrapText="1"/>
    </xf>
    <xf numFmtId="9" fontId="0" fillId="38" borderId="99" xfId="0" applyNumberFormat="1" applyFill="1" applyBorder="1" applyAlignment="1">
      <alignment horizontal="center" vertical="center" wrapText="1"/>
    </xf>
    <xf numFmtId="9" fontId="0" fillId="38" borderId="111" xfId="0" applyNumberFormat="1" applyFill="1" applyBorder="1" applyAlignment="1">
      <alignment horizontal="center" vertical="center" wrapText="1"/>
    </xf>
    <xf numFmtId="9" fontId="0" fillId="38" borderId="102" xfId="0" applyNumberFormat="1" applyFill="1" applyBorder="1" applyAlignment="1">
      <alignment horizontal="center" vertical="center" wrapText="1"/>
    </xf>
    <xf numFmtId="0" fontId="0" fillId="50" borderId="97" xfId="0" applyFill="1" applyBorder="1" applyAlignment="1">
      <alignment horizontal="center" vertical="center" wrapText="1"/>
    </xf>
    <xf numFmtId="0" fontId="0" fillId="50" borderId="99" xfId="0" applyFill="1" applyBorder="1" applyAlignment="1">
      <alignment horizontal="center" vertical="center" wrapText="1"/>
    </xf>
    <xf numFmtId="0" fontId="0" fillId="50" borderId="58" xfId="0" applyFill="1" applyBorder="1" applyAlignment="1">
      <alignment horizontal="center" vertical="center" wrapText="1"/>
    </xf>
    <xf numFmtId="0" fontId="0" fillId="50" borderId="102" xfId="0" applyFill="1" applyBorder="1" applyAlignment="1">
      <alignment horizontal="center" vertical="center" wrapText="1"/>
    </xf>
    <xf numFmtId="0" fontId="13" fillId="45" borderId="98" xfId="0" applyFont="1" applyFill="1" applyBorder="1" applyAlignment="1">
      <alignment horizontal="center" wrapText="1"/>
    </xf>
    <xf numFmtId="0" fontId="0" fillId="45" borderId="98" xfId="0" applyFill="1" applyBorder="1" applyAlignment="1">
      <alignment horizontal="center" wrapText="1"/>
    </xf>
    <xf numFmtId="0" fontId="13" fillId="45" borderId="101" xfId="0" applyFont="1" applyFill="1" applyBorder="1" applyAlignment="1">
      <alignment horizontal="center" wrapText="1"/>
    </xf>
    <xf numFmtId="0" fontId="13" fillId="0" borderId="58" xfId="0" applyFont="1" applyFill="1" applyBorder="1" applyAlignment="1">
      <alignment wrapText="1"/>
    </xf>
    <xf numFmtId="0" fontId="0" fillId="0" borderId="108" xfId="0" applyBorder="1" applyAlignment="1">
      <alignment wrapText="1"/>
    </xf>
    <xf numFmtId="0" fontId="114" fillId="0" borderId="137" xfId="0" applyNumberFormat="1" applyFont="1" applyFill="1" applyBorder="1" applyAlignment="1">
      <alignment horizontal="center" vertical="center" wrapText="1"/>
    </xf>
    <xf numFmtId="0" fontId="114" fillId="0" borderId="138" xfId="0" applyFont="1" applyBorder="1" applyAlignment="1">
      <alignment horizontal="center" vertical="center" wrapText="1"/>
    </xf>
    <xf numFmtId="0" fontId="114" fillId="0" borderId="139" xfId="0" applyFont="1" applyBorder="1" applyAlignment="1">
      <alignment horizontal="center" vertical="center" wrapText="1"/>
    </xf>
    <xf numFmtId="0" fontId="114" fillId="0" borderId="140" xfId="0" applyFont="1" applyBorder="1" applyAlignment="1">
      <alignment horizontal="center" vertical="center" wrapText="1"/>
    </xf>
    <xf numFmtId="0" fontId="113" fillId="0" borderId="97" xfId="0" applyNumberFormat="1" applyFont="1" applyFill="1" applyBorder="1" applyAlignment="1">
      <alignment horizontal="center" vertical="center" wrapText="1"/>
    </xf>
    <xf numFmtId="10" fontId="108" fillId="50" borderId="58" xfId="0" applyNumberFormat="1" applyFont="1" applyFill="1" applyBorder="1" applyAlignment="1">
      <alignment horizontal="center" vertical="center" wrapText="1"/>
    </xf>
    <xf numFmtId="0" fontId="108" fillId="50" borderId="54" xfId="0" applyFont="1" applyFill="1" applyBorder="1" applyAlignment="1">
      <alignment horizontal="center" vertical="center" wrapText="1"/>
    </xf>
    <xf numFmtId="0" fontId="113" fillId="0" borderId="0" xfId="0" applyFont="1" applyFill="1" applyBorder="1" applyAlignment="1">
      <alignment horizontal="left" vertical="center"/>
    </xf>
    <xf numFmtId="0" fontId="0" fillId="0" borderId="0" xfId="0" applyFill="1" applyBorder="1" applyAlignment="1">
      <alignment horizontal="left" vertical="center"/>
    </xf>
    <xf numFmtId="0" fontId="122" fillId="0" borderId="101" xfId="0" applyFont="1" applyFill="1" applyBorder="1" applyAlignment="1">
      <alignment horizontal="center" vertical="center" wrapText="1"/>
    </xf>
    <xf numFmtId="0" fontId="104" fillId="0" borderId="100" xfId="0" applyFont="1" applyBorder="1" applyAlignment="1">
      <alignment horizontal="center" vertical="center" wrapText="1"/>
    </xf>
    <xf numFmtId="0" fontId="114" fillId="40" borderId="0" xfId="0" applyFont="1" applyFill="1" applyAlignment="1">
      <alignment wrapText="1"/>
    </xf>
    <xf numFmtId="0" fontId="13" fillId="0" borderId="101" xfId="0" applyFont="1" applyBorder="1" applyAlignment="1">
      <alignment wrapText="1"/>
    </xf>
    <xf numFmtId="0" fontId="0" fillId="0" borderId="92" xfId="0" applyBorder="1" applyAlignment="1">
      <alignment wrapText="1"/>
    </xf>
    <xf numFmtId="0" fontId="113" fillId="28" borderId="100" xfId="0" applyFont="1" applyFill="1" applyBorder="1" applyAlignment="1">
      <alignment horizontal="left" vertical="center"/>
    </xf>
    <xf numFmtId="0" fontId="113" fillId="28" borderId="97" xfId="0" applyFont="1" applyFill="1" applyBorder="1" applyAlignment="1">
      <alignment horizontal="left" vertical="center"/>
    </xf>
    <xf numFmtId="0" fontId="113" fillId="28" borderId="58" xfId="0" applyFont="1" applyFill="1" applyBorder="1" applyAlignment="1">
      <alignment horizontal="left" vertical="center"/>
    </xf>
    <xf numFmtId="0" fontId="113" fillId="0" borderId="0" xfId="0" applyNumberFormat="1" applyFont="1" applyFill="1" applyBorder="1" applyAlignment="1">
      <alignment horizontal="center" vertical="center" wrapText="1"/>
    </xf>
    <xf numFmtId="0" fontId="0" fillId="0" borderId="91" xfId="0" applyNumberFormat="1" applyFill="1" applyBorder="1" applyAlignment="1">
      <alignment wrapText="1"/>
    </xf>
    <xf numFmtId="0" fontId="114" fillId="0" borderId="91" xfId="0" applyNumberFormat="1" applyFont="1" applyFill="1" applyBorder="1" applyAlignment="1">
      <alignment wrapText="1"/>
    </xf>
    <xf numFmtId="0" fontId="114" fillId="0" borderId="0" xfId="0" applyFont="1" applyBorder="1" applyAlignment="1">
      <alignment wrapText="1"/>
    </xf>
    <xf numFmtId="0" fontId="114" fillId="0" borderId="54" xfId="0" applyFont="1" applyBorder="1" applyAlignment="1">
      <alignment wrapText="1"/>
    </xf>
    <xf numFmtId="0" fontId="118" fillId="0" borderId="91" xfId="0" applyNumberFormat="1" applyFont="1" applyFill="1" applyBorder="1" applyAlignment="1">
      <alignment wrapText="1"/>
    </xf>
    <xf numFmtId="0" fontId="118" fillId="0" borderId="0" xfId="0" applyFont="1" applyBorder="1" applyAlignment="1">
      <alignment wrapText="1"/>
    </xf>
    <xf numFmtId="0" fontId="118" fillId="0" borderId="54" xfId="0" applyFont="1" applyBorder="1" applyAlignment="1">
      <alignment wrapText="1"/>
    </xf>
    <xf numFmtId="0" fontId="118" fillId="0" borderId="111" xfId="0" applyNumberFormat="1" applyFont="1" applyFill="1" applyBorder="1" applyAlignment="1">
      <alignment wrapText="1"/>
    </xf>
    <xf numFmtId="0" fontId="118" fillId="0" borderId="102" xfId="0" applyFont="1" applyBorder="1" applyAlignment="1">
      <alignment wrapText="1"/>
    </xf>
    <xf numFmtId="0" fontId="118" fillId="0" borderId="112" xfId="0" applyFont="1" applyBorder="1" applyAlignment="1">
      <alignment wrapText="1"/>
    </xf>
    <xf numFmtId="0" fontId="47" fillId="0" borderId="0" xfId="0" applyFont="1" applyAlignment="1">
      <alignment wrapText="1"/>
    </xf>
    <xf numFmtId="0" fontId="62" fillId="0" borderId="0" xfId="0" applyFont="1" applyAlignment="1">
      <alignment horizontal="left" wrapText="1"/>
    </xf>
  </cellXfs>
  <cellStyles count="6">
    <cellStyle name="Currency" xfId="5" builtinId="4"/>
    <cellStyle name="Neutral" xfId="3" builtinId="28"/>
    <cellStyle name="Normal" xfId="0" builtinId="0"/>
    <cellStyle name="Normal 2" xfId="1"/>
    <cellStyle name="Normal 3" xfId="2"/>
    <cellStyle name="Normal 4" xfId="4"/>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000000"/>
      </font>
    </dxf>
    <dxf>
      <font>
        <color rgb="FF0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https://docs.google.com/file/d/0B16HGMLxB14DZERqemlIN05IYmc/edit?usp=sharing"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docs.google.com/file/d/0B16HGMLxB14DTkZvZ1FqYWFLX00/edit?usp=sharing"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www.reddit.com/r/Diablo3Monks/comments/1g0p8o/innas_radiance_sweeping_wind_bonus_vs_fists_of/"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824051</xdr:colOff>
      <xdr:row>0</xdr:row>
      <xdr:rowOff>0</xdr:rowOff>
    </xdr:from>
    <xdr:to>
      <xdr:col>9</xdr:col>
      <xdr:colOff>895350</xdr:colOff>
      <xdr:row>32</xdr:row>
      <xdr:rowOff>38100</xdr:rowOff>
    </xdr:to>
    <xdr:pic>
      <xdr:nvPicPr>
        <xdr:cNvPr id="2" name="Picture 1" descr="diablo-3-monk.jpg"/>
        <xdr:cNvPicPr>
          <a:picLocks noChangeAspect="1"/>
        </xdr:cNvPicPr>
      </xdr:nvPicPr>
      <xdr:blipFill>
        <a:blip xmlns:r="http://schemas.openxmlformats.org/officeDocument/2006/relationships" r:embed="rId1" cstate="print"/>
        <a:stretch>
          <a:fillRect/>
        </a:stretch>
      </xdr:blipFill>
      <xdr:spPr>
        <a:xfrm>
          <a:off x="10872926" y="0"/>
          <a:ext cx="5776774" cy="7439025"/>
        </a:xfrm>
        <a:prstGeom prst="rect">
          <a:avLst/>
        </a:prstGeom>
      </xdr:spPr>
    </xdr:pic>
    <xdr:clientData/>
  </xdr:twoCellAnchor>
  <xdr:twoCellAnchor editAs="oneCell">
    <xdr:from>
      <xdr:col>0</xdr:col>
      <xdr:colOff>0</xdr:colOff>
      <xdr:row>29</xdr:row>
      <xdr:rowOff>104775</xdr:rowOff>
    </xdr:from>
    <xdr:to>
      <xdr:col>1</xdr:col>
      <xdr:colOff>1238250</xdr:colOff>
      <xdr:row>39</xdr:row>
      <xdr:rowOff>57150</xdr:rowOff>
    </xdr:to>
    <xdr:pic>
      <xdr:nvPicPr>
        <xdr:cNvPr id="5" name="Picture 4" descr="d3.jpg"/>
        <xdr:cNvPicPr>
          <a:picLocks noChangeAspect="1"/>
        </xdr:cNvPicPr>
      </xdr:nvPicPr>
      <xdr:blipFill>
        <a:blip xmlns:r="http://schemas.openxmlformats.org/officeDocument/2006/relationships" r:embed="rId2" cstate="print"/>
        <a:stretch>
          <a:fillRect/>
        </a:stretch>
      </xdr:blipFill>
      <xdr:spPr>
        <a:xfrm>
          <a:off x="0" y="7019925"/>
          <a:ext cx="2905125" cy="1571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3352799</xdr:colOff>
      <xdr:row>7</xdr:row>
      <xdr:rowOff>0</xdr:rowOff>
    </xdr:from>
    <xdr:to>
      <xdr:col>0</xdr:col>
      <xdr:colOff>3609974</xdr:colOff>
      <xdr:row>8</xdr:row>
      <xdr:rowOff>38100</xdr:rowOff>
    </xdr:to>
    <xdr:sp macro="" textlink="">
      <xdr:nvSpPr>
        <xdr:cNvPr id="2" name="Plus 1">
          <a:hlinkClick xmlns:r="http://schemas.openxmlformats.org/officeDocument/2006/relationships" r:id="rId1"/>
        </xdr:cNvPr>
        <xdr:cNvSpPr/>
      </xdr:nvSpPr>
      <xdr:spPr>
        <a:xfrm>
          <a:off x="3352799" y="1419225"/>
          <a:ext cx="257175" cy="228600"/>
        </a:xfrm>
        <a:prstGeom prst="mathPlus">
          <a:avLst>
            <a:gd name="adj1"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1257300</xdr:colOff>
      <xdr:row>1</xdr:row>
      <xdr:rowOff>19050</xdr:rowOff>
    </xdr:from>
    <xdr:to>
      <xdr:col>6</xdr:col>
      <xdr:colOff>1647825</xdr:colOff>
      <xdr:row>2</xdr:row>
      <xdr:rowOff>180975</xdr:rowOff>
    </xdr:to>
    <xdr:sp macro="" textlink="">
      <xdr:nvSpPr>
        <xdr:cNvPr id="2" name="Plus 1">
          <a:hlinkClick xmlns:r="http://schemas.openxmlformats.org/officeDocument/2006/relationships" r:id="rId1"/>
        </xdr:cNvPr>
        <xdr:cNvSpPr/>
      </xdr:nvSpPr>
      <xdr:spPr>
        <a:xfrm>
          <a:off x="8810625" y="209550"/>
          <a:ext cx="390525" cy="3524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133350</xdr:colOff>
      <xdr:row>23</xdr:row>
      <xdr:rowOff>133350</xdr:rowOff>
    </xdr:from>
    <xdr:to>
      <xdr:col>7</xdr:col>
      <xdr:colOff>457200</xdr:colOff>
      <xdr:row>26</xdr:row>
      <xdr:rowOff>19050</xdr:rowOff>
    </xdr:to>
    <xdr:sp macro="" textlink="">
      <xdr:nvSpPr>
        <xdr:cNvPr id="2" name="Plus 1">
          <a:hlinkClick xmlns:r="http://schemas.openxmlformats.org/officeDocument/2006/relationships" r:id="rId1"/>
        </xdr:cNvPr>
        <xdr:cNvSpPr/>
      </xdr:nvSpPr>
      <xdr:spPr>
        <a:xfrm>
          <a:off x="5114925" y="3914775"/>
          <a:ext cx="323850" cy="3714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04"/>
  <sheetViews>
    <sheetView workbookViewId="0">
      <selection activeCell="B12" sqref="B12:E12"/>
    </sheetView>
  </sheetViews>
  <sheetFormatPr defaultColWidth="17.140625" defaultRowHeight="12.75" customHeight="1" x14ac:dyDescent="0.2"/>
  <cols>
    <col min="1" max="1" width="25" customWidth="1"/>
    <col min="2" max="2" width="66.140625" customWidth="1"/>
    <col min="3" max="3" width="3.7109375" customWidth="1"/>
    <col min="4" max="4" width="30.85546875" customWidth="1"/>
    <col min="5" max="5" width="25" customWidth="1"/>
    <col min="6" max="6" width="12.42578125" customWidth="1"/>
    <col min="7" max="8" width="25" customWidth="1"/>
    <col min="9" max="9" width="23.140625" customWidth="1"/>
    <col min="10" max="10" width="16.85546875" customWidth="1"/>
    <col min="11" max="11" width="3.5703125" customWidth="1"/>
    <col min="12" max="19" width="25" customWidth="1"/>
  </cols>
  <sheetData>
    <row r="1" spans="1:19" s="240" customFormat="1" ht="12.75" customHeight="1" x14ac:dyDescent="0.2">
      <c r="A1" s="561" t="s">
        <v>415</v>
      </c>
      <c r="B1" s="562"/>
      <c r="C1" s="562"/>
      <c r="D1" s="562"/>
      <c r="E1" s="562"/>
      <c r="F1" s="563"/>
      <c r="I1" s="249"/>
      <c r="J1" s="249"/>
      <c r="K1" s="253"/>
      <c r="L1" s="249"/>
    </row>
    <row r="2" spans="1:19" s="240" customFormat="1" ht="12.75" customHeight="1" x14ac:dyDescent="0.2">
      <c r="A2" s="562"/>
      <c r="B2" s="562"/>
      <c r="C2" s="562"/>
      <c r="D2" s="562"/>
      <c r="E2" s="562"/>
      <c r="F2" s="563"/>
      <c r="I2" s="249"/>
      <c r="J2" s="249"/>
      <c r="K2" s="253"/>
      <c r="L2" s="249"/>
    </row>
    <row r="3" spans="1:19" s="240" customFormat="1" ht="12.75" customHeight="1" x14ac:dyDescent="0.2">
      <c r="A3" s="562"/>
      <c r="B3" s="562"/>
      <c r="C3" s="562"/>
      <c r="D3" s="562"/>
      <c r="E3" s="562"/>
      <c r="F3" s="563"/>
      <c r="I3" s="249"/>
      <c r="J3" s="249"/>
      <c r="K3" s="253"/>
      <c r="L3" s="249"/>
    </row>
    <row r="4" spans="1:19" s="240" customFormat="1" ht="12.75" customHeight="1" x14ac:dyDescent="0.2">
      <c r="A4" s="562"/>
      <c r="B4" s="562"/>
      <c r="C4" s="562"/>
      <c r="D4" s="562"/>
      <c r="E4" s="562"/>
      <c r="F4" s="563"/>
      <c r="I4" s="249"/>
      <c r="J4" s="249"/>
      <c r="K4" s="253"/>
      <c r="L4" s="249"/>
    </row>
    <row r="5" spans="1:19" s="240" customFormat="1" ht="12.75" customHeight="1" x14ac:dyDescent="0.2">
      <c r="A5" s="562"/>
      <c r="B5" s="562"/>
      <c r="C5" s="562"/>
      <c r="D5" s="562"/>
      <c r="E5" s="562"/>
      <c r="F5" s="563"/>
      <c r="I5" s="249"/>
      <c r="J5" s="249"/>
      <c r="K5" s="253"/>
      <c r="L5" s="249"/>
    </row>
    <row r="6" spans="1:19" s="240" customFormat="1" ht="12.75" customHeight="1" x14ac:dyDescent="0.2">
      <c r="A6" s="562"/>
      <c r="B6" s="562"/>
      <c r="C6" s="562"/>
      <c r="D6" s="562"/>
      <c r="E6" s="562"/>
      <c r="F6" s="563"/>
      <c r="I6" s="249"/>
      <c r="J6" s="249"/>
      <c r="K6" s="253"/>
      <c r="L6" s="249"/>
    </row>
    <row r="7" spans="1:19" s="240" customFormat="1" ht="12.75" customHeight="1" x14ac:dyDescent="0.2">
      <c r="A7" s="562"/>
      <c r="B7" s="562"/>
      <c r="C7" s="562"/>
      <c r="D7" s="562"/>
      <c r="E7" s="562"/>
      <c r="F7" s="563"/>
      <c r="I7" s="249"/>
      <c r="J7" s="249"/>
      <c r="K7" s="253"/>
      <c r="L7" s="249"/>
    </row>
    <row r="8" spans="1:19" ht="35.1" customHeight="1" thickBot="1" x14ac:dyDescent="0.25">
      <c r="A8" s="250" t="s">
        <v>443</v>
      </c>
      <c r="B8" s="568"/>
      <c r="C8" s="568"/>
      <c r="D8" s="568"/>
      <c r="E8" s="251" t="s">
        <v>233</v>
      </c>
      <c r="F8" s="252"/>
      <c r="G8" s="5"/>
      <c r="H8" s="5"/>
      <c r="I8" s="245"/>
      <c r="J8" s="245"/>
      <c r="K8" s="254"/>
      <c r="L8" s="245"/>
      <c r="M8" s="5"/>
      <c r="N8" s="5"/>
      <c r="O8" s="5"/>
      <c r="P8" s="5"/>
      <c r="Q8" s="5"/>
      <c r="R8" s="5"/>
      <c r="S8" s="5"/>
    </row>
    <row r="9" spans="1:19" ht="38.25" customHeight="1" thickTop="1" thickBot="1" x14ac:dyDescent="0.25">
      <c r="A9" s="566" t="s">
        <v>417</v>
      </c>
      <c r="B9" s="567"/>
      <c r="C9" s="567"/>
      <c r="D9" s="567"/>
      <c r="E9" s="567"/>
      <c r="F9" s="255"/>
      <c r="G9" s="5"/>
      <c r="H9" s="5"/>
      <c r="I9" s="245"/>
      <c r="J9" s="245"/>
      <c r="K9" s="254"/>
      <c r="L9" s="245"/>
      <c r="M9" s="5"/>
      <c r="N9" s="5"/>
      <c r="O9" s="5"/>
      <c r="P9" s="5"/>
      <c r="Q9" s="5"/>
      <c r="R9" s="5"/>
      <c r="S9" s="5"/>
    </row>
    <row r="10" spans="1:19" ht="38.25" customHeight="1" thickTop="1" x14ac:dyDescent="0.2">
      <c r="A10" s="246" t="s">
        <v>0</v>
      </c>
      <c r="B10" s="559" t="s">
        <v>411</v>
      </c>
      <c r="C10" s="560"/>
      <c r="D10" s="560"/>
      <c r="E10" s="560"/>
      <c r="F10" s="247"/>
      <c r="G10" s="5"/>
      <c r="H10" s="5"/>
      <c r="I10" s="245"/>
      <c r="J10" s="245"/>
      <c r="K10" s="254"/>
      <c r="L10" s="245"/>
      <c r="M10" s="5"/>
      <c r="N10" s="5"/>
      <c r="O10" s="5"/>
      <c r="P10" s="5"/>
      <c r="Q10" s="5"/>
      <c r="R10" s="5"/>
      <c r="S10" s="5"/>
    </row>
    <row r="11" spans="1:19" ht="38.25" customHeight="1" x14ac:dyDescent="0.2">
      <c r="A11" s="246" t="s">
        <v>445</v>
      </c>
      <c r="B11" s="559" t="s">
        <v>413</v>
      </c>
      <c r="C11" s="560"/>
      <c r="D11" s="560"/>
      <c r="E11" s="560"/>
      <c r="F11" s="247"/>
      <c r="G11" s="5"/>
      <c r="H11" s="5"/>
      <c r="I11" s="245"/>
      <c r="J11" s="245"/>
      <c r="K11" s="254"/>
      <c r="L11" s="245"/>
      <c r="M11" s="5"/>
      <c r="N11" s="5"/>
      <c r="O11" s="5"/>
      <c r="P11" s="5"/>
      <c r="Q11" s="5"/>
      <c r="R11" s="5"/>
      <c r="S11" s="5"/>
    </row>
    <row r="12" spans="1:19" ht="38.25" customHeight="1" x14ac:dyDescent="0.2">
      <c r="A12" s="246" t="s">
        <v>1</v>
      </c>
      <c r="B12" s="560" t="s">
        <v>2</v>
      </c>
      <c r="C12" s="560"/>
      <c r="D12" s="560"/>
      <c r="E12" s="560"/>
      <c r="F12" s="247"/>
      <c r="G12" s="5"/>
      <c r="H12" s="5"/>
      <c r="I12" s="245"/>
      <c r="J12" s="245"/>
      <c r="K12" s="254"/>
      <c r="L12" s="245"/>
      <c r="M12" s="5"/>
      <c r="N12" s="5"/>
      <c r="O12" s="5"/>
      <c r="P12" s="5"/>
      <c r="Q12" s="5"/>
      <c r="R12" s="5"/>
      <c r="S12" s="5"/>
    </row>
    <row r="13" spans="1:19" ht="38.25" customHeight="1" x14ac:dyDescent="0.2">
      <c r="A13" s="558"/>
      <c r="B13" s="564"/>
      <c r="C13" s="564"/>
      <c r="D13" s="564"/>
      <c r="E13" s="564"/>
      <c r="F13" s="247"/>
      <c r="G13" s="5"/>
      <c r="H13" s="5"/>
      <c r="I13" s="245"/>
      <c r="J13" s="245"/>
      <c r="K13" s="254"/>
      <c r="L13" s="245"/>
      <c r="M13" s="5"/>
      <c r="N13" s="5"/>
      <c r="O13" s="5"/>
      <c r="P13" s="5"/>
      <c r="Q13" s="5"/>
      <c r="R13" s="5"/>
      <c r="S13" s="5"/>
    </row>
    <row r="14" spans="1:19" ht="38.25" customHeight="1" x14ac:dyDescent="0.2">
      <c r="A14" s="246" t="s">
        <v>167</v>
      </c>
      <c r="B14" s="565" t="s">
        <v>412</v>
      </c>
      <c r="C14" s="565"/>
      <c r="D14" s="565"/>
      <c r="E14" s="565"/>
      <c r="F14" s="247"/>
      <c r="G14" s="5"/>
      <c r="H14" s="5"/>
      <c r="I14" s="245"/>
      <c r="J14" s="245"/>
      <c r="K14" s="254"/>
      <c r="L14" s="245"/>
      <c r="M14" s="5"/>
      <c r="N14" s="5"/>
      <c r="O14" s="5"/>
      <c r="P14" s="5"/>
      <c r="Q14" s="5"/>
      <c r="R14" s="5"/>
      <c r="S14" s="5"/>
    </row>
    <row r="15" spans="1:19" ht="12.75" customHeight="1" x14ac:dyDescent="0.2">
      <c r="A15" s="247"/>
      <c r="B15" s="569" t="s">
        <v>414</v>
      </c>
      <c r="C15" s="569"/>
      <c r="D15" s="569"/>
      <c r="E15" s="569"/>
      <c r="F15" s="247"/>
      <c r="G15" s="5"/>
      <c r="H15" s="5"/>
      <c r="I15" s="245"/>
      <c r="J15" s="245"/>
      <c r="K15" s="254"/>
      <c r="L15" s="245"/>
      <c r="M15" s="5"/>
      <c r="N15" s="5"/>
      <c r="O15" s="5"/>
      <c r="P15" s="5"/>
      <c r="Q15" s="5"/>
      <c r="R15" s="5"/>
      <c r="S15" s="5"/>
    </row>
    <row r="16" spans="1:19" x14ac:dyDescent="0.2">
      <c r="A16" s="247"/>
      <c r="B16" s="569"/>
      <c r="C16" s="569"/>
      <c r="D16" s="569"/>
      <c r="E16" s="569"/>
      <c r="F16" s="247"/>
      <c r="G16" s="5"/>
      <c r="H16" s="5"/>
      <c r="I16" s="245"/>
      <c r="J16" s="245"/>
      <c r="K16" s="254"/>
      <c r="L16" s="245"/>
      <c r="M16" s="5"/>
      <c r="N16" s="5"/>
      <c r="O16" s="5"/>
      <c r="P16" s="5"/>
      <c r="Q16" s="5"/>
      <c r="R16" s="5"/>
      <c r="S16" s="5"/>
    </row>
    <row r="17" spans="1:19" x14ac:dyDescent="0.2">
      <c r="A17" s="248"/>
      <c r="B17" s="569"/>
      <c r="C17" s="569"/>
      <c r="D17" s="569"/>
      <c r="E17" s="569"/>
      <c r="F17" s="247"/>
      <c r="G17" s="5"/>
      <c r="H17" s="5"/>
      <c r="I17" s="245"/>
      <c r="J17" s="245"/>
      <c r="K17" s="254"/>
      <c r="L17" s="245"/>
      <c r="M17" s="5"/>
      <c r="N17" s="5"/>
      <c r="O17" s="5"/>
      <c r="P17" s="5"/>
      <c r="Q17" s="5"/>
      <c r="R17" s="5"/>
      <c r="S17" s="5"/>
    </row>
    <row r="18" spans="1:19" x14ac:dyDescent="0.2">
      <c r="A18" s="506"/>
      <c r="B18" s="569" t="s">
        <v>421</v>
      </c>
      <c r="C18" s="570"/>
      <c r="D18" s="570"/>
      <c r="E18" s="570"/>
      <c r="F18" s="247"/>
      <c r="G18" s="5"/>
      <c r="H18" s="5"/>
      <c r="I18" s="245"/>
      <c r="J18" s="245"/>
      <c r="K18" s="254"/>
      <c r="L18" s="245"/>
      <c r="M18" s="5"/>
      <c r="N18" s="5"/>
      <c r="O18" s="5"/>
      <c r="P18" s="5"/>
      <c r="Q18" s="5"/>
      <c r="R18" s="5"/>
      <c r="S18" s="5"/>
    </row>
    <row r="19" spans="1:19" x14ac:dyDescent="0.2">
      <c r="A19" s="507"/>
      <c r="B19" s="570"/>
      <c r="C19" s="570"/>
      <c r="D19" s="570"/>
      <c r="E19" s="570"/>
      <c r="F19" s="247"/>
      <c r="G19" s="5"/>
      <c r="H19" s="5"/>
      <c r="I19" s="245"/>
      <c r="J19" s="245"/>
      <c r="K19" s="254"/>
      <c r="L19" s="245"/>
      <c r="M19" s="5"/>
      <c r="N19" s="5"/>
      <c r="O19" s="5"/>
      <c r="P19" s="5"/>
      <c r="Q19" s="5"/>
      <c r="R19" s="5"/>
      <c r="S19" s="5"/>
    </row>
    <row r="20" spans="1:19" x14ac:dyDescent="0.2">
      <c r="A20" s="507"/>
      <c r="B20" s="571"/>
      <c r="C20" s="571"/>
      <c r="D20" s="571"/>
      <c r="E20" s="571"/>
      <c r="F20" s="247"/>
      <c r="G20" s="5"/>
      <c r="H20" s="5"/>
      <c r="I20" s="245"/>
      <c r="J20" s="245"/>
      <c r="K20" s="254"/>
      <c r="L20" s="245"/>
      <c r="M20" s="5"/>
      <c r="N20" s="5"/>
      <c r="O20" s="5"/>
      <c r="P20" s="5"/>
      <c r="Q20" s="5"/>
      <c r="R20" s="5"/>
      <c r="S20" s="5"/>
    </row>
    <row r="21" spans="1:19" x14ac:dyDescent="0.2">
      <c r="A21" s="247"/>
      <c r="B21" s="247"/>
      <c r="C21" s="247"/>
      <c r="D21" s="247"/>
      <c r="E21" s="247"/>
      <c r="F21" s="247"/>
      <c r="G21" s="5"/>
      <c r="H21" s="5"/>
      <c r="I21" s="245"/>
      <c r="J21" s="245"/>
      <c r="K21" s="254"/>
      <c r="L21" s="245"/>
      <c r="M21" s="5"/>
      <c r="N21" s="5"/>
      <c r="O21" s="5"/>
      <c r="P21" s="5"/>
      <c r="Q21" s="5"/>
      <c r="R21" s="5"/>
      <c r="S21" s="5"/>
    </row>
    <row r="22" spans="1:19" x14ac:dyDescent="0.2">
      <c r="A22" s="559"/>
      <c r="B22" s="560"/>
      <c r="C22" s="560"/>
      <c r="D22" s="560"/>
      <c r="E22" s="560"/>
      <c r="F22" s="560"/>
      <c r="G22" s="436"/>
      <c r="H22" s="245"/>
      <c r="I22" s="245"/>
      <c r="J22" s="245"/>
      <c r="K22" s="254"/>
      <c r="L22" s="245"/>
      <c r="M22" s="5"/>
      <c r="N22" s="5"/>
      <c r="O22" s="5"/>
      <c r="P22" s="5"/>
      <c r="Q22" s="5"/>
      <c r="R22" s="5"/>
      <c r="S22" s="5"/>
    </row>
    <row r="23" spans="1:19" x14ac:dyDescent="0.2">
      <c r="A23" s="550"/>
      <c r="B23" s="550"/>
      <c r="C23" s="550"/>
      <c r="D23" s="550"/>
      <c r="E23" s="550"/>
      <c r="F23" s="550"/>
      <c r="G23" s="436"/>
      <c r="H23" s="245"/>
      <c r="I23" s="245"/>
      <c r="J23" s="245"/>
      <c r="K23" s="254"/>
      <c r="L23" s="245"/>
      <c r="M23" s="5"/>
      <c r="N23" s="5"/>
      <c r="O23" s="5"/>
      <c r="P23" s="5"/>
      <c r="Q23" s="5"/>
      <c r="R23" s="5"/>
      <c r="S23" s="5"/>
    </row>
    <row r="24" spans="1:19" x14ac:dyDescent="0.2">
      <c r="A24" s="245"/>
      <c r="B24" s="245"/>
      <c r="C24" s="245"/>
      <c r="D24" s="245"/>
      <c r="E24" s="245"/>
      <c r="F24" s="245"/>
      <c r="G24" s="245"/>
      <c r="H24" s="245"/>
      <c r="I24" s="245"/>
      <c r="J24" s="245"/>
      <c r="K24" s="254"/>
      <c r="L24" s="245"/>
      <c r="M24" s="5"/>
      <c r="N24" s="5"/>
      <c r="O24" s="5"/>
      <c r="P24" s="5"/>
      <c r="Q24" s="5"/>
      <c r="R24" s="5"/>
      <c r="S24" s="5"/>
    </row>
    <row r="25" spans="1:19" x14ac:dyDescent="0.2">
      <c r="A25" s="245"/>
      <c r="B25" s="245"/>
      <c r="C25" s="245"/>
      <c r="D25" s="245"/>
      <c r="E25" s="245"/>
      <c r="F25" s="245"/>
      <c r="G25" s="245"/>
      <c r="H25" s="245"/>
      <c r="I25" s="245"/>
      <c r="J25" s="245"/>
      <c r="K25" s="254"/>
      <c r="L25" s="245"/>
      <c r="M25" s="5"/>
      <c r="N25" s="5"/>
      <c r="O25" s="5"/>
      <c r="P25" s="5"/>
      <c r="Q25" s="5"/>
      <c r="R25" s="5"/>
      <c r="S25" s="5"/>
    </row>
    <row r="26" spans="1:19" x14ac:dyDescent="0.2">
      <c r="A26" s="245"/>
      <c r="B26" s="245"/>
      <c r="C26" s="245"/>
      <c r="D26" s="245"/>
      <c r="E26" s="245"/>
      <c r="F26" s="245"/>
      <c r="G26" s="245"/>
      <c r="H26" s="245"/>
      <c r="I26" s="245"/>
      <c r="J26" s="245"/>
      <c r="K26" s="254"/>
      <c r="L26" s="245"/>
      <c r="M26" s="5"/>
      <c r="N26" s="5"/>
      <c r="O26" s="5"/>
      <c r="P26" s="5"/>
      <c r="Q26" s="5"/>
      <c r="R26" s="5"/>
      <c r="S26" s="5"/>
    </row>
    <row r="27" spans="1:19" x14ac:dyDescent="0.2">
      <c r="A27" s="245"/>
      <c r="B27" s="245"/>
      <c r="C27" s="245"/>
      <c r="D27" s="245"/>
      <c r="E27" s="245"/>
      <c r="F27" s="245"/>
      <c r="G27" s="245"/>
      <c r="H27" s="245"/>
      <c r="I27" s="245"/>
      <c r="J27" s="245"/>
      <c r="K27" s="254"/>
      <c r="L27" s="245"/>
      <c r="M27" s="5"/>
      <c r="N27" s="5"/>
      <c r="O27" s="5"/>
      <c r="P27" s="5"/>
      <c r="Q27" s="5"/>
      <c r="R27" s="5"/>
      <c r="S27" s="5"/>
    </row>
    <row r="28" spans="1:19" x14ac:dyDescent="0.2">
      <c r="A28" s="245"/>
      <c r="B28" s="245"/>
      <c r="C28" s="245"/>
      <c r="D28" s="245"/>
      <c r="E28" s="245"/>
      <c r="F28" s="245"/>
      <c r="G28" s="245"/>
      <c r="H28" s="245"/>
      <c r="I28" s="245"/>
      <c r="J28" s="245"/>
      <c r="K28" s="254"/>
      <c r="L28" s="245"/>
      <c r="M28" s="5"/>
      <c r="N28" s="5"/>
      <c r="O28" s="5"/>
      <c r="P28" s="5"/>
      <c r="Q28" s="5"/>
      <c r="R28" s="5"/>
      <c r="S28" s="5"/>
    </row>
    <row r="29" spans="1:19" x14ac:dyDescent="0.2">
      <c r="A29" s="245"/>
      <c r="B29" s="245"/>
      <c r="C29" s="245"/>
      <c r="D29" s="245"/>
      <c r="E29" s="245"/>
      <c r="F29" s="245"/>
      <c r="G29" s="245"/>
      <c r="H29" s="245"/>
      <c r="I29" s="245"/>
      <c r="J29" s="245"/>
      <c r="K29" s="254"/>
      <c r="L29" s="245"/>
      <c r="M29" s="5"/>
      <c r="N29" s="5"/>
      <c r="O29" s="5"/>
      <c r="P29" s="5"/>
      <c r="Q29" s="5"/>
      <c r="R29" s="5"/>
      <c r="S29" s="5"/>
    </row>
    <row r="30" spans="1:19" x14ac:dyDescent="0.2">
      <c r="A30" s="245"/>
      <c r="B30" s="245"/>
      <c r="C30" s="245"/>
      <c r="D30" s="245"/>
      <c r="E30" s="245"/>
      <c r="F30" s="245"/>
      <c r="G30" s="245"/>
      <c r="H30" s="245"/>
      <c r="I30" s="245"/>
      <c r="J30" s="245"/>
      <c r="K30" s="254"/>
      <c r="L30" s="245"/>
      <c r="M30" s="5"/>
      <c r="N30" s="5"/>
      <c r="O30" s="5"/>
      <c r="P30" s="5"/>
      <c r="Q30" s="5"/>
      <c r="R30" s="5"/>
      <c r="S30" s="5"/>
    </row>
    <row r="31" spans="1:19" x14ac:dyDescent="0.2">
      <c r="A31" s="245"/>
      <c r="B31" s="245"/>
      <c r="C31" s="245"/>
      <c r="D31" s="245"/>
      <c r="E31" s="245"/>
      <c r="F31" s="245"/>
      <c r="G31" s="245"/>
      <c r="H31" s="245"/>
      <c r="I31" s="245"/>
      <c r="J31" s="245"/>
      <c r="K31" s="254"/>
      <c r="L31" s="245"/>
      <c r="M31" s="5"/>
      <c r="N31" s="5"/>
      <c r="O31" s="5"/>
      <c r="P31" s="5"/>
      <c r="Q31" s="5"/>
      <c r="R31" s="5"/>
      <c r="S31" s="5"/>
    </row>
    <row r="32" spans="1:19" x14ac:dyDescent="0.2">
      <c r="A32" s="245"/>
      <c r="B32" s="245"/>
      <c r="C32" s="245"/>
      <c r="D32" s="245"/>
      <c r="E32" s="245"/>
      <c r="F32" s="245"/>
      <c r="G32" s="245"/>
      <c r="H32" s="245"/>
      <c r="I32" s="245"/>
      <c r="J32" s="245"/>
      <c r="K32" s="254"/>
      <c r="L32" s="245"/>
      <c r="M32" s="5"/>
      <c r="N32" s="5"/>
      <c r="O32" s="5"/>
      <c r="P32" s="5"/>
      <c r="Q32" s="5"/>
      <c r="R32" s="5"/>
      <c r="S32" s="5"/>
    </row>
    <row r="33" spans="1:19" x14ac:dyDescent="0.2">
      <c r="A33" s="245"/>
      <c r="B33" s="245"/>
      <c r="C33" s="245"/>
      <c r="D33" s="245"/>
      <c r="E33" s="245"/>
      <c r="F33" s="245"/>
      <c r="G33" s="245"/>
      <c r="H33" s="245"/>
      <c r="I33" s="245"/>
      <c r="J33" s="245"/>
      <c r="K33" s="254"/>
      <c r="L33" s="245"/>
      <c r="M33" s="5"/>
      <c r="N33" s="5"/>
      <c r="O33" s="5"/>
      <c r="P33" s="5"/>
      <c r="Q33" s="5"/>
      <c r="R33" s="5"/>
      <c r="S33" s="5"/>
    </row>
    <row r="34" spans="1:19" x14ac:dyDescent="0.2">
      <c r="A34" s="245"/>
      <c r="B34" s="245"/>
      <c r="C34" s="245"/>
      <c r="D34" s="245"/>
      <c r="E34" s="245"/>
      <c r="F34" s="245"/>
      <c r="G34" s="245"/>
      <c r="H34" s="245"/>
      <c r="I34" s="245"/>
      <c r="J34" s="245"/>
      <c r="K34" s="254"/>
      <c r="L34" s="245"/>
      <c r="M34" s="5"/>
      <c r="N34" s="5"/>
      <c r="O34" s="5"/>
      <c r="P34" s="5"/>
      <c r="Q34" s="5"/>
      <c r="R34" s="5"/>
      <c r="S34" s="5"/>
    </row>
    <row r="35" spans="1:19" x14ac:dyDescent="0.2">
      <c r="A35" s="245"/>
      <c r="B35" s="254"/>
      <c r="C35" s="254"/>
      <c r="D35" s="254"/>
      <c r="E35" s="254"/>
      <c r="F35" s="254"/>
      <c r="G35" s="254"/>
      <c r="H35" s="254"/>
      <c r="I35" s="254"/>
      <c r="J35" s="254"/>
      <c r="K35" s="254"/>
      <c r="L35" s="254"/>
      <c r="M35" s="5"/>
      <c r="N35" s="5"/>
      <c r="O35" s="5"/>
      <c r="P35" s="5"/>
      <c r="Q35" s="5"/>
      <c r="R35" s="5"/>
      <c r="S35" s="5"/>
    </row>
    <row r="36" spans="1:19" x14ac:dyDescent="0.2">
      <c r="A36" s="245"/>
      <c r="B36" s="245"/>
      <c r="C36" s="245"/>
      <c r="D36" s="245"/>
      <c r="E36" s="245"/>
      <c r="F36" s="245"/>
      <c r="G36" s="245"/>
      <c r="H36" s="245"/>
      <c r="I36" s="245"/>
      <c r="J36" s="245"/>
      <c r="K36" s="254"/>
      <c r="L36" s="245"/>
      <c r="M36" s="5"/>
      <c r="N36" s="5"/>
      <c r="O36" s="5"/>
      <c r="P36" s="5"/>
      <c r="Q36" s="5"/>
      <c r="R36" s="5"/>
      <c r="S36" s="5"/>
    </row>
    <row r="37" spans="1:19" x14ac:dyDescent="0.2">
      <c r="A37" s="245"/>
      <c r="B37" s="245"/>
      <c r="C37" s="245"/>
      <c r="D37" s="245"/>
      <c r="E37" s="245"/>
      <c r="F37" s="245"/>
      <c r="G37" s="245"/>
      <c r="H37" s="245"/>
      <c r="I37" s="245"/>
      <c r="J37" s="245"/>
      <c r="K37" s="254"/>
      <c r="L37" s="245"/>
      <c r="M37" s="5"/>
      <c r="N37" s="5"/>
      <c r="O37" s="5"/>
      <c r="P37" s="5"/>
      <c r="Q37" s="5"/>
      <c r="R37" s="5"/>
      <c r="S37" s="5"/>
    </row>
    <row r="38" spans="1:19" x14ac:dyDescent="0.2">
      <c r="A38" s="245"/>
      <c r="B38" s="245"/>
      <c r="C38" s="245"/>
      <c r="D38" s="245"/>
      <c r="E38" s="245"/>
      <c r="F38" s="245"/>
      <c r="G38" s="245"/>
      <c r="H38" s="245"/>
      <c r="I38" s="245"/>
      <c r="J38" s="245"/>
      <c r="K38" s="254"/>
      <c r="L38" s="245"/>
      <c r="M38" s="5"/>
      <c r="N38" s="5"/>
      <c r="O38" s="5"/>
      <c r="P38" s="5"/>
      <c r="Q38" s="5"/>
      <c r="R38" s="5"/>
      <c r="S38" s="5"/>
    </row>
    <row r="39" spans="1:19" x14ac:dyDescent="0.2">
      <c r="A39" s="245"/>
      <c r="B39" s="245"/>
      <c r="C39" s="245"/>
      <c r="D39" s="245"/>
      <c r="E39" s="245"/>
      <c r="F39" s="245"/>
      <c r="G39" s="245"/>
      <c r="H39" s="245"/>
      <c r="I39" s="245"/>
      <c r="J39" s="245"/>
      <c r="K39" s="254"/>
      <c r="L39" s="245"/>
      <c r="M39" s="5"/>
      <c r="N39" s="5"/>
      <c r="O39" s="5"/>
      <c r="P39" s="5"/>
      <c r="Q39" s="5"/>
      <c r="R39" s="5"/>
      <c r="S39" s="5"/>
    </row>
    <row r="40" spans="1:19" x14ac:dyDescent="0.2">
      <c r="A40" s="245"/>
      <c r="B40" s="245"/>
      <c r="C40" s="245"/>
      <c r="D40" s="245"/>
      <c r="E40" s="245"/>
      <c r="F40" s="245"/>
      <c r="G40" s="245"/>
      <c r="H40" s="245"/>
      <c r="I40" s="245"/>
      <c r="J40" s="245"/>
      <c r="K40" s="254"/>
      <c r="L40" s="245"/>
      <c r="M40" s="5"/>
      <c r="N40" s="5"/>
      <c r="O40" s="5"/>
      <c r="P40" s="5"/>
      <c r="Q40" s="5"/>
      <c r="R40" s="5"/>
      <c r="S40" s="5"/>
    </row>
    <row r="41" spans="1:19" x14ac:dyDescent="0.2">
      <c r="A41" s="245"/>
      <c r="B41" s="245"/>
      <c r="C41" s="245"/>
      <c r="D41" s="245"/>
      <c r="E41" s="245"/>
      <c r="F41" s="245"/>
      <c r="G41" s="245"/>
      <c r="H41" s="245"/>
      <c r="I41" s="245"/>
      <c r="J41" s="245"/>
      <c r="K41" s="254"/>
      <c r="L41" s="245"/>
      <c r="M41" s="5"/>
      <c r="N41" s="5"/>
      <c r="O41" s="5"/>
      <c r="P41" s="5"/>
      <c r="Q41" s="5"/>
      <c r="R41" s="5"/>
      <c r="S41" s="5"/>
    </row>
    <row r="42" spans="1:19" x14ac:dyDescent="0.2">
      <c r="A42" s="245"/>
      <c r="B42" s="245"/>
      <c r="C42" s="245"/>
      <c r="D42" s="245"/>
      <c r="E42" s="245"/>
      <c r="F42" s="245"/>
      <c r="G42" s="245"/>
      <c r="H42" s="245"/>
      <c r="I42" s="245"/>
      <c r="J42" s="245"/>
      <c r="K42" s="254"/>
      <c r="L42" s="245"/>
      <c r="M42" s="5"/>
      <c r="N42" s="5"/>
      <c r="O42" s="5"/>
      <c r="P42" s="5"/>
      <c r="Q42" s="5"/>
      <c r="R42" s="5"/>
      <c r="S42" s="5"/>
    </row>
    <row r="43" spans="1:19" x14ac:dyDescent="0.2">
      <c r="A43" s="245"/>
      <c r="B43" s="245"/>
      <c r="C43" s="245"/>
      <c r="D43" s="245"/>
      <c r="E43" s="245"/>
      <c r="F43" s="245"/>
      <c r="G43" s="245"/>
      <c r="H43" s="245"/>
      <c r="I43" s="245"/>
      <c r="J43" s="245"/>
      <c r="K43" s="254"/>
      <c r="L43" s="245"/>
      <c r="M43" s="5"/>
      <c r="N43" s="5"/>
      <c r="O43" s="5"/>
      <c r="P43" s="5"/>
      <c r="Q43" s="5"/>
      <c r="R43" s="5"/>
      <c r="S43" s="5"/>
    </row>
    <row r="44" spans="1:19" x14ac:dyDescent="0.2">
      <c r="A44" s="5"/>
      <c r="B44" s="5"/>
      <c r="C44" s="5"/>
      <c r="D44" s="5"/>
      <c r="E44" s="5"/>
      <c r="F44" s="5"/>
      <c r="G44" s="5"/>
      <c r="H44" s="5"/>
      <c r="I44" s="5"/>
      <c r="J44" s="5"/>
      <c r="K44" s="5"/>
      <c r="L44" s="5"/>
      <c r="M44" s="5"/>
      <c r="N44" s="5"/>
      <c r="O44" s="5"/>
      <c r="P44" s="5"/>
      <c r="Q44" s="5"/>
      <c r="R44" s="5"/>
      <c r="S44" s="5"/>
    </row>
    <row r="45" spans="1:19" x14ac:dyDescent="0.2">
      <c r="A45" s="5"/>
      <c r="B45" s="5"/>
      <c r="C45" s="5"/>
      <c r="D45" s="5"/>
      <c r="E45" s="5"/>
      <c r="F45" s="5"/>
      <c r="G45" s="5"/>
      <c r="H45" s="5"/>
      <c r="I45" s="5"/>
      <c r="J45" s="5"/>
      <c r="K45" s="5"/>
      <c r="L45" s="5"/>
      <c r="M45" s="5"/>
      <c r="N45" s="5"/>
      <c r="O45" s="5"/>
      <c r="P45" s="5"/>
      <c r="Q45" s="5"/>
      <c r="R45" s="5"/>
      <c r="S45" s="5"/>
    </row>
    <row r="46" spans="1:19" x14ac:dyDescent="0.2">
      <c r="A46" s="5"/>
      <c r="B46" s="5"/>
      <c r="C46" s="5"/>
      <c r="D46" s="5"/>
      <c r="E46" s="5"/>
      <c r="F46" s="5"/>
      <c r="G46" s="5"/>
      <c r="H46" s="5"/>
      <c r="I46" s="5"/>
      <c r="J46" s="5"/>
      <c r="K46" s="5"/>
      <c r="L46" s="5"/>
      <c r="M46" s="5"/>
      <c r="N46" s="5"/>
      <c r="O46" s="5"/>
      <c r="P46" s="5"/>
      <c r="Q46" s="5"/>
      <c r="R46" s="5"/>
      <c r="S46" s="5"/>
    </row>
    <row r="47" spans="1:19" x14ac:dyDescent="0.2">
      <c r="A47" s="5"/>
      <c r="B47" s="5"/>
      <c r="C47" s="5"/>
      <c r="D47" s="5"/>
      <c r="E47" s="5"/>
      <c r="F47" s="5"/>
      <c r="G47" s="5"/>
      <c r="H47" s="5"/>
      <c r="I47" s="5"/>
      <c r="J47" s="5"/>
      <c r="K47" s="5"/>
      <c r="L47" s="5"/>
      <c r="M47" s="5"/>
      <c r="N47" s="5"/>
      <c r="O47" s="5"/>
      <c r="P47" s="5"/>
      <c r="Q47" s="5"/>
      <c r="R47" s="5"/>
      <c r="S47" s="5"/>
    </row>
    <row r="48" spans="1:19" x14ac:dyDescent="0.2">
      <c r="A48" s="5"/>
      <c r="B48" s="5"/>
      <c r="C48" s="5"/>
      <c r="D48" s="5"/>
      <c r="E48" s="5"/>
      <c r="F48" s="5"/>
      <c r="G48" s="5"/>
      <c r="H48" s="5"/>
      <c r="I48" s="5"/>
      <c r="J48" s="5"/>
      <c r="K48" s="5"/>
      <c r="L48" s="5"/>
      <c r="M48" s="5"/>
      <c r="N48" s="5"/>
      <c r="O48" s="5"/>
      <c r="P48" s="5"/>
      <c r="Q48" s="5"/>
      <c r="R48" s="5"/>
      <c r="S48" s="5"/>
    </row>
    <row r="49" spans="1:19" x14ac:dyDescent="0.2">
      <c r="A49" s="5"/>
      <c r="B49" s="5"/>
      <c r="C49" s="5"/>
      <c r="D49" s="5"/>
      <c r="E49" s="5"/>
      <c r="F49" s="5"/>
      <c r="G49" s="5"/>
      <c r="H49" s="5"/>
      <c r="I49" s="5"/>
      <c r="J49" s="5"/>
      <c r="K49" s="5"/>
      <c r="L49" s="5"/>
      <c r="M49" s="5"/>
      <c r="N49" s="5"/>
      <c r="O49" s="5"/>
      <c r="P49" s="5"/>
      <c r="Q49" s="5"/>
      <c r="R49" s="5"/>
      <c r="S49" s="5"/>
    </row>
    <row r="50" spans="1:19" x14ac:dyDescent="0.2">
      <c r="A50" s="5"/>
      <c r="B50" s="5"/>
      <c r="C50" s="5"/>
      <c r="D50" s="5"/>
      <c r="E50" s="5"/>
      <c r="F50" s="5"/>
      <c r="G50" s="5"/>
      <c r="H50" s="5"/>
      <c r="I50" s="5"/>
      <c r="J50" s="5"/>
      <c r="K50" s="5"/>
      <c r="L50" s="5"/>
      <c r="M50" s="5"/>
      <c r="N50" s="5"/>
      <c r="O50" s="5"/>
      <c r="P50" s="5"/>
      <c r="Q50" s="5"/>
      <c r="R50" s="5"/>
      <c r="S50" s="5"/>
    </row>
    <row r="51" spans="1:19" x14ac:dyDescent="0.2">
      <c r="A51" s="5"/>
      <c r="B51" s="5"/>
      <c r="C51" s="5"/>
      <c r="D51" s="5"/>
      <c r="E51" s="5"/>
      <c r="F51" s="5"/>
      <c r="G51" s="5"/>
      <c r="H51" s="5"/>
      <c r="I51" s="5"/>
      <c r="J51" s="5"/>
      <c r="K51" s="5"/>
      <c r="L51" s="5"/>
      <c r="M51" s="5"/>
      <c r="N51" s="5"/>
      <c r="O51" s="5"/>
      <c r="P51" s="5"/>
      <c r="Q51" s="5"/>
      <c r="R51" s="5"/>
      <c r="S51" s="5"/>
    </row>
    <row r="52" spans="1:19" x14ac:dyDescent="0.2">
      <c r="A52" s="5"/>
      <c r="B52" s="5"/>
      <c r="C52" s="5"/>
      <c r="D52" s="5"/>
      <c r="E52" s="5"/>
      <c r="F52" s="5"/>
      <c r="G52" s="5"/>
      <c r="H52" s="5"/>
      <c r="I52" s="5"/>
      <c r="J52" s="5"/>
      <c r="K52" s="5"/>
      <c r="L52" s="5"/>
      <c r="M52" s="5"/>
      <c r="N52" s="5"/>
      <c r="O52" s="5"/>
      <c r="P52" s="5"/>
      <c r="Q52" s="5"/>
      <c r="R52" s="5"/>
      <c r="S52" s="5"/>
    </row>
    <row r="53" spans="1:19" x14ac:dyDescent="0.2">
      <c r="A53" s="5"/>
      <c r="B53" s="5"/>
      <c r="C53" s="5"/>
      <c r="D53" s="5"/>
      <c r="E53" s="5"/>
      <c r="F53" s="5"/>
      <c r="G53" s="5"/>
      <c r="H53" s="5"/>
      <c r="I53" s="5"/>
      <c r="J53" s="5"/>
      <c r="K53" s="5"/>
      <c r="L53" s="5"/>
      <c r="M53" s="5"/>
      <c r="N53" s="5"/>
      <c r="O53" s="5"/>
      <c r="P53" s="5"/>
      <c r="Q53" s="5"/>
      <c r="R53" s="5"/>
      <c r="S53" s="5"/>
    </row>
    <row r="54" spans="1:19" x14ac:dyDescent="0.2">
      <c r="A54" s="5"/>
      <c r="B54" s="5"/>
      <c r="C54" s="5"/>
      <c r="D54" s="5"/>
      <c r="E54" s="5"/>
      <c r="F54" s="5"/>
      <c r="G54" s="5"/>
      <c r="H54" s="5"/>
      <c r="I54" s="5"/>
      <c r="J54" s="5"/>
      <c r="K54" s="5"/>
      <c r="L54" s="5"/>
      <c r="M54" s="5"/>
      <c r="N54" s="5"/>
      <c r="O54" s="5"/>
      <c r="P54" s="5"/>
      <c r="Q54" s="5"/>
      <c r="R54" s="5"/>
      <c r="S54" s="5"/>
    </row>
    <row r="55" spans="1:19" x14ac:dyDescent="0.2">
      <c r="A55" s="5"/>
      <c r="B55" s="5"/>
      <c r="C55" s="5"/>
      <c r="D55" s="5"/>
      <c r="E55" s="5"/>
      <c r="F55" s="5"/>
      <c r="G55" s="5"/>
      <c r="H55" s="5"/>
      <c r="I55" s="5"/>
      <c r="J55" s="5"/>
      <c r="K55" s="5"/>
      <c r="L55" s="5"/>
      <c r="M55" s="5"/>
      <c r="N55" s="5"/>
      <c r="O55" s="5"/>
      <c r="P55" s="5"/>
      <c r="Q55" s="5"/>
      <c r="R55" s="5"/>
      <c r="S55" s="5"/>
    </row>
    <row r="56" spans="1:19" x14ac:dyDescent="0.2">
      <c r="A56" s="5"/>
      <c r="B56" s="5"/>
      <c r="C56" s="5"/>
      <c r="D56" s="5"/>
      <c r="E56" s="5"/>
      <c r="F56" s="5"/>
      <c r="G56" s="5"/>
      <c r="H56" s="5"/>
      <c r="I56" s="5"/>
      <c r="J56" s="5"/>
      <c r="K56" s="5"/>
      <c r="L56" s="5"/>
      <c r="M56" s="5"/>
      <c r="N56" s="5"/>
      <c r="O56" s="5"/>
      <c r="P56" s="5"/>
      <c r="Q56" s="5"/>
      <c r="R56" s="5"/>
      <c r="S56" s="5"/>
    </row>
    <row r="57" spans="1:19" x14ac:dyDescent="0.2">
      <c r="A57" s="5"/>
      <c r="B57" s="5"/>
      <c r="C57" s="5"/>
      <c r="D57" s="5"/>
      <c r="E57" s="5"/>
      <c r="F57" s="5"/>
      <c r="G57" s="5"/>
      <c r="H57" s="5"/>
      <c r="I57" s="5"/>
      <c r="J57" s="5"/>
      <c r="K57" s="5"/>
      <c r="L57" s="5"/>
      <c r="M57" s="5"/>
      <c r="N57" s="5"/>
      <c r="O57" s="5"/>
      <c r="P57" s="5"/>
      <c r="Q57" s="5"/>
      <c r="R57" s="5"/>
      <c r="S57" s="5"/>
    </row>
    <row r="58" spans="1:19" x14ac:dyDescent="0.2">
      <c r="A58" s="5"/>
      <c r="B58" s="5"/>
      <c r="C58" s="5"/>
      <c r="D58" s="5"/>
      <c r="E58" s="5"/>
      <c r="F58" s="5"/>
      <c r="G58" s="5"/>
      <c r="H58" s="5"/>
      <c r="I58" s="5"/>
      <c r="J58" s="5"/>
      <c r="K58" s="5"/>
      <c r="L58" s="5"/>
      <c r="M58" s="5"/>
      <c r="N58" s="5"/>
      <c r="O58" s="5"/>
      <c r="P58" s="5"/>
      <c r="Q58" s="5"/>
      <c r="R58" s="5"/>
      <c r="S58" s="5"/>
    </row>
    <row r="59" spans="1:19" x14ac:dyDescent="0.2">
      <c r="A59" s="5"/>
      <c r="B59" s="5"/>
      <c r="C59" s="5"/>
      <c r="D59" s="5"/>
      <c r="E59" s="5"/>
      <c r="F59" s="5"/>
      <c r="G59" s="5"/>
      <c r="H59" s="5"/>
      <c r="I59" s="5"/>
      <c r="J59" s="5"/>
      <c r="K59" s="5"/>
      <c r="L59" s="5"/>
      <c r="M59" s="5"/>
      <c r="N59" s="5"/>
      <c r="O59" s="5"/>
      <c r="P59" s="5"/>
      <c r="Q59" s="5"/>
      <c r="R59" s="5"/>
      <c r="S59" s="5"/>
    </row>
    <row r="60" spans="1:19" x14ac:dyDescent="0.2">
      <c r="A60" s="5"/>
      <c r="B60" s="5"/>
      <c r="C60" s="5"/>
      <c r="D60" s="5"/>
      <c r="E60" s="5"/>
      <c r="F60" s="5"/>
      <c r="G60" s="5"/>
      <c r="H60" s="5"/>
      <c r="I60" s="5"/>
      <c r="J60" s="5"/>
      <c r="K60" s="5"/>
      <c r="L60" s="5"/>
      <c r="M60" s="5"/>
      <c r="N60" s="5"/>
      <c r="O60" s="5"/>
      <c r="P60" s="5"/>
      <c r="Q60" s="5"/>
      <c r="R60" s="5"/>
      <c r="S60" s="5"/>
    </row>
    <row r="61" spans="1:19" x14ac:dyDescent="0.2">
      <c r="A61" s="5"/>
      <c r="B61" s="5"/>
      <c r="C61" s="5"/>
      <c r="D61" s="5"/>
      <c r="E61" s="5"/>
      <c r="F61" s="5"/>
      <c r="G61" s="5"/>
      <c r="H61" s="5"/>
      <c r="I61" s="5"/>
      <c r="J61" s="5"/>
      <c r="K61" s="5"/>
      <c r="L61" s="5"/>
      <c r="M61" s="5"/>
      <c r="N61" s="5"/>
      <c r="O61" s="5"/>
      <c r="P61" s="5"/>
      <c r="Q61" s="5"/>
      <c r="R61" s="5"/>
      <c r="S61" s="5"/>
    </row>
    <row r="62" spans="1:19" x14ac:dyDescent="0.2">
      <c r="A62" s="5"/>
      <c r="B62" s="5"/>
      <c r="C62" s="5"/>
      <c r="D62" s="5"/>
      <c r="E62" s="5"/>
      <c r="F62" s="5"/>
      <c r="G62" s="5"/>
      <c r="H62" s="5"/>
      <c r="I62" s="5"/>
      <c r="J62" s="5"/>
      <c r="K62" s="5"/>
      <c r="L62" s="5"/>
      <c r="M62" s="5"/>
      <c r="N62" s="5"/>
      <c r="O62" s="5"/>
      <c r="P62" s="5"/>
      <c r="Q62" s="5"/>
      <c r="R62" s="5"/>
      <c r="S62" s="5"/>
    </row>
    <row r="63" spans="1:19" x14ac:dyDescent="0.2">
      <c r="A63" s="5"/>
      <c r="B63" s="5"/>
      <c r="C63" s="5"/>
      <c r="D63" s="5"/>
      <c r="E63" s="5"/>
      <c r="F63" s="5"/>
      <c r="G63" s="5"/>
      <c r="H63" s="5"/>
      <c r="I63" s="5"/>
      <c r="J63" s="5"/>
      <c r="K63" s="5"/>
      <c r="L63" s="5"/>
      <c r="M63" s="5"/>
      <c r="N63" s="5"/>
      <c r="O63" s="5"/>
      <c r="P63" s="5"/>
      <c r="Q63" s="5"/>
      <c r="R63" s="5"/>
      <c r="S63" s="5"/>
    </row>
    <row r="64" spans="1:19" x14ac:dyDescent="0.2">
      <c r="A64" s="5"/>
      <c r="B64" s="5"/>
      <c r="C64" s="5"/>
      <c r="D64" s="5"/>
      <c r="E64" s="5"/>
      <c r="F64" s="5"/>
      <c r="G64" s="5"/>
      <c r="H64" s="5"/>
      <c r="I64" s="5"/>
      <c r="J64" s="5"/>
      <c r="K64" s="5"/>
      <c r="L64" s="5"/>
      <c r="M64" s="5"/>
      <c r="N64" s="5"/>
      <c r="O64" s="5"/>
      <c r="P64" s="5"/>
      <c r="Q64" s="5"/>
      <c r="R64" s="5"/>
      <c r="S64" s="5"/>
    </row>
    <row r="65" spans="1:19" x14ac:dyDescent="0.2">
      <c r="A65" s="5"/>
      <c r="B65" s="5"/>
      <c r="C65" s="5"/>
      <c r="D65" s="5"/>
      <c r="E65" s="5"/>
      <c r="F65" s="5"/>
      <c r="G65" s="5"/>
      <c r="H65" s="5"/>
      <c r="I65" s="5"/>
      <c r="J65" s="5"/>
      <c r="K65" s="5"/>
      <c r="L65" s="5"/>
      <c r="M65" s="5"/>
      <c r="N65" s="5"/>
      <c r="O65" s="5"/>
      <c r="P65" s="5"/>
      <c r="Q65" s="5"/>
      <c r="R65" s="5"/>
      <c r="S65" s="5"/>
    </row>
    <row r="66" spans="1:19" x14ac:dyDescent="0.2">
      <c r="A66" s="5"/>
      <c r="B66" s="5"/>
      <c r="C66" s="5"/>
      <c r="D66" s="5"/>
      <c r="E66" s="5"/>
      <c r="F66" s="5"/>
      <c r="G66" s="5"/>
      <c r="H66" s="5"/>
      <c r="I66" s="5"/>
      <c r="J66" s="5"/>
      <c r="K66" s="5"/>
      <c r="L66" s="5"/>
      <c r="M66" s="5"/>
      <c r="N66" s="5"/>
      <c r="O66" s="5"/>
      <c r="P66" s="5"/>
      <c r="Q66" s="5"/>
      <c r="R66" s="5"/>
      <c r="S66" s="5"/>
    </row>
    <row r="67" spans="1:19" x14ac:dyDescent="0.2">
      <c r="A67" s="5"/>
      <c r="B67" s="5"/>
      <c r="C67" s="5"/>
      <c r="D67" s="5"/>
      <c r="E67" s="5"/>
      <c r="F67" s="5"/>
      <c r="G67" s="5"/>
      <c r="H67" s="5"/>
      <c r="I67" s="5"/>
      <c r="J67" s="5"/>
      <c r="K67" s="5"/>
      <c r="L67" s="5"/>
      <c r="M67" s="5"/>
      <c r="N67" s="5"/>
      <c r="O67" s="5"/>
      <c r="P67" s="5"/>
      <c r="Q67" s="5"/>
      <c r="R67" s="5"/>
      <c r="S67" s="5"/>
    </row>
    <row r="68" spans="1:19" x14ac:dyDescent="0.2">
      <c r="A68" s="5"/>
      <c r="B68" s="5"/>
      <c r="C68" s="5"/>
      <c r="D68" s="5"/>
      <c r="E68" s="5"/>
      <c r="F68" s="5"/>
      <c r="G68" s="5"/>
      <c r="H68" s="5"/>
      <c r="I68" s="5"/>
      <c r="J68" s="5"/>
      <c r="K68" s="5"/>
      <c r="L68" s="5"/>
      <c r="M68" s="5"/>
      <c r="N68" s="5"/>
      <c r="O68" s="5"/>
      <c r="P68" s="5"/>
      <c r="Q68" s="5"/>
      <c r="R68" s="5"/>
      <c r="S68" s="5"/>
    </row>
    <row r="69" spans="1:19" x14ac:dyDescent="0.2">
      <c r="A69" s="5"/>
      <c r="B69" s="5"/>
      <c r="C69" s="5"/>
      <c r="D69" s="5"/>
      <c r="E69" s="5"/>
      <c r="F69" s="5"/>
      <c r="G69" s="5"/>
      <c r="H69" s="5"/>
      <c r="I69" s="5"/>
      <c r="J69" s="5"/>
      <c r="K69" s="5"/>
      <c r="L69" s="5"/>
      <c r="M69" s="5"/>
      <c r="N69" s="5"/>
      <c r="O69" s="5"/>
      <c r="P69" s="5"/>
      <c r="Q69" s="5"/>
      <c r="R69" s="5"/>
      <c r="S69" s="5"/>
    </row>
    <row r="70" spans="1:19" x14ac:dyDescent="0.2">
      <c r="A70" s="5"/>
      <c r="B70" s="5"/>
      <c r="C70" s="5"/>
      <c r="D70" s="5"/>
      <c r="E70" s="5"/>
      <c r="F70" s="5"/>
      <c r="G70" s="5"/>
      <c r="H70" s="5"/>
      <c r="I70" s="5"/>
      <c r="J70" s="5"/>
      <c r="K70" s="5"/>
      <c r="L70" s="5"/>
      <c r="M70" s="5"/>
      <c r="N70" s="5"/>
      <c r="O70" s="5"/>
      <c r="P70" s="5"/>
      <c r="Q70" s="5"/>
      <c r="R70" s="5"/>
      <c r="S70" s="5"/>
    </row>
    <row r="71" spans="1:19" x14ac:dyDescent="0.2">
      <c r="A71" s="5"/>
      <c r="B71" s="5"/>
      <c r="C71" s="5"/>
      <c r="D71" s="5"/>
      <c r="E71" s="5"/>
      <c r="F71" s="5"/>
      <c r="G71" s="5"/>
      <c r="H71" s="5"/>
      <c r="I71" s="5"/>
      <c r="J71" s="5"/>
      <c r="K71" s="5"/>
      <c r="L71" s="5"/>
      <c r="M71" s="5"/>
      <c r="N71" s="5"/>
      <c r="O71" s="5"/>
      <c r="P71" s="5"/>
      <c r="Q71" s="5"/>
      <c r="R71" s="5"/>
      <c r="S71" s="5"/>
    </row>
    <row r="72" spans="1:19" x14ac:dyDescent="0.2">
      <c r="A72" s="5"/>
      <c r="B72" s="5"/>
      <c r="C72" s="5"/>
      <c r="D72" s="5"/>
      <c r="E72" s="5"/>
      <c r="F72" s="5"/>
      <c r="G72" s="5"/>
      <c r="H72" s="5"/>
      <c r="I72" s="5"/>
      <c r="J72" s="5"/>
      <c r="K72" s="5"/>
      <c r="L72" s="5"/>
      <c r="M72" s="5"/>
      <c r="N72" s="5"/>
      <c r="O72" s="5"/>
      <c r="P72" s="5"/>
      <c r="Q72" s="5"/>
      <c r="R72" s="5"/>
      <c r="S72" s="5"/>
    </row>
    <row r="73" spans="1:19" x14ac:dyDescent="0.2">
      <c r="A73" s="5"/>
      <c r="B73" s="5"/>
      <c r="C73" s="5"/>
      <c r="D73" s="5"/>
      <c r="E73" s="5"/>
      <c r="F73" s="5"/>
      <c r="G73" s="5"/>
      <c r="H73" s="5"/>
      <c r="I73" s="5"/>
      <c r="J73" s="5"/>
      <c r="K73" s="5"/>
      <c r="L73" s="5"/>
      <c r="M73" s="5"/>
      <c r="N73" s="5"/>
      <c r="O73" s="5"/>
      <c r="P73" s="5"/>
      <c r="Q73" s="5"/>
      <c r="R73" s="5"/>
      <c r="S73" s="5"/>
    </row>
    <row r="74" spans="1:19" x14ac:dyDescent="0.2">
      <c r="A74" s="5"/>
      <c r="B74" s="5"/>
      <c r="C74" s="5"/>
      <c r="D74" s="5"/>
      <c r="E74" s="5"/>
      <c r="F74" s="5"/>
      <c r="G74" s="5"/>
      <c r="H74" s="5"/>
      <c r="I74" s="5"/>
      <c r="J74" s="5"/>
      <c r="K74" s="5"/>
      <c r="L74" s="5"/>
      <c r="M74" s="5"/>
      <c r="N74" s="5"/>
      <c r="O74" s="5"/>
      <c r="P74" s="5"/>
      <c r="Q74" s="5"/>
      <c r="R74" s="5"/>
      <c r="S74" s="5"/>
    </row>
    <row r="75" spans="1:19" x14ac:dyDescent="0.2">
      <c r="A75" s="5"/>
      <c r="B75" s="5"/>
      <c r="C75" s="5"/>
      <c r="D75" s="5"/>
      <c r="E75" s="5"/>
      <c r="F75" s="5"/>
      <c r="G75" s="5"/>
      <c r="H75" s="5"/>
      <c r="I75" s="5"/>
      <c r="J75" s="5"/>
      <c r="K75" s="5"/>
      <c r="L75" s="5"/>
      <c r="M75" s="5"/>
      <c r="N75" s="5"/>
      <c r="O75" s="5"/>
      <c r="P75" s="5"/>
      <c r="Q75" s="5"/>
      <c r="R75" s="5"/>
      <c r="S75" s="5"/>
    </row>
    <row r="76" spans="1:19" x14ac:dyDescent="0.2">
      <c r="A76" s="5"/>
      <c r="B76" s="5"/>
      <c r="C76" s="5"/>
      <c r="D76" s="5"/>
      <c r="E76" s="5"/>
      <c r="F76" s="5"/>
      <c r="G76" s="5"/>
      <c r="H76" s="5"/>
      <c r="I76" s="5"/>
      <c r="J76" s="5"/>
      <c r="K76" s="5"/>
      <c r="L76" s="5"/>
      <c r="M76" s="5"/>
      <c r="N76" s="5"/>
      <c r="O76" s="5"/>
      <c r="P76" s="5"/>
      <c r="Q76" s="5"/>
      <c r="R76" s="5"/>
      <c r="S76" s="5"/>
    </row>
    <row r="77" spans="1:19" x14ac:dyDescent="0.2">
      <c r="A77" s="5"/>
      <c r="B77" s="5"/>
      <c r="C77" s="5"/>
      <c r="D77" s="5"/>
      <c r="E77" s="5"/>
      <c r="F77" s="5"/>
      <c r="G77" s="5"/>
      <c r="H77" s="5"/>
      <c r="I77" s="5"/>
      <c r="J77" s="5"/>
      <c r="K77" s="5"/>
      <c r="L77" s="5"/>
      <c r="M77" s="5"/>
      <c r="N77" s="5"/>
      <c r="O77" s="5"/>
      <c r="P77" s="5"/>
      <c r="Q77" s="5"/>
      <c r="R77" s="5"/>
      <c r="S77" s="5"/>
    </row>
    <row r="78" spans="1:19" x14ac:dyDescent="0.2">
      <c r="A78" s="5"/>
      <c r="B78" s="5"/>
      <c r="C78" s="5"/>
      <c r="D78" s="5"/>
      <c r="E78" s="5"/>
      <c r="F78" s="5"/>
      <c r="G78" s="5"/>
      <c r="H78" s="5"/>
      <c r="I78" s="5"/>
      <c r="J78" s="5"/>
      <c r="K78" s="5"/>
      <c r="L78" s="5"/>
      <c r="M78" s="5"/>
      <c r="N78" s="5"/>
      <c r="O78" s="5"/>
      <c r="P78" s="5"/>
      <c r="Q78" s="5"/>
      <c r="R78" s="5"/>
      <c r="S78" s="5"/>
    </row>
    <row r="79" spans="1:19" x14ac:dyDescent="0.2">
      <c r="A79" s="5"/>
      <c r="B79" s="5"/>
      <c r="C79" s="5"/>
      <c r="D79" s="5"/>
      <c r="E79" s="5"/>
      <c r="F79" s="5"/>
      <c r="G79" s="5"/>
      <c r="H79" s="5"/>
      <c r="I79" s="5"/>
      <c r="J79" s="5"/>
      <c r="K79" s="5"/>
      <c r="L79" s="5"/>
      <c r="M79" s="5"/>
      <c r="N79" s="5"/>
      <c r="O79" s="5"/>
      <c r="P79" s="5"/>
      <c r="Q79" s="5"/>
      <c r="R79" s="5"/>
      <c r="S79" s="5"/>
    </row>
    <row r="80" spans="1:19" x14ac:dyDescent="0.2">
      <c r="A80" s="5"/>
      <c r="B80" s="5"/>
      <c r="C80" s="5"/>
      <c r="D80" s="5"/>
      <c r="E80" s="5"/>
      <c r="F80" s="5"/>
      <c r="G80" s="5"/>
      <c r="H80" s="5"/>
      <c r="I80" s="5"/>
      <c r="J80" s="5"/>
      <c r="K80" s="5"/>
      <c r="L80" s="5"/>
      <c r="M80" s="5"/>
      <c r="N80" s="5"/>
      <c r="O80" s="5"/>
      <c r="P80" s="5"/>
      <c r="Q80" s="5"/>
      <c r="R80" s="5"/>
      <c r="S80" s="5"/>
    </row>
    <row r="81" spans="1:19" x14ac:dyDescent="0.2">
      <c r="A81" s="5"/>
      <c r="B81" s="5"/>
      <c r="C81" s="5"/>
      <c r="D81" s="5"/>
      <c r="E81" s="5"/>
      <c r="F81" s="5"/>
      <c r="G81" s="5"/>
      <c r="H81" s="5"/>
      <c r="I81" s="5"/>
      <c r="J81" s="5"/>
      <c r="K81" s="5"/>
      <c r="L81" s="5"/>
      <c r="M81" s="5"/>
      <c r="N81" s="5"/>
      <c r="O81" s="5"/>
      <c r="P81" s="5"/>
      <c r="Q81" s="5"/>
      <c r="R81" s="5"/>
      <c r="S81" s="5"/>
    </row>
    <row r="82" spans="1:19" x14ac:dyDescent="0.2">
      <c r="A82" s="5"/>
      <c r="B82" s="5"/>
      <c r="C82" s="5"/>
      <c r="D82" s="5"/>
      <c r="E82" s="5"/>
      <c r="F82" s="5"/>
      <c r="G82" s="5"/>
      <c r="H82" s="5"/>
      <c r="I82" s="5"/>
      <c r="J82" s="5"/>
      <c r="K82" s="5"/>
      <c r="L82" s="5"/>
      <c r="M82" s="5"/>
      <c r="N82" s="5"/>
      <c r="O82" s="5"/>
      <c r="P82" s="5"/>
      <c r="Q82" s="5"/>
      <c r="R82" s="5"/>
      <c r="S82" s="5"/>
    </row>
    <row r="83" spans="1:19" x14ac:dyDescent="0.2">
      <c r="A83" s="5"/>
      <c r="B83" s="5"/>
      <c r="C83" s="5"/>
      <c r="D83" s="5"/>
      <c r="E83" s="5"/>
      <c r="F83" s="5"/>
      <c r="G83" s="5"/>
      <c r="H83" s="5"/>
      <c r="I83" s="5"/>
      <c r="J83" s="5"/>
      <c r="K83" s="5"/>
      <c r="L83" s="5"/>
      <c r="M83" s="5"/>
      <c r="N83" s="5"/>
      <c r="O83" s="5"/>
      <c r="P83" s="5"/>
      <c r="Q83" s="5"/>
      <c r="R83" s="5"/>
      <c r="S83" s="5"/>
    </row>
    <row r="84" spans="1:19" x14ac:dyDescent="0.2">
      <c r="A84" s="5"/>
      <c r="B84" s="5"/>
      <c r="C84" s="5"/>
      <c r="D84" s="5"/>
      <c r="E84" s="5"/>
      <c r="F84" s="5"/>
      <c r="G84" s="5"/>
      <c r="H84" s="5"/>
      <c r="I84" s="5"/>
      <c r="J84" s="5"/>
      <c r="K84" s="5"/>
      <c r="L84" s="5"/>
      <c r="M84" s="5"/>
      <c r="N84" s="5"/>
      <c r="O84" s="5"/>
      <c r="P84" s="5"/>
      <c r="Q84" s="5"/>
      <c r="R84" s="5"/>
      <c r="S84" s="5"/>
    </row>
    <row r="85" spans="1:19" x14ac:dyDescent="0.2">
      <c r="A85" s="5"/>
      <c r="B85" s="5"/>
      <c r="C85" s="5"/>
      <c r="D85" s="5"/>
      <c r="E85" s="5"/>
      <c r="F85" s="5"/>
      <c r="G85" s="5"/>
      <c r="H85" s="5"/>
      <c r="I85" s="5"/>
      <c r="J85" s="5"/>
      <c r="K85" s="5"/>
      <c r="L85" s="5"/>
      <c r="M85" s="5"/>
      <c r="N85" s="5"/>
      <c r="O85" s="5"/>
      <c r="P85" s="5"/>
      <c r="Q85" s="5"/>
      <c r="R85" s="5"/>
      <c r="S85" s="5"/>
    </row>
    <row r="86" spans="1:19" x14ac:dyDescent="0.2">
      <c r="A86" s="5"/>
      <c r="B86" s="5"/>
      <c r="C86" s="5"/>
      <c r="D86" s="5"/>
      <c r="E86" s="5"/>
      <c r="F86" s="5"/>
      <c r="G86" s="5"/>
      <c r="H86" s="5"/>
      <c r="I86" s="5"/>
      <c r="J86" s="5"/>
      <c r="K86" s="5"/>
      <c r="L86" s="5"/>
      <c r="M86" s="5"/>
      <c r="N86" s="5"/>
      <c r="O86" s="5"/>
      <c r="P86" s="5"/>
      <c r="Q86" s="5"/>
      <c r="R86" s="5"/>
      <c r="S86" s="5"/>
    </row>
    <row r="87" spans="1:19" x14ac:dyDescent="0.2">
      <c r="A87" s="5"/>
      <c r="B87" s="5"/>
      <c r="C87" s="5"/>
      <c r="D87" s="5"/>
      <c r="E87" s="5"/>
      <c r="F87" s="5"/>
      <c r="G87" s="5"/>
      <c r="H87" s="5"/>
      <c r="I87" s="5"/>
      <c r="J87" s="5"/>
      <c r="K87" s="5"/>
      <c r="L87" s="5"/>
      <c r="M87" s="5"/>
      <c r="N87" s="5"/>
      <c r="O87" s="5"/>
      <c r="P87" s="5"/>
      <c r="Q87" s="5"/>
      <c r="R87" s="5"/>
      <c r="S87" s="5"/>
    </row>
    <row r="88" spans="1:19" x14ac:dyDescent="0.2">
      <c r="A88" s="5"/>
      <c r="B88" s="5"/>
      <c r="C88" s="5"/>
      <c r="D88" s="5"/>
      <c r="E88" s="5"/>
      <c r="F88" s="5"/>
      <c r="G88" s="5"/>
      <c r="H88" s="5"/>
      <c r="I88" s="5"/>
      <c r="J88" s="5"/>
      <c r="K88" s="5"/>
      <c r="L88" s="5"/>
      <c r="M88" s="5"/>
      <c r="N88" s="5"/>
      <c r="O88" s="5"/>
      <c r="P88" s="5"/>
      <c r="Q88" s="5"/>
      <c r="R88" s="5"/>
      <c r="S88" s="5"/>
    </row>
    <row r="89" spans="1:19" x14ac:dyDescent="0.2">
      <c r="A89" s="5"/>
      <c r="B89" s="5"/>
      <c r="C89" s="5"/>
      <c r="D89" s="5"/>
      <c r="E89" s="5"/>
      <c r="F89" s="5"/>
      <c r="G89" s="5"/>
      <c r="H89" s="5"/>
      <c r="I89" s="5"/>
      <c r="J89" s="5"/>
      <c r="K89" s="5"/>
      <c r="L89" s="5"/>
      <c r="M89" s="5"/>
      <c r="N89" s="5"/>
      <c r="O89" s="5"/>
      <c r="P89" s="5"/>
      <c r="Q89" s="5"/>
      <c r="R89" s="5"/>
      <c r="S89" s="5"/>
    </row>
    <row r="90" spans="1:19" x14ac:dyDescent="0.2">
      <c r="A90" s="5"/>
      <c r="B90" s="5"/>
      <c r="C90" s="5"/>
      <c r="D90" s="5"/>
      <c r="E90" s="5"/>
      <c r="F90" s="5"/>
      <c r="G90" s="5"/>
      <c r="H90" s="5"/>
      <c r="I90" s="5"/>
      <c r="J90" s="5"/>
      <c r="K90" s="5"/>
      <c r="L90" s="5"/>
      <c r="M90" s="5"/>
      <c r="N90" s="5"/>
      <c r="O90" s="5"/>
      <c r="P90" s="5"/>
      <c r="Q90" s="5"/>
      <c r="R90" s="5"/>
      <c r="S90" s="5"/>
    </row>
    <row r="91" spans="1:19" x14ac:dyDescent="0.2">
      <c r="A91" s="5"/>
      <c r="B91" s="5"/>
      <c r="C91" s="5"/>
      <c r="D91" s="5"/>
      <c r="E91" s="5"/>
      <c r="F91" s="5"/>
      <c r="G91" s="5"/>
      <c r="H91" s="5"/>
      <c r="I91" s="5"/>
      <c r="J91" s="5"/>
      <c r="K91" s="5"/>
      <c r="L91" s="5"/>
      <c r="M91" s="5"/>
      <c r="N91" s="5"/>
      <c r="O91" s="5"/>
      <c r="P91" s="5"/>
      <c r="Q91" s="5"/>
      <c r="R91" s="5"/>
      <c r="S91" s="5"/>
    </row>
    <row r="92" spans="1:19" x14ac:dyDescent="0.2">
      <c r="A92" s="5"/>
      <c r="B92" s="5"/>
      <c r="C92" s="5"/>
      <c r="D92" s="5"/>
      <c r="E92" s="5"/>
      <c r="F92" s="5"/>
      <c r="G92" s="5"/>
      <c r="H92" s="5"/>
      <c r="I92" s="5"/>
      <c r="J92" s="5"/>
      <c r="K92" s="5"/>
      <c r="L92" s="5"/>
      <c r="M92" s="5"/>
      <c r="N92" s="5"/>
      <c r="O92" s="5"/>
      <c r="P92" s="5"/>
      <c r="Q92" s="5"/>
      <c r="R92" s="5"/>
      <c r="S92" s="5"/>
    </row>
    <row r="93" spans="1:19" x14ac:dyDescent="0.2">
      <c r="A93" s="5"/>
      <c r="B93" s="5"/>
      <c r="C93" s="5"/>
      <c r="D93" s="5"/>
      <c r="E93" s="5"/>
      <c r="F93" s="5"/>
      <c r="G93" s="5"/>
      <c r="H93" s="5"/>
      <c r="I93" s="5"/>
      <c r="J93" s="5"/>
      <c r="K93" s="5"/>
      <c r="L93" s="5"/>
      <c r="M93" s="5"/>
      <c r="N93" s="5"/>
      <c r="O93" s="5"/>
      <c r="P93" s="5"/>
      <c r="Q93" s="5"/>
      <c r="R93" s="5"/>
      <c r="S93" s="5"/>
    </row>
    <row r="94" spans="1:19" x14ac:dyDescent="0.2">
      <c r="A94" s="5"/>
      <c r="B94" s="5"/>
      <c r="C94" s="5"/>
      <c r="D94" s="5"/>
      <c r="E94" s="5"/>
      <c r="F94" s="5"/>
      <c r="G94" s="5"/>
      <c r="H94" s="5"/>
      <c r="I94" s="5"/>
      <c r="J94" s="5"/>
      <c r="K94" s="5"/>
      <c r="L94" s="5"/>
      <c r="M94" s="5"/>
      <c r="N94" s="5"/>
      <c r="O94" s="5"/>
      <c r="P94" s="5"/>
      <c r="Q94" s="5"/>
      <c r="R94" s="5"/>
      <c r="S94" s="5"/>
    </row>
    <row r="95" spans="1:19" x14ac:dyDescent="0.2">
      <c r="A95" s="5"/>
      <c r="B95" s="5"/>
      <c r="C95" s="5"/>
      <c r="D95" s="5"/>
      <c r="E95" s="5"/>
      <c r="F95" s="5"/>
      <c r="G95" s="5"/>
      <c r="H95" s="5"/>
      <c r="I95" s="5"/>
      <c r="J95" s="5"/>
      <c r="K95" s="5"/>
      <c r="L95" s="5"/>
      <c r="M95" s="5"/>
      <c r="N95" s="5"/>
      <c r="O95" s="5"/>
      <c r="P95" s="5"/>
      <c r="Q95" s="5"/>
      <c r="R95" s="5"/>
      <c r="S95" s="5"/>
    </row>
    <row r="96" spans="1:19" x14ac:dyDescent="0.2">
      <c r="A96" s="5"/>
      <c r="B96" s="5"/>
      <c r="C96" s="5"/>
      <c r="D96" s="5"/>
      <c r="E96" s="5"/>
      <c r="F96" s="5"/>
      <c r="G96" s="5"/>
      <c r="H96" s="5"/>
      <c r="I96" s="5"/>
      <c r="J96" s="5"/>
      <c r="K96" s="5"/>
      <c r="L96" s="5"/>
      <c r="M96" s="5"/>
      <c r="N96" s="5"/>
      <c r="O96" s="5"/>
      <c r="P96" s="5"/>
      <c r="Q96" s="5"/>
      <c r="R96" s="5"/>
      <c r="S96" s="5"/>
    </row>
    <row r="97" spans="1:19" x14ac:dyDescent="0.2">
      <c r="A97" s="5"/>
      <c r="B97" s="5"/>
      <c r="C97" s="5"/>
      <c r="D97" s="5"/>
      <c r="E97" s="5"/>
      <c r="F97" s="5"/>
      <c r="G97" s="5"/>
      <c r="H97" s="5"/>
      <c r="I97" s="5"/>
      <c r="J97" s="5"/>
      <c r="K97" s="5"/>
      <c r="L97" s="5"/>
      <c r="M97" s="5"/>
      <c r="N97" s="5"/>
      <c r="O97" s="5"/>
      <c r="P97" s="5"/>
      <c r="Q97" s="5"/>
      <c r="R97" s="5"/>
      <c r="S97" s="5"/>
    </row>
    <row r="98" spans="1:19" x14ac:dyDescent="0.2">
      <c r="A98" s="5"/>
      <c r="B98" s="5"/>
      <c r="C98" s="5"/>
      <c r="D98" s="5"/>
      <c r="E98" s="5"/>
      <c r="F98" s="5"/>
      <c r="G98" s="5"/>
      <c r="H98" s="5"/>
      <c r="I98" s="5"/>
      <c r="J98" s="5"/>
      <c r="K98" s="5"/>
      <c r="L98" s="5"/>
      <c r="M98" s="5"/>
      <c r="N98" s="5"/>
      <c r="O98" s="5"/>
      <c r="P98" s="5"/>
      <c r="Q98" s="5"/>
      <c r="R98" s="5"/>
      <c r="S98" s="5"/>
    </row>
    <row r="99" spans="1:19" x14ac:dyDescent="0.2">
      <c r="A99" s="5"/>
      <c r="B99" s="5"/>
      <c r="C99" s="5"/>
      <c r="D99" s="5"/>
      <c r="E99" s="5"/>
      <c r="F99" s="5"/>
      <c r="G99" s="5"/>
      <c r="H99" s="5"/>
      <c r="I99" s="5"/>
      <c r="J99" s="5"/>
      <c r="K99" s="5"/>
      <c r="L99" s="5"/>
      <c r="M99" s="5"/>
      <c r="N99" s="5"/>
      <c r="O99" s="5"/>
      <c r="P99" s="5"/>
      <c r="Q99" s="5"/>
      <c r="R99" s="5"/>
      <c r="S99" s="5"/>
    </row>
    <row r="100" spans="1:19" x14ac:dyDescent="0.2">
      <c r="A100" s="5"/>
      <c r="B100" s="5"/>
      <c r="C100" s="5"/>
      <c r="D100" s="5"/>
      <c r="E100" s="5"/>
      <c r="F100" s="5"/>
      <c r="G100" s="5"/>
      <c r="H100" s="5"/>
      <c r="I100" s="5"/>
      <c r="J100" s="5"/>
      <c r="K100" s="5"/>
      <c r="L100" s="5"/>
      <c r="M100" s="5"/>
      <c r="N100" s="5"/>
      <c r="O100" s="5"/>
      <c r="P100" s="5"/>
      <c r="Q100" s="5"/>
      <c r="R100" s="5"/>
      <c r="S100" s="5"/>
    </row>
    <row r="101" spans="1:19" x14ac:dyDescent="0.2">
      <c r="A101" s="5"/>
      <c r="B101" s="5"/>
      <c r="C101" s="5"/>
      <c r="D101" s="5"/>
      <c r="E101" s="5"/>
      <c r="F101" s="5"/>
      <c r="G101" s="5"/>
      <c r="H101" s="5"/>
      <c r="I101" s="5"/>
      <c r="J101" s="5"/>
      <c r="K101" s="5"/>
      <c r="L101" s="5"/>
      <c r="M101" s="5"/>
      <c r="N101" s="5"/>
      <c r="O101" s="5"/>
      <c r="P101" s="5"/>
      <c r="Q101" s="5"/>
      <c r="R101" s="5"/>
      <c r="S101" s="5"/>
    </row>
    <row r="102" spans="1:19" x14ac:dyDescent="0.2">
      <c r="A102" s="5"/>
      <c r="B102" s="5"/>
      <c r="C102" s="5"/>
      <c r="D102" s="5"/>
      <c r="E102" s="5"/>
      <c r="F102" s="5"/>
      <c r="G102" s="5"/>
      <c r="H102" s="5"/>
      <c r="I102" s="5"/>
      <c r="J102" s="5"/>
      <c r="K102" s="5"/>
      <c r="L102" s="5"/>
      <c r="M102" s="5"/>
      <c r="N102" s="5"/>
      <c r="O102" s="5"/>
      <c r="P102" s="5"/>
      <c r="Q102" s="5"/>
      <c r="R102" s="5"/>
      <c r="S102" s="5"/>
    </row>
    <row r="103" spans="1:19" x14ac:dyDescent="0.2">
      <c r="A103" s="5"/>
      <c r="B103" s="5"/>
      <c r="C103" s="5"/>
      <c r="D103" s="5"/>
      <c r="E103" s="5"/>
      <c r="F103" s="5"/>
      <c r="G103" s="5"/>
      <c r="H103" s="5"/>
      <c r="I103" s="5"/>
      <c r="J103" s="5"/>
      <c r="K103" s="5"/>
      <c r="L103" s="5"/>
      <c r="M103" s="5"/>
      <c r="N103" s="5"/>
      <c r="O103" s="5"/>
      <c r="P103" s="5"/>
      <c r="Q103" s="5"/>
      <c r="R103" s="5"/>
      <c r="S103" s="5"/>
    </row>
    <row r="104" spans="1:19" x14ac:dyDescent="0.2">
      <c r="A104" s="5"/>
      <c r="B104" s="5"/>
      <c r="C104" s="5"/>
      <c r="D104" s="5"/>
      <c r="E104" s="5"/>
      <c r="F104" s="5"/>
      <c r="G104" s="5"/>
      <c r="H104" s="5"/>
      <c r="I104" s="5"/>
      <c r="J104" s="5"/>
      <c r="K104" s="5"/>
      <c r="L104" s="5"/>
      <c r="M104" s="5"/>
      <c r="N104" s="5"/>
      <c r="O104" s="5"/>
      <c r="P104" s="5"/>
      <c r="Q104" s="5"/>
      <c r="R104" s="5"/>
      <c r="S104" s="5"/>
    </row>
  </sheetData>
  <mergeCells count="11">
    <mergeCell ref="A22:F22"/>
    <mergeCell ref="A1:F7"/>
    <mergeCell ref="B10:E10"/>
    <mergeCell ref="B11:E11"/>
    <mergeCell ref="B12:E12"/>
    <mergeCell ref="B13:E13"/>
    <mergeCell ref="B14:E14"/>
    <mergeCell ref="A9:E9"/>
    <mergeCell ref="B8:D8"/>
    <mergeCell ref="B15:E17"/>
    <mergeCell ref="B18:E2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102"/>
  <sheetViews>
    <sheetView workbookViewId="0">
      <selection activeCell="H45" sqref="H45"/>
    </sheetView>
  </sheetViews>
  <sheetFormatPr defaultColWidth="17.140625" defaultRowHeight="12.75" customHeight="1" x14ac:dyDescent="0.2"/>
  <cols>
    <col min="2" max="2" width="68.5703125" customWidth="1"/>
  </cols>
  <sheetData>
    <row r="1" spans="1:3" ht="42" customHeight="1" x14ac:dyDescent="0.6">
      <c r="A1" s="881" t="s">
        <v>113</v>
      </c>
      <c r="B1" s="563"/>
    </row>
    <row r="2" spans="1:3" x14ac:dyDescent="0.2">
      <c r="A2" s="35"/>
      <c r="B2" s="36"/>
    </row>
    <row r="3" spans="1:3" ht="27" customHeight="1" x14ac:dyDescent="0.2">
      <c r="A3" s="7" t="s">
        <v>114</v>
      </c>
      <c r="B3" s="7" t="s">
        <v>115</v>
      </c>
      <c r="C3" s="39"/>
    </row>
    <row r="4" spans="1:3" x14ac:dyDescent="0.2">
      <c r="A4" s="2">
        <v>41285</v>
      </c>
      <c r="B4" s="28" t="s">
        <v>116</v>
      </c>
    </row>
    <row r="5" spans="1:3" x14ac:dyDescent="0.2">
      <c r="A5" s="64">
        <v>41290</v>
      </c>
      <c r="B5" t="s">
        <v>117</v>
      </c>
    </row>
    <row r="6" spans="1:3" s="159" customFormat="1" x14ac:dyDescent="0.2">
      <c r="A6" s="64">
        <v>41359</v>
      </c>
      <c r="B6" s="159" t="s">
        <v>182</v>
      </c>
    </row>
    <row r="7" spans="1:3" x14ac:dyDescent="0.2">
      <c r="A7" s="160">
        <v>41359</v>
      </c>
      <c r="B7" t="s">
        <v>179</v>
      </c>
    </row>
    <row r="8" spans="1:3" x14ac:dyDescent="0.2">
      <c r="A8" s="160">
        <v>41360</v>
      </c>
      <c r="B8" s="162" t="s">
        <v>194</v>
      </c>
    </row>
    <row r="9" spans="1:3" x14ac:dyDescent="0.2">
      <c r="A9" s="160">
        <v>41360</v>
      </c>
      <c r="B9" t="s">
        <v>177</v>
      </c>
    </row>
    <row r="10" spans="1:3" x14ac:dyDescent="0.2">
      <c r="A10" s="160">
        <v>41360</v>
      </c>
      <c r="B10" t="s">
        <v>178</v>
      </c>
    </row>
    <row r="11" spans="1:3" x14ac:dyDescent="0.2">
      <c r="A11" s="160">
        <v>41361</v>
      </c>
      <c r="B11" s="162" t="s">
        <v>193</v>
      </c>
    </row>
    <row r="12" spans="1:3" x14ac:dyDescent="0.2">
      <c r="A12" s="160">
        <v>41380</v>
      </c>
      <c r="B12" s="162" t="s">
        <v>228</v>
      </c>
    </row>
    <row r="13" spans="1:3" x14ac:dyDescent="0.2">
      <c r="A13" s="160">
        <v>41381</v>
      </c>
      <c r="B13" s="162" t="s">
        <v>229</v>
      </c>
    </row>
    <row r="14" spans="1:3" x14ac:dyDescent="0.2">
      <c r="A14" s="160">
        <v>41382</v>
      </c>
      <c r="B14" s="162" t="s">
        <v>230</v>
      </c>
    </row>
    <row r="15" spans="1:3" x14ac:dyDescent="0.2">
      <c r="A15" s="160">
        <v>41383</v>
      </c>
      <c r="B15" s="162" t="s">
        <v>231</v>
      </c>
    </row>
    <row r="16" spans="1:3" x14ac:dyDescent="0.2">
      <c r="A16" s="160">
        <v>41387</v>
      </c>
      <c r="B16" s="162" t="s">
        <v>312</v>
      </c>
    </row>
    <row r="17" spans="1:2" x14ac:dyDescent="0.2">
      <c r="A17" s="160">
        <v>41388</v>
      </c>
      <c r="B17" t="s">
        <v>307</v>
      </c>
    </row>
    <row r="18" spans="1:2" x14ac:dyDescent="0.2">
      <c r="A18" s="160">
        <v>41393</v>
      </c>
      <c r="B18" t="s">
        <v>308</v>
      </c>
    </row>
    <row r="19" spans="1:2" x14ac:dyDescent="0.2">
      <c r="A19" s="160">
        <v>41393</v>
      </c>
      <c r="B19" t="s">
        <v>309</v>
      </c>
    </row>
    <row r="20" spans="1:2" x14ac:dyDescent="0.2">
      <c r="A20" s="160">
        <v>41393</v>
      </c>
      <c r="B20" t="s">
        <v>310</v>
      </c>
    </row>
    <row r="21" spans="1:2" x14ac:dyDescent="0.2">
      <c r="A21" s="160">
        <v>41393</v>
      </c>
      <c r="B21" s="162" t="s">
        <v>313</v>
      </c>
    </row>
    <row r="22" spans="1:2" ht="25.5" x14ac:dyDescent="0.2">
      <c r="A22" s="160">
        <v>41398</v>
      </c>
      <c r="B22" t="s">
        <v>314</v>
      </c>
    </row>
    <row r="23" spans="1:2" x14ac:dyDescent="0.2">
      <c r="A23" s="160">
        <v>41409</v>
      </c>
      <c r="B23" s="162" t="s">
        <v>380</v>
      </c>
    </row>
    <row r="24" spans="1:2" x14ac:dyDescent="0.2">
      <c r="A24" s="160">
        <v>41415</v>
      </c>
      <c r="B24" s="162" t="s">
        <v>381</v>
      </c>
    </row>
    <row r="25" spans="1:2" s="409" customFormat="1" x14ac:dyDescent="0.2">
      <c r="A25" s="160"/>
      <c r="B25" s="162" t="s">
        <v>383</v>
      </c>
    </row>
    <row r="26" spans="1:2" x14ac:dyDescent="0.2">
      <c r="A26" s="160">
        <v>41426</v>
      </c>
      <c r="B26" s="162" t="s">
        <v>385</v>
      </c>
    </row>
    <row r="27" spans="1:2" ht="25.5" x14ac:dyDescent="0.2">
      <c r="A27" s="160">
        <v>41430</v>
      </c>
      <c r="B27" s="162" t="s">
        <v>382</v>
      </c>
    </row>
    <row r="28" spans="1:2" x14ac:dyDescent="0.2">
      <c r="A28" s="160">
        <v>41431</v>
      </c>
      <c r="B28" s="162" t="s">
        <v>444</v>
      </c>
    </row>
    <row r="29" spans="1:2" x14ac:dyDescent="0.2">
      <c r="A29" s="160">
        <v>41440</v>
      </c>
      <c r="B29" s="162" t="s">
        <v>384</v>
      </c>
    </row>
    <row r="30" spans="1:2" x14ac:dyDescent="0.2">
      <c r="A30" s="160"/>
    </row>
    <row r="31" spans="1:2" x14ac:dyDescent="0.2">
      <c r="A31" s="160"/>
    </row>
    <row r="32" spans="1:2" x14ac:dyDescent="0.2">
      <c r="A32" s="160"/>
    </row>
    <row r="33" spans="1:1" x14ac:dyDescent="0.2">
      <c r="A33" s="160"/>
    </row>
    <row r="34" spans="1:1" x14ac:dyDescent="0.2">
      <c r="A34" s="160"/>
    </row>
    <row r="35" spans="1:1" x14ac:dyDescent="0.2">
      <c r="A35" s="160"/>
    </row>
    <row r="36" spans="1:1" x14ac:dyDescent="0.2">
      <c r="A36" s="160"/>
    </row>
    <row r="37" spans="1:1" x14ac:dyDescent="0.2">
      <c r="A37" s="25"/>
    </row>
    <row r="38" spans="1:1" x14ac:dyDescent="0.2">
      <c r="A38" s="25"/>
    </row>
    <row r="39" spans="1:1" x14ac:dyDescent="0.2">
      <c r="A39" s="25"/>
    </row>
    <row r="40" spans="1:1" x14ac:dyDescent="0.2">
      <c r="A40" s="25"/>
    </row>
    <row r="41" spans="1:1" x14ac:dyDescent="0.2">
      <c r="A41" s="25"/>
    </row>
    <row r="42" spans="1:1" x14ac:dyDescent="0.2">
      <c r="A42" s="25"/>
    </row>
    <row r="43" spans="1:1" x14ac:dyDescent="0.2">
      <c r="A43" s="25"/>
    </row>
    <row r="44" spans="1:1" x14ac:dyDescent="0.2">
      <c r="A44" s="25"/>
    </row>
    <row r="45" spans="1:1" x14ac:dyDescent="0.2">
      <c r="A45" s="25"/>
    </row>
    <row r="46" spans="1:1" x14ac:dyDescent="0.2">
      <c r="A46" s="25"/>
    </row>
    <row r="47" spans="1:1" x14ac:dyDescent="0.2">
      <c r="A47" s="25"/>
    </row>
    <row r="48" spans="1:1" x14ac:dyDescent="0.2">
      <c r="A48" s="25"/>
    </row>
    <row r="49" spans="1:1" x14ac:dyDescent="0.2">
      <c r="A49" s="25"/>
    </row>
    <row r="50" spans="1:1" x14ac:dyDescent="0.2">
      <c r="A50" s="25"/>
    </row>
    <row r="51" spans="1:1" x14ac:dyDescent="0.2">
      <c r="A51" s="25"/>
    </row>
    <row r="52" spans="1:1" x14ac:dyDescent="0.2">
      <c r="A52" s="25"/>
    </row>
    <row r="53" spans="1:1" x14ac:dyDescent="0.2">
      <c r="A53" s="25"/>
    </row>
    <row r="54" spans="1:1" x14ac:dyDescent="0.2">
      <c r="A54" s="25"/>
    </row>
    <row r="55" spans="1:1" x14ac:dyDescent="0.2">
      <c r="A55" s="25"/>
    </row>
    <row r="56" spans="1:1" x14ac:dyDescent="0.2">
      <c r="A56" s="25"/>
    </row>
    <row r="57" spans="1:1" x14ac:dyDescent="0.2">
      <c r="A57" s="25"/>
    </row>
    <row r="58" spans="1:1" x14ac:dyDescent="0.2">
      <c r="A58" s="25"/>
    </row>
    <row r="59" spans="1:1" x14ac:dyDescent="0.2">
      <c r="A59" s="25"/>
    </row>
    <row r="60" spans="1:1" x14ac:dyDescent="0.2">
      <c r="A60" s="25"/>
    </row>
    <row r="61" spans="1:1" x14ac:dyDescent="0.2">
      <c r="A61" s="25"/>
    </row>
    <row r="62" spans="1:1" x14ac:dyDescent="0.2">
      <c r="A62" s="25"/>
    </row>
    <row r="63" spans="1:1" x14ac:dyDescent="0.2">
      <c r="A63" s="25"/>
    </row>
    <row r="64" spans="1:1" x14ac:dyDescent="0.2">
      <c r="A64" s="25"/>
    </row>
    <row r="65" spans="1:1" x14ac:dyDescent="0.2">
      <c r="A65" s="25"/>
    </row>
    <row r="66" spans="1:1" x14ac:dyDescent="0.2">
      <c r="A66" s="25"/>
    </row>
    <row r="67" spans="1:1" x14ac:dyDescent="0.2">
      <c r="A67" s="25"/>
    </row>
    <row r="68" spans="1:1" x14ac:dyDescent="0.2">
      <c r="A68" s="25"/>
    </row>
    <row r="69" spans="1:1" x14ac:dyDescent="0.2">
      <c r="A69" s="25"/>
    </row>
    <row r="70" spans="1:1" x14ac:dyDescent="0.2">
      <c r="A70" s="25"/>
    </row>
    <row r="71" spans="1:1" x14ac:dyDescent="0.2">
      <c r="A71" s="25"/>
    </row>
    <row r="72" spans="1:1" x14ac:dyDescent="0.2">
      <c r="A72" s="25"/>
    </row>
    <row r="73" spans="1:1" x14ac:dyDescent="0.2">
      <c r="A73" s="25"/>
    </row>
    <row r="74" spans="1:1" x14ac:dyDescent="0.2">
      <c r="A74" s="25"/>
    </row>
    <row r="75" spans="1:1" x14ac:dyDescent="0.2">
      <c r="A75" s="25"/>
    </row>
    <row r="76" spans="1:1" x14ac:dyDescent="0.2">
      <c r="A76" s="25"/>
    </row>
    <row r="77" spans="1:1" x14ac:dyDescent="0.2">
      <c r="A77" s="25"/>
    </row>
    <row r="78" spans="1:1" x14ac:dyDescent="0.2">
      <c r="A78" s="25"/>
    </row>
    <row r="79" spans="1:1" x14ac:dyDescent="0.2">
      <c r="A79" s="25"/>
    </row>
    <row r="80" spans="1:1" x14ac:dyDescent="0.2">
      <c r="A80" s="25"/>
    </row>
    <row r="81" spans="1:1" x14ac:dyDescent="0.2">
      <c r="A81" s="25"/>
    </row>
    <row r="82" spans="1:1" x14ac:dyDescent="0.2">
      <c r="A82" s="25"/>
    </row>
    <row r="83" spans="1:1" x14ac:dyDescent="0.2">
      <c r="A83" s="25"/>
    </row>
    <row r="84" spans="1:1" x14ac:dyDescent="0.2">
      <c r="A84" s="25"/>
    </row>
    <row r="85" spans="1:1" x14ac:dyDescent="0.2">
      <c r="A85" s="25"/>
    </row>
    <row r="86" spans="1:1" x14ac:dyDescent="0.2">
      <c r="A86" s="25"/>
    </row>
    <row r="87" spans="1:1" x14ac:dyDescent="0.2">
      <c r="A87" s="25"/>
    </row>
    <row r="88" spans="1:1" x14ac:dyDescent="0.2">
      <c r="A88" s="25"/>
    </row>
    <row r="89" spans="1:1" x14ac:dyDescent="0.2">
      <c r="A89" s="25"/>
    </row>
    <row r="90" spans="1:1" x14ac:dyDescent="0.2">
      <c r="A90" s="25"/>
    </row>
    <row r="91" spans="1:1" x14ac:dyDescent="0.2">
      <c r="A91" s="25"/>
    </row>
    <row r="92" spans="1:1" x14ac:dyDescent="0.2">
      <c r="A92" s="25"/>
    </row>
    <row r="93" spans="1:1" x14ac:dyDescent="0.2">
      <c r="A93" s="25"/>
    </row>
    <row r="94" spans="1:1" x14ac:dyDescent="0.2">
      <c r="A94" s="25"/>
    </row>
    <row r="95" spans="1:1" x14ac:dyDescent="0.2">
      <c r="A95" s="25"/>
    </row>
    <row r="96" spans="1:1" x14ac:dyDescent="0.2">
      <c r="A96" s="25"/>
    </row>
    <row r="97" spans="1:1" x14ac:dyDescent="0.2">
      <c r="A97" s="25"/>
    </row>
    <row r="98" spans="1:1" x14ac:dyDescent="0.2">
      <c r="A98" s="25"/>
    </row>
    <row r="99" spans="1:1" x14ac:dyDescent="0.2">
      <c r="A99" s="25"/>
    </row>
    <row r="100" spans="1:1" x14ac:dyDescent="0.2">
      <c r="A100" s="25"/>
    </row>
    <row r="101" spans="1:1" x14ac:dyDescent="0.2">
      <c r="A101" s="25"/>
    </row>
    <row r="102" spans="1:1" x14ac:dyDescent="0.2">
      <c r="A102" s="25"/>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0" sqref="N30"/>
    </sheetView>
  </sheetViews>
  <sheetFormatPr defaultRowHeight="12.75" x14ac:dyDescent="0.2"/>
  <cols>
    <col min="1" max="1" width="26.7109375" customWidth="1"/>
    <col min="2" max="2" width="17.8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J72"/>
  <sheetViews>
    <sheetView tabSelected="1" zoomScaleNormal="100" workbookViewId="0">
      <selection activeCell="D19" sqref="D19:J23"/>
    </sheetView>
  </sheetViews>
  <sheetFormatPr defaultColWidth="9.85546875" defaultRowHeight="15" customHeight="1" x14ac:dyDescent="0.2"/>
  <cols>
    <col min="1" max="1" width="55.5703125" style="18" customWidth="1"/>
    <col min="2" max="2" width="17.85546875" style="13" customWidth="1"/>
    <col min="3" max="3" width="11.85546875" style="18" customWidth="1"/>
    <col min="4" max="4" width="18.5703125" style="18" customWidth="1"/>
    <col min="7" max="7" width="13.85546875" customWidth="1"/>
    <col min="8" max="8" width="14.5703125" customWidth="1"/>
    <col min="9" max="9" width="14.7109375" customWidth="1"/>
    <col min="11" max="11" width="17.28515625" customWidth="1"/>
    <col min="12" max="12" width="14" customWidth="1"/>
  </cols>
  <sheetData>
    <row r="1" spans="1:13" ht="21.75" thickBot="1" x14ac:dyDescent="0.35">
      <c r="A1" s="498" t="s">
        <v>3</v>
      </c>
      <c r="B1" s="53"/>
      <c r="D1" s="589" t="s">
        <v>227</v>
      </c>
      <c r="E1" s="590"/>
      <c r="F1" s="590"/>
      <c r="G1" s="590"/>
      <c r="H1" s="590"/>
      <c r="I1" s="590"/>
      <c r="J1" s="590"/>
      <c r="K1" s="590"/>
      <c r="L1" s="590"/>
    </row>
    <row r="2" spans="1:13" x14ac:dyDescent="0.2">
      <c r="A2" s="26" t="s">
        <v>4</v>
      </c>
      <c r="B2" s="271">
        <v>3065</v>
      </c>
      <c r="C2" s="44"/>
      <c r="D2" s="597" t="s">
        <v>234</v>
      </c>
      <c r="E2" s="598"/>
      <c r="F2" s="598"/>
      <c r="G2" s="598"/>
      <c r="H2" s="598"/>
      <c r="I2" s="598"/>
      <c r="J2" s="598"/>
      <c r="K2" s="598"/>
      <c r="L2" s="599"/>
      <c r="M2" s="235"/>
    </row>
    <row r="3" spans="1:13" x14ac:dyDescent="0.2">
      <c r="A3" s="59" t="s">
        <v>5</v>
      </c>
      <c r="B3" s="272">
        <v>0</v>
      </c>
      <c r="C3" s="44"/>
      <c r="D3" s="260"/>
      <c r="E3" s="261" t="s">
        <v>195</v>
      </c>
      <c r="F3" s="261" t="s">
        <v>196</v>
      </c>
      <c r="G3" s="262" t="s">
        <v>197</v>
      </c>
      <c r="H3" s="262" t="s">
        <v>198</v>
      </c>
      <c r="I3" s="262"/>
      <c r="J3" s="262" t="s">
        <v>199</v>
      </c>
      <c r="K3" s="262" t="s">
        <v>200</v>
      </c>
      <c r="L3" s="263" t="s">
        <v>216</v>
      </c>
      <c r="M3" s="235"/>
    </row>
    <row r="4" spans="1:13" x14ac:dyDescent="0.2">
      <c r="A4" s="59" t="s">
        <v>6</v>
      </c>
      <c r="B4" s="272">
        <v>0</v>
      </c>
      <c r="C4" s="44"/>
      <c r="D4" s="236" t="s">
        <v>201</v>
      </c>
      <c r="E4" s="276">
        <v>0</v>
      </c>
      <c r="F4" s="276">
        <v>0</v>
      </c>
      <c r="G4" s="276">
        <v>0</v>
      </c>
      <c r="H4" s="276">
        <v>0</v>
      </c>
      <c r="I4" s="257"/>
      <c r="J4" s="208">
        <f t="shared" ref="J4:K6" si="0">IF(G4&gt;0,(E4+G4),E4)</f>
        <v>0</v>
      </c>
      <c r="K4" s="208">
        <f t="shared" si="0"/>
        <v>0</v>
      </c>
      <c r="L4" s="208">
        <f>IF(J4&gt;K4,(J4),(J4+K4)/2)</f>
        <v>0</v>
      </c>
      <c r="M4" s="235"/>
    </row>
    <row r="5" spans="1:13" x14ac:dyDescent="0.2">
      <c r="A5" s="193" t="s">
        <v>189</v>
      </c>
      <c r="B5" s="272">
        <v>0.51</v>
      </c>
      <c r="C5" s="44"/>
      <c r="D5" s="236" t="s">
        <v>202</v>
      </c>
      <c r="E5" s="277">
        <v>0</v>
      </c>
      <c r="F5" s="276">
        <v>0</v>
      </c>
      <c r="G5" s="276">
        <v>0</v>
      </c>
      <c r="H5" s="278">
        <v>0</v>
      </c>
      <c r="I5" s="258"/>
      <c r="J5" s="207">
        <f t="shared" si="0"/>
        <v>0</v>
      </c>
      <c r="K5" s="208">
        <f t="shared" si="0"/>
        <v>0</v>
      </c>
      <c r="L5" s="208">
        <f>IF(J5&gt;K5,(J5),(J5+K5)/2)</f>
        <v>0</v>
      </c>
      <c r="M5" s="235"/>
    </row>
    <row r="6" spans="1:13" x14ac:dyDescent="0.2">
      <c r="A6" s="59" t="s">
        <v>7</v>
      </c>
      <c r="B6" s="273">
        <v>0.47499999999999998</v>
      </c>
      <c r="C6" s="44"/>
      <c r="D6" s="236" t="s">
        <v>137</v>
      </c>
      <c r="E6" s="279">
        <v>63</v>
      </c>
      <c r="F6" s="280">
        <v>166</v>
      </c>
      <c r="G6" s="280">
        <v>0</v>
      </c>
      <c r="H6" s="281">
        <v>0</v>
      </c>
      <c r="I6" s="259"/>
      <c r="J6" s="207">
        <f t="shared" si="0"/>
        <v>63</v>
      </c>
      <c r="K6" s="208">
        <f t="shared" si="0"/>
        <v>166</v>
      </c>
      <c r="L6" s="208">
        <f>IF(J6&gt;K6,(J6),(J6+K6)/2)</f>
        <v>114.5</v>
      </c>
      <c r="M6" s="235"/>
    </row>
    <row r="7" spans="1:13" x14ac:dyDescent="0.2">
      <c r="A7" s="59" t="s">
        <v>8</v>
      </c>
      <c r="B7" s="273">
        <v>5.31</v>
      </c>
      <c r="C7" s="44"/>
      <c r="D7" s="215"/>
      <c r="E7" s="216"/>
      <c r="F7" s="216"/>
      <c r="G7" s="216"/>
      <c r="H7" s="217"/>
      <c r="I7" s="256" t="s">
        <v>203</v>
      </c>
      <c r="J7" s="214">
        <f>SUM(J4:J6)</f>
        <v>63</v>
      </c>
      <c r="K7" s="209">
        <f>SUM(K4:K6)</f>
        <v>166</v>
      </c>
      <c r="L7" s="234"/>
      <c r="M7" s="235"/>
    </row>
    <row r="8" spans="1:13" x14ac:dyDescent="0.2">
      <c r="A8" s="59" t="s">
        <v>9</v>
      </c>
      <c r="B8" s="272">
        <v>0.06</v>
      </c>
      <c r="C8" s="44"/>
      <c r="D8" s="602" t="s">
        <v>204</v>
      </c>
      <c r="E8" s="603"/>
      <c r="F8" s="603"/>
      <c r="G8" s="606">
        <f>IF(B12+B13&gt;0,(B39-K54)/(B12+B13),0)</f>
        <v>137.31117328620994</v>
      </c>
      <c r="H8" s="608" t="s">
        <v>205</v>
      </c>
      <c r="I8" s="219"/>
      <c r="J8" s="219"/>
      <c r="L8" s="219"/>
      <c r="M8" s="235"/>
    </row>
    <row r="9" spans="1:13" x14ac:dyDescent="0.2">
      <c r="A9" s="59" t="s">
        <v>10</v>
      </c>
      <c r="B9" s="272">
        <v>0.22</v>
      </c>
      <c r="C9" s="44"/>
      <c r="D9" s="604"/>
      <c r="E9" s="605"/>
      <c r="F9" s="605"/>
      <c r="G9" s="607">
        <f>((J1+K1)/2)*(1+(B2/100))</f>
        <v>0</v>
      </c>
      <c r="H9" s="609"/>
      <c r="I9" s="219"/>
      <c r="J9" s="219"/>
      <c r="K9" s="219"/>
      <c r="L9" s="219"/>
      <c r="M9" s="235"/>
    </row>
    <row r="10" spans="1:13" x14ac:dyDescent="0.2">
      <c r="A10" s="59" t="s">
        <v>11</v>
      </c>
      <c r="B10" s="272">
        <v>0</v>
      </c>
      <c r="C10" s="44"/>
      <c r="D10" s="218"/>
      <c r="E10" s="219"/>
      <c r="F10" s="219"/>
      <c r="G10" s="219"/>
      <c r="H10" s="219"/>
      <c r="I10" s="219"/>
      <c r="J10" s="219"/>
      <c r="K10" s="219"/>
      <c r="L10" s="219"/>
      <c r="M10" s="235"/>
    </row>
    <row r="11" spans="1:13" x14ac:dyDescent="0.2">
      <c r="A11" s="59" t="s">
        <v>12</v>
      </c>
      <c r="B11" s="272">
        <v>0.14000000000000001</v>
      </c>
      <c r="C11" s="44"/>
      <c r="D11" s="264"/>
      <c r="E11" s="265"/>
      <c r="F11" s="266"/>
      <c r="G11" s="266"/>
      <c r="H11" s="266"/>
      <c r="I11" s="266"/>
      <c r="J11" s="266"/>
      <c r="K11" s="613" t="s">
        <v>217</v>
      </c>
      <c r="L11" s="614"/>
      <c r="M11" s="235"/>
    </row>
    <row r="12" spans="1:13" x14ac:dyDescent="0.2">
      <c r="A12" s="59" t="s">
        <v>13</v>
      </c>
      <c r="B12" s="210">
        <f>J7</f>
        <v>63</v>
      </c>
      <c r="C12" s="44"/>
      <c r="D12" s="612" t="s">
        <v>215</v>
      </c>
      <c r="E12" s="611"/>
      <c r="F12" s="282">
        <v>0</v>
      </c>
      <c r="G12" s="610" t="s">
        <v>206</v>
      </c>
      <c r="H12" s="611"/>
      <c r="I12" s="600">
        <f>B39+(F12*G8)</f>
        <v>219431.37699680234</v>
      </c>
      <c r="J12" s="601"/>
      <c r="K12" s="572">
        <f>I12-B39</f>
        <v>0</v>
      </c>
      <c r="L12" s="573"/>
      <c r="M12" s="235"/>
    </row>
    <row r="13" spans="1:13" x14ac:dyDescent="0.2">
      <c r="A13" s="59" t="s">
        <v>14</v>
      </c>
      <c r="B13" s="210">
        <f>K7</f>
        <v>166</v>
      </c>
      <c r="C13" s="44"/>
      <c r="D13" s="267"/>
      <c r="E13" s="268"/>
      <c r="F13" s="268"/>
      <c r="G13" s="268"/>
      <c r="H13" s="268"/>
      <c r="I13" s="268"/>
      <c r="J13" s="269"/>
      <c r="K13" s="219"/>
      <c r="L13" s="219"/>
      <c r="M13" s="235"/>
    </row>
    <row r="14" spans="1:13" x14ac:dyDescent="0.2">
      <c r="A14" s="61"/>
      <c r="B14" s="76"/>
      <c r="D14" s="218"/>
      <c r="E14" s="219"/>
      <c r="F14" s="219"/>
      <c r="G14" s="219"/>
      <c r="H14" s="219"/>
      <c r="I14" s="219"/>
      <c r="J14" s="219"/>
      <c r="K14" s="219"/>
      <c r="L14" s="219"/>
      <c r="M14" s="235"/>
    </row>
    <row r="15" spans="1:13" ht="30" customHeight="1" x14ac:dyDescent="0.2">
      <c r="A15" s="7" t="s">
        <v>15</v>
      </c>
      <c r="B15" s="77"/>
      <c r="D15" s="591" t="s">
        <v>220</v>
      </c>
      <c r="E15" s="592"/>
      <c r="F15" s="237">
        <f>B39-K54</f>
        <v>31444.258682542073</v>
      </c>
      <c r="G15" s="593" t="s">
        <v>221</v>
      </c>
      <c r="H15" s="594"/>
      <c r="I15" s="238">
        <f>F15/B39</f>
        <v>0.14329882586937553</v>
      </c>
      <c r="J15" s="595" t="s">
        <v>222</v>
      </c>
      <c r="K15" s="594"/>
      <c r="L15" s="596"/>
      <c r="M15" s="235"/>
    </row>
    <row r="16" spans="1:13" x14ac:dyDescent="0.2">
      <c r="A16" s="193" t="s">
        <v>224</v>
      </c>
      <c r="B16" s="243">
        <f>IF(B18&gt;0,(B18*B17),B18)+IF(B19&gt;0,B19+B17,B17)+IF(B31&gt;0,B31,0)+IF(Buffs!F43="Y",0.03,0)</f>
        <v>1.3999999761999999</v>
      </c>
      <c r="C16" s="44"/>
    </row>
    <row r="17" spans="1:192" s="239" customFormat="1" x14ac:dyDescent="0.2">
      <c r="A17" s="193" t="s">
        <v>225</v>
      </c>
      <c r="B17" s="271">
        <v>1.3999999761999999</v>
      </c>
      <c r="C17" s="241"/>
      <c r="D17" s="18"/>
    </row>
    <row r="18" spans="1:192" s="239" customFormat="1" x14ac:dyDescent="0.2">
      <c r="A18" s="193" t="s">
        <v>226</v>
      </c>
      <c r="B18" s="274">
        <v>0</v>
      </c>
      <c r="C18" s="241"/>
      <c r="D18" s="18"/>
    </row>
    <row r="19" spans="1:192" s="239" customFormat="1" x14ac:dyDescent="0.2">
      <c r="A19" s="242" t="s">
        <v>235</v>
      </c>
      <c r="B19" s="271">
        <v>0</v>
      </c>
      <c r="C19" s="241"/>
      <c r="D19" s="580" t="s">
        <v>416</v>
      </c>
      <c r="E19" s="581"/>
      <c r="F19" s="581"/>
      <c r="G19" s="581"/>
      <c r="H19" s="581"/>
      <c r="I19" s="581"/>
      <c r="J19" s="582"/>
    </row>
    <row r="20" spans="1:192" x14ac:dyDescent="0.2">
      <c r="A20" s="59" t="s">
        <v>16</v>
      </c>
      <c r="B20" s="275">
        <v>500.4</v>
      </c>
      <c r="C20" s="44"/>
      <c r="D20" s="583"/>
      <c r="E20" s="584"/>
      <c r="F20" s="584"/>
      <c r="G20" s="584"/>
      <c r="H20" s="584"/>
      <c r="I20" s="584"/>
      <c r="J20" s="585"/>
      <c r="K20" s="446"/>
    </row>
    <row r="21" spans="1:192" x14ac:dyDescent="0.2">
      <c r="A21" s="59" t="s">
        <v>17</v>
      </c>
      <c r="B21" s="275">
        <v>1002.19</v>
      </c>
      <c r="C21" s="44"/>
      <c r="D21" s="583"/>
      <c r="E21" s="584"/>
      <c r="F21" s="584"/>
      <c r="G21" s="584"/>
      <c r="H21" s="584"/>
      <c r="I21" s="584"/>
      <c r="J21" s="585"/>
      <c r="K21" s="446"/>
    </row>
    <row r="22" spans="1:192" s="394" customFormat="1" x14ac:dyDescent="0.2">
      <c r="A22" s="193" t="s">
        <v>359</v>
      </c>
      <c r="B22" s="275">
        <v>0</v>
      </c>
      <c r="C22" s="241"/>
      <c r="D22" s="583"/>
      <c r="E22" s="584"/>
      <c r="F22" s="584"/>
      <c r="G22" s="584"/>
      <c r="H22" s="584"/>
      <c r="I22" s="584"/>
      <c r="J22" s="585"/>
    </row>
    <row r="23" spans="1:192" s="394" customFormat="1" x14ac:dyDescent="0.2">
      <c r="A23" s="193" t="s">
        <v>360</v>
      </c>
      <c r="B23" s="275">
        <v>0</v>
      </c>
      <c r="C23" s="241"/>
      <c r="D23" s="586"/>
      <c r="E23" s="587"/>
      <c r="F23" s="587"/>
      <c r="G23" s="587"/>
      <c r="H23" s="587"/>
      <c r="I23" s="587"/>
      <c r="J23" s="588"/>
    </row>
    <row r="24" spans="1:192" x14ac:dyDescent="0.2">
      <c r="A24" s="59" t="s">
        <v>18</v>
      </c>
      <c r="B24" s="412">
        <f>(B20-B22)</f>
        <v>500.4</v>
      </c>
      <c r="C24" s="44"/>
      <c r="D24" s="455"/>
      <c r="E24" s="456"/>
      <c r="F24" s="456"/>
      <c r="G24" s="456"/>
      <c r="I24" s="162"/>
      <c r="L24" s="162"/>
    </row>
    <row r="25" spans="1:192" x14ac:dyDescent="0.2">
      <c r="A25" s="59" t="s">
        <v>19</v>
      </c>
      <c r="B25" s="413">
        <f>(B21-B23)</f>
        <v>1002.19</v>
      </c>
      <c r="C25" s="44"/>
      <c r="D25" s="457"/>
      <c r="E25" s="458"/>
      <c r="F25" s="458"/>
      <c r="G25" s="458"/>
    </row>
    <row r="26" spans="1:192" x14ac:dyDescent="0.2">
      <c r="A26" s="50"/>
      <c r="B26" s="78"/>
      <c r="D26" s="459"/>
      <c r="E26" s="453"/>
      <c r="F26" s="454"/>
      <c r="G26" s="454"/>
      <c r="GJ26" s="162" t="s">
        <v>192</v>
      </c>
    </row>
    <row r="27" spans="1:192" ht="30" customHeight="1" x14ac:dyDescent="0.2">
      <c r="A27" s="7" t="s">
        <v>20</v>
      </c>
      <c r="B27" s="79"/>
      <c r="D27" s="576" t="s">
        <v>391</v>
      </c>
      <c r="E27" s="577"/>
      <c r="F27" s="577"/>
      <c r="G27" s="578"/>
      <c r="I27" s="579" t="s">
        <v>49</v>
      </c>
      <c r="J27" s="578"/>
    </row>
    <row r="28" spans="1:192" x14ac:dyDescent="0.2">
      <c r="A28" s="193" t="s">
        <v>224</v>
      </c>
      <c r="B28" s="243">
        <f>IF(B30&gt;0,(B30*B29),B30)+IF(B31&gt;0,B31+B29,B29)+IF(B19&gt;0,B19,0)+IF(Buffs!F43="Y",0.03,0)</f>
        <v>1.3999999761999999</v>
      </c>
      <c r="C28" s="195"/>
      <c r="D28" s="467" t="s">
        <v>29</v>
      </c>
      <c r="E28" s="474" t="s">
        <v>392</v>
      </c>
      <c r="F28" s="468" t="s">
        <v>31</v>
      </c>
      <c r="G28" s="468" t="s">
        <v>32</v>
      </c>
      <c r="I28" s="1" t="s">
        <v>25</v>
      </c>
      <c r="J28" s="199">
        <v>5179.5</v>
      </c>
    </row>
    <row r="29" spans="1:192" s="239" customFormat="1" x14ac:dyDescent="0.2">
      <c r="A29" s="193" t="s">
        <v>225</v>
      </c>
      <c r="B29" s="271">
        <v>1.3999999761999999</v>
      </c>
      <c r="C29" s="195"/>
      <c r="D29" s="294">
        <v>0</v>
      </c>
      <c r="E29" s="469">
        <f>(D29*'Calculations &amp; Constants'!A36)*'Calculations &amp; Constants'!A38</f>
        <v>0</v>
      </c>
      <c r="F29" s="470">
        <f>((D29*0.75)*'Calculations &amp; Constants'!A36)*(Summary!B2-1)</f>
        <v>0</v>
      </c>
      <c r="G29" s="499">
        <f>E29+F29</f>
        <v>0</v>
      </c>
      <c r="I29" s="1" t="s">
        <v>26</v>
      </c>
      <c r="J29" s="200">
        <v>656.8</v>
      </c>
    </row>
    <row r="30" spans="1:192" s="239" customFormat="1" x14ac:dyDescent="0.2">
      <c r="A30" s="193" t="s">
        <v>226</v>
      </c>
      <c r="B30" s="274">
        <v>0</v>
      </c>
      <c r="C30" s="195"/>
      <c r="D30" s="463"/>
      <c r="E30" s="177"/>
      <c r="F30" s="177"/>
      <c r="G30" s="471"/>
      <c r="I30" s="1" t="s">
        <v>27</v>
      </c>
      <c r="J30" s="200">
        <v>1010</v>
      </c>
    </row>
    <row r="31" spans="1:192" s="239" customFormat="1" x14ac:dyDescent="0.2">
      <c r="A31" s="242" t="s">
        <v>223</v>
      </c>
      <c r="B31" s="271">
        <v>0</v>
      </c>
      <c r="C31" s="195"/>
      <c r="D31" s="554" t="s">
        <v>33</v>
      </c>
      <c r="E31" s="555" t="s">
        <v>392</v>
      </c>
      <c r="F31" s="556" t="s">
        <v>31</v>
      </c>
      <c r="G31" s="557" t="s">
        <v>32</v>
      </c>
      <c r="I31" s="1" t="s">
        <v>28</v>
      </c>
      <c r="J31" s="201">
        <v>0.28999999999999998</v>
      </c>
    </row>
    <row r="32" spans="1:192" x14ac:dyDescent="0.2">
      <c r="A32" s="59" t="s">
        <v>21</v>
      </c>
      <c r="B32" s="275">
        <v>397.3</v>
      </c>
      <c r="C32" s="196"/>
      <c r="D32" s="464">
        <v>5.9000000000000004E-2</v>
      </c>
      <c r="E32" s="469">
        <f>((('Calculations &amp; Constants'!B58*0.8)+('Calculations &amp; Constants'!B66*0.2))*0.2)*D32</f>
        <v>15547.832468481767</v>
      </c>
      <c r="F32" s="470">
        <f>(((('Calculations &amp; Constants'!B59*0.8)+('Calculations &amp; Constants'!B67*0.2))-(('Calculations &amp; Constants'!B58*0.8)+('Calculations &amp; Constants'!B66*0.2)))*0.2)*D32</f>
        <v>0</v>
      </c>
      <c r="G32" s="499">
        <f>((('Calculations &amp; Constants'!B59*0.8)+('Calculations &amp; Constants'!B67*0.2))*0.2)*D32</f>
        <v>15547.832468481767</v>
      </c>
    </row>
    <row r="33" spans="1:7" x14ac:dyDescent="0.2">
      <c r="A33" s="59" t="s">
        <v>22</v>
      </c>
      <c r="B33" s="275">
        <v>887.7</v>
      </c>
      <c r="C33" s="196"/>
      <c r="D33" s="465"/>
      <c r="E33" s="177"/>
      <c r="F33" s="177"/>
      <c r="G33" s="471"/>
    </row>
    <row r="34" spans="1:7" s="394" customFormat="1" x14ac:dyDescent="0.2">
      <c r="A34" s="193" t="s">
        <v>359</v>
      </c>
      <c r="B34" s="275">
        <v>274</v>
      </c>
      <c r="C34" s="196"/>
      <c r="D34" s="462" t="s">
        <v>34</v>
      </c>
      <c r="E34" s="473" t="s">
        <v>392</v>
      </c>
      <c r="F34" s="178" t="s">
        <v>31</v>
      </c>
      <c r="G34" s="472" t="s">
        <v>32</v>
      </c>
    </row>
    <row r="35" spans="1:7" s="394" customFormat="1" x14ac:dyDescent="0.2">
      <c r="A35" s="193" t="s">
        <v>360</v>
      </c>
      <c r="B35" s="275">
        <v>600</v>
      </c>
      <c r="C35" s="196"/>
      <c r="D35" s="466">
        <v>297</v>
      </c>
      <c r="E35" s="469" t="s">
        <v>35</v>
      </c>
      <c r="F35" s="470" t="s">
        <v>35</v>
      </c>
      <c r="G35" s="499">
        <f>D35</f>
        <v>297</v>
      </c>
    </row>
    <row r="36" spans="1:7" x14ac:dyDescent="0.2">
      <c r="A36" s="59" t="s">
        <v>23</v>
      </c>
      <c r="B36" s="412">
        <f>(B32-B34)</f>
        <v>123.30000000000001</v>
      </c>
      <c r="C36" s="196"/>
      <c r="D36" s="463"/>
      <c r="E36" s="177"/>
      <c r="F36" s="177"/>
      <c r="G36" s="471"/>
    </row>
    <row r="37" spans="1:7" x14ac:dyDescent="0.2">
      <c r="A37" s="7" t="s">
        <v>19</v>
      </c>
      <c r="B37" s="413">
        <f>(B33-B35)</f>
        <v>287.70000000000005</v>
      </c>
      <c r="C37" s="196"/>
      <c r="D37" s="462" t="s">
        <v>36</v>
      </c>
      <c r="E37" s="473" t="s">
        <v>393</v>
      </c>
      <c r="F37" s="178" t="s">
        <v>31</v>
      </c>
      <c r="G37" s="472" t="s">
        <v>32</v>
      </c>
    </row>
    <row r="38" spans="1:7" x14ac:dyDescent="0.2">
      <c r="A38" s="54"/>
      <c r="B38" s="12"/>
      <c r="D38" s="466">
        <v>0</v>
      </c>
      <c r="E38" s="469" t="s">
        <v>35</v>
      </c>
      <c r="F38" s="470" t="s">
        <v>35</v>
      </c>
      <c r="G38" s="499">
        <f>('Calculations &amp; Constants'!A36*6)*D38</f>
        <v>0</v>
      </c>
    </row>
    <row r="39" spans="1:7" x14ac:dyDescent="0.2">
      <c r="A39" s="192" t="s">
        <v>191</v>
      </c>
      <c r="B39" s="212">
        <f>'Calculations &amp; Constants'!B91</f>
        <v>219431.37699680234</v>
      </c>
    </row>
    <row r="40" spans="1:7" x14ac:dyDescent="0.25">
      <c r="A40" s="192" t="s">
        <v>377</v>
      </c>
      <c r="B40" s="213">
        <f>'Calculations &amp; Constants'!B74</f>
        <v>1317612.9210577765</v>
      </c>
    </row>
    <row r="41" spans="1:7" x14ac:dyDescent="0.2">
      <c r="A41" s="28"/>
    </row>
    <row r="42" spans="1:7" ht="15" customHeight="1" x14ac:dyDescent="0.2">
      <c r="A42" s="194" t="s">
        <v>167</v>
      </c>
    </row>
    <row r="43" spans="1:7" ht="15" customHeight="1" x14ac:dyDescent="0.2">
      <c r="A43" s="194" t="s">
        <v>190</v>
      </c>
    </row>
    <row r="47" spans="1:7" x14ac:dyDescent="0.2">
      <c r="A47" s="45"/>
      <c r="B47" s="34"/>
      <c r="C47" s="34"/>
      <c r="D47" s="45"/>
    </row>
    <row r="52" spans="1:15" ht="15" hidden="1" customHeight="1" x14ac:dyDescent="0.2"/>
    <row r="53" spans="1:15" ht="15" hidden="1" customHeight="1" x14ac:dyDescent="0.2">
      <c r="A53"/>
      <c r="B53"/>
      <c r="C53"/>
      <c r="D53" s="233" t="s">
        <v>212</v>
      </c>
      <c r="E53" s="232"/>
      <c r="F53" s="232"/>
      <c r="G53" s="162" t="s">
        <v>213</v>
      </c>
      <c r="H53" s="232"/>
      <c r="I53" s="162" t="s">
        <v>214</v>
      </c>
      <c r="J53" s="232"/>
      <c r="K53" s="270" t="s">
        <v>48</v>
      </c>
      <c r="L53" s="162"/>
    </row>
    <row r="54" spans="1:15" ht="15" hidden="1" customHeight="1" x14ac:dyDescent="0.2">
      <c r="A54"/>
      <c r="B54"/>
      <c r="C54"/>
      <c r="D54" s="194">
        <f>(B24+B25)/2*(B8)</f>
        <v>45.0777</v>
      </c>
      <c r="E54" s="232"/>
      <c r="F54" s="232"/>
      <c r="G54" s="232">
        <f>(B24+B25)/2+D54</f>
        <v>796.37270000000012</v>
      </c>
      <c r="H54" s="232"/>
      <c r="I54" s="232">
        <f>(G54+G58)/2</f>
        <v>725.60135000000014</v>
      </c>
      <c r="J54" s="232"/>
      <c r="K54" s="232">
        <f>((($O$54*$O$55)*$O$56)*$O$57)*$O$58</f>
        <v>187987.11831426027</v>
      </c>
      <c r="L54" s="227"/>
      <c r="N54" s="244" t="s">
        <v>236</v>
      </c>
      <c r="O54" s="14">
        <f>'Calculations &amp; Constants'!$B$86</f>
        <v>31.65</v>
      </c>
    </row>
    <row r="55" spans="1:15" ht="15" hidden="1" customHeight="1" x14ac:dyDescent="0.2">
      <c r="A55"/>
      <c r="B55"/>
      <c r="C55"/>
      <c r="E55" s="232"/>
      <c r="F55" s="232"/>
      <c r="G55" s="232"/>
      <c r="H55" s="232"/>
      <c r="I55" s="232"/>
      <c r="J55" s="232"/>
      <c r="K55" s="232"/>
      <c r="L55" s="228"/>
      <c r="N55" s="244" t="s">
        <v>238</v>
      </c>
      <c r="O55">
        <f>'Calculations &amp; Constants'!$B$87</f>
        <v>3.5222499999999997</v>
      </c>
    </row>
    <row r="56" spans="1:15" ht="15" hidden="1" customHeight="1" x14ac:dyDescent="0.2">
      <c r="A56"/>
      <c r="B56"/>
      <c r="C56"/>
      <c r="E56" s="232"/>
      <c r="F56" s="232"/>
      <c r="G56" s="232"/>
      <c r="H56" s="232"/>
      <c r="I56" s="232"/>
      <c r="J56" s="232"/>
      <c r="K56" s="232"/>
      <c r="L56" s="197"/>
      <c r="N56" s="244" t="s">
        <v>237</v>
      </c>
      <c r="O56">
        <f>'Calculations &amp; Constants'!$B$88</f>
        <v>2.3239999604920003</v>
      </c>
    </row>
    <row r="57" spans="1:15" ht="15" hidden="1" customHeight="1" x14ac:dyDescent="0.2">
      <c r="A57"/>
      <c r="B57"/>
      <c r="C57"/>
      <c r="D57" s="194" t="s">
        <v>211</v>
      </c>
      <c r="E57" s="232"/>
      <c r="F57" s="232"/>
      <c r="G57" s="232"/>
      <c r="H57" s="232"/>
      <c r="I57" s="232"/>
      <c r="J57" s="232"/>
      <c r="K57" s="232"/>
      <c r="L57" s="176"/>
      <c r="N57" s="244" t="s">
        <v>232</v>
      </c>
      <c r="O57">
        <f>$I$54</f>
        <v>725.60135000000014</v>
      </c>
    </row>
    <row r="58" spans="1:15" ht="15" hidden="1" customHeight="1" x14ac:dyDescent="0.2">
      <c r="A58"/>
      <c r="B58"/>
      <c r="C58"/>
      <c r="D58" s="18">
        <f>(B36+B37)/2*(B8)</f>
        <v>12.330000000000002</v>
      </c>
      <c r="E58" s="232"/>
      <c r="F58" s="232"/>
      <c r="G58" s="232">
        <f>(B32+B33)/2+D58</f>
        <v>654.83000000000004</v>
      </c>
      <c r="H58" s="232"/>
      <c r="I58" s="232"/>
      <c r="J58" s="232"/>
      <c r="K58" s="232"/>
      <c r="L58" s="14"/>
      <c r="N58" s="244" t="s">
        <v>239</v>
      </c>
      <c r="O58" s="14">
        <f>'Calculations &amp; Constants'!$B$90</f>
        <v>1</v>
      </c>
    </row>
    <row r="59" spans="1:15" ht="15" hidden="1" customHeight="1" x14ac:dyDescent="0.2"/>
    <row r="60" spans="1:15" ht="15" customHeight="1" x14ac:dyDescent="0.2">
      <c r="B60" s="574"/>
      <c r="C60" s="575"/>
      <c r="D60" s="575"/>
      <c r="E60" s="575"/>
    </row>
    <row r="61" spans="1:15" ht="15" customHeight="1" x14ac:dyDescent="0.2">
      <c r="B61" s="575"/>
      <c r="C61" s="575"/>
      <c r="D61" s="575"/>
      <c r="E61" s="575"/>
    </row>
    <row r="62" spans="1:15" ht="15" customHeight="1" x14ac:dyDescent="0.2">
      <c r="B62" s="450"/>
      <c r="C62" s="450"/>
      <c r="D62" s="451"/>
      <c r="E62" s="451"/>
    </row>
    <row r="63" spans="1:15" ht="15" customHeight="1" x14ac:dyDescent="0.2">
      <c r="B63" s="452"/>
      <c r="C63" s="453"/>
      <c r="D63" s="454"/>
      <c r="E63" s="454"/>
    </row>
    <row r="64" spans="1:15" ht="15" customHeight="1" x14ac:dyDescent="0.2">
      <c r="B64" s="455"/>
      <c r="C64" s="456"/>
      <c r="D64" s="456"/>
      <c r="E64" s="456"/>
    </row>
    <row r="65" spans="2:5" ht="15" customHeight="1" x14ac:dyDescent="0.2">
      <c r="B65" s="457"/>
      <c r="C65" s="458"/>
      <c r="D65" s="458"/>
      <c r="E65" s="458"/>
    </row>
    <row r="66" spans="2:5" ht="15" customHeight="1" x14ac:dyDescent="0.2">
      <c r="B66" s="459"/>
      <c r="C66" s="453"/>
      <c r="D66" s="454"/>
      <c r="E66" s="454"/>
    </row>
    <row r="67" spans="2:5" ht="15" customHeight="1" x14ac:dyDescent="0.2">
      <c r="B67" s="460"/>
      <c r="C67" s="456"/>
      <c r="D67" s="456"/>
      <c r="E67" s="456"/>
    </row>
    <row r="68" spans="2:5" ht="15" customHeight="1" x14ac:dyDescent="0.2">
      <c r="B68" s="450"/>
      <c r="C68" s="458"/>
      <c r="D68" s="458"/>
      <c r="E68" s="458"/>
    </row>
    <row r="69" spans="2:5" ht="15" customHeight="1" x14ac:dyDescent="0.2">
      <c r="B69" s="461"/>
      <c r="C69" s="453"/>
      <c r="D69" s="454"/>
      <c r="E69" s="454"/>
    </row>
    <row r="70" spans="2:5" ht="15" customHeight="1" x14ac:dyDescent="0.2">
      <c r="B70" s="455"/>
      <c r="C70" s="456"/>
      <c r="D70" s="456"/>
      <c r="E70" s="456"/>
    </row>
    <row r="71" spans="2:5" ht="15" customHeight="1" x14ac:dyDescent="0.2">
      <c r="B71" s="450"/>
      <c r="C71" s="458"/>
      <c r="D71" s="458"/>
      <c r="E71" s="458"/>
    </row>
    <row r="72" spans="2:5" ht="15" customHeight="1" x14ac:dyDescent="0.2">
      <c r="B72" s="461"/>
      <c r="C72" s="453"/>
      <c r="D72" s="454"/>
      <c r="E72" s="454"/>
    </row>
  </sheetData>
  <mergeCells count="17">
    <mergeCell ref="D1:L1"/>
    <mergeCell ref="D15:E15"/>
    <mergeCell ref="G15:H15"/>
    <mergeCell ref="J15:L15"/>
    <mergeCell ref="D2:L2"/>
    <mergeCell ref="I12:J12"/>
    <mergeCell ref="D8:F9"/>
    <mergeCell ref="G8:G9"/>
    <mergeCell ref="H8:H9"/>
    <mergeCell ref="G12:H12"/>
    <mergeCell ref="D12:E12"/>
    <mergeCell ref="K11:L11"/>
    <mergeCell ref="K12:L12"/>
    <mergeCell ref="B60:E61"/>
    <mergeCell ref="D27:G27"/>
    <mergeCell ref="I27:J27"/>
    <mergeCell ref="D19:J2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49"/>
  <sheetViews>
    <sheetView topLeftCell="A4" workbookViewId="0">
      <selection activeCell="C28" sqref="C28"/>
    </sheetView>
  </sheetViews>
  <sheetFormatPr defaultColWidth="9.85546875" defaultRowHeight="15" customHeight="1" x14ac:dyDescent="0.2"/>
  <cols>
    <col min="1" max="5" width="25.7109375" customWidth="1"/>
    <col min="6" max="6" width="25.7109375" style="89" customWidth="1"/>
    <col min="7" max="10" width="25.7109375" customWidth="1"/>
  </cols>
  <sheetData>
    <row r="1" spans="1:11" s="95" customFormat="1" ht="15" customHeight="1" x14ac:dyDescent="0.2">
      <c r="A1" s="641" t="s">
        <v>422</v>
      </c>
      <c r="B1" s="642"/>
      <c r="C1" s="642"/>
      <c r="D1" s="642"/>
      <c r="E1" s="642"/>
      <c r="F1" s="642"/>
      <c r="G1" s="642"/>
      <c r="H1" s="642"/>
      <c r="I1" s="642"/>
      <c r="J1" s="642"/>
      <c r="K1" s="510"/>
    </row>
    <row r="2" spans="1:11" s="95" customFormat="1" ht="15" customHeight="1" x14ac:dyDescent="0.2">
      <c r="A2" s="642"/>
      <c r="B2" s="642"/>
      <c r="C2" s="642"/>
      <c r="D2" s="642"/>
      <c r="E2" s="642"/>
      <c r="F2" s="642"/>
      <c r="G2" s="642"/>
      <c r="H2" s="642"/>
      <c r="I2" s="642"/>
      <c r="J2" s="642"/>
      <c r="K2" s="510"/>
    </row>
    <row r="3" spans="1:11" s="95" customFormat="1" ht="15" customHeight="1" x14ac:dyDescent="0.2">
      <c r="A3" s="642"/>
      <c r="B3" s="642"/>
      <c r="C3" s="642"/>
      <c r="D3" s="642"/>
      <c r="E3" s="642"/>
      <c r="F3" s="642"/>
      <c r="G3" s="642"/>
      <c r="H3" s="642"/>
      <c r="I3" s="642"/>
      <c r="J3" s="642"/>
      <c r="K3" s="510"/>
    </row>
    <row r="4" spans="1:11" s="508" customFormat="1" ht="15" customHeight="1" x14ac:dyDescent="0.2">
      <c r="A4" s="642"/>
      <c r="B4" s="642"/>
      <c r="C4" s="642"/>
      <c r="D4" s="642"/>
      <c r="E4" s="642"/>
      <c r="F4" s="642"/>
      <c r="G4" s="642"/>
      <c r="H4" s="642"/>
      <c r="I4" s="642"/>
      <c r="J4" s="642"/>
      <c r="K4" s="510"/>
    </row>
    <row r="5" spans="1:11" ht="12.75" x14ac:dyDescent="0.2">
      <c r="A5" s="642"/>
      <c r="B5" s="642"/>
      <c r="C5" s="642"/>
      <c r="D5" s="642"/>
      <c r="E5" s="642"/>
      <c r="F5" s="642"/>
      <c r="G5" s="642"/>
      <c r="H5" s="642"/>
      <c r="I5" s="642"/>
      <c r="J5" s="642"/>
      <c r="K5" s="510"/>
    </row>
    <row r="6" spans="1:11" s="95" customFormat="1" ht="12.75" x14ac:dyDescent="0.2">
      <c r="A6" s="337"/>
      <c r="B6" s="337"/>
      <c r="C6" s="337"/>
      <c r="D6" s="643" t="s">
        <v>172</v>
      </c>
      <c r="E6" s="644"/>
      <c r="F6" s="645"/>
      <c r="G6" s="337"/>
      <c r="H6" s="337"/>
      <c r="I6" s="646"/>
      <c r="J6" s="646"/>
      <c r="K6" s="510"/>
    </row>
    <row r="7" spans="1:11" s="508" customFormat="1" ht="12.75" x14ac:dyDescent="0.2">
      <c r="A7" s="337"/>
      <c r="B7" s="337"/>
      <c r="C7" s="337"/>
      <c r="D7" s="618" t="s">
        <v>430</v>
      </c>
      <c r="E7" s="619"/>
      <c r="F7" s="620"/>
      <c r="G7" s="337"/>
      <c r="H7" s="337"/>
      <c r="I7" s="531"/>
      <c r="J7" s="531"/>
      <c r="K7" s="510"/>
    </row>
    <row r="8" spans="1:11" ht="15" customHeight="1" x14ac:dyDescent="0.25">
      <c r="A8" s="519" t="s">
        <v>423</v>
      </c>
      <c r="B8" s="510"/>
      <c r="C8" s="337"/>
      <c r="D8" s="165" t="s">
        <v>173</v>
      </c>
      <c r="E8" s="165" t="s">
        <v>174</v>
      </c>
      <c r="F8" s="165" t="s">
        <v>175</v>
      </c>
      <c r="G8" s="337"/>
      <c r="H8" s="337"/>
      <c r="I8" s="652" t="s">
        <v>423</v>
      </c>
      <c r="J8" s="653"/>
      <c r="K8" s="510"/>
    </row>
    <row r="9" spans="1:11" ht="15" customHeight="1" x14ac:dyDescent="0.2">
      <c r="A9" s="337"/>
      <c r="B9" s="337"/>
      <c r="C9" s="337"/>
      <c r="D9" s="514" t="s">
        <v>43</v>
      </c>
      <c r="E9" s="511" t="s">
        <v>43</v>
      </c>
      <c r="F9" s="512" t="s">
        <v>43</v>
      </c>
      <c r="G9" s="337"/>
      <c r="H9" s="337"/>
      <c r="I9" s="337"/>
      <c r="J9" s="337"/>
      <c r="K9" s="510"/>
    </row>
    <row r="10" spans="1:11" x14ac:dyDescent="0.25">
      <c r="A10" s="520"/>
      <c r="B10" s="520"/>
      <c r="C10" s="521"/>
      <c r="D10" s="542"/>
      <c r="E10" s="542"/>
      <c r="F10" s="543"/>
      <c r="G10" s="532"/>
      <c r="H10" s="520"/>
      <c r="I10" s="520"/>
      <c r="J10" s="520"/>
      <c r="K10" s="510"/>
    </row>
    <row r="11" spans="1:11" x14ac:dyDescent="0.25">
      <c r="A11" s="337"/>
      <c r="B11" s="522"/>
      <c r="C11" s="523"/>
      <c r="D11" s="544"/>
      <c r="E11" s="509"/>
      <c r="F11" s="510"/>
      <c r="G11" s="320"/>
      <c r="H11" s="510"/>
      <c r="I11" s="533"/>
      <c r="J11" s="526"/>
      <c r="K11" s="510"/>
    </row>
    <row r="12" spans="1:11" ht="12.75" x14ac:dyDescent="0.2">
      <c r="A12" s="648" t="s">
        <v>442</v>
      </c>
      <c r="B12" s="510"/>
      <c r="C12" s="545" t="s">
        <v>188</v>
      </c>
      <c r="D12" s="337"/>
      <c r="E12" s="510"/>
      <c r="F12" s="337"/>
      <c r="G12" s="638" t="s">
        <v>180</v>
      </c>
      <c r="H12" s="639"/>
      <c r="I12" s="337"/>
      <c r="J12" s="640" t="s">
        <v>435</v>
      </c>
      <c r="K12" s="510"/>
    </row>
    <row r="13" spans="1:11" x14ac:dyDescent="0.2">
      <c r="A13" s="649"/>
      <c r="B13" s="348"/>
      <c r="C13" s="94" t="s">
        <v>37</v>
      </c>
      <c r="D13" s="337"/>
      <c r="E13" s="510"/>
      <c r="F13" s="337"/>
      <c r="G13" s="94" t="s">
        <v>38</v>
      </c>
      <c r="H13" s="94" t="s">
        <v>39</v>
      </c>
      <c r="I13" s="320"/>
      <c r="J13" s="616"/>
      <c r="K13" s="510"/>
    </row>
    <row r="14" spans="1:11" x14ac:dyDescent="0.25">
      <c r="A14" s="650"/>
      <c r="B14" s="524"/>
      <c r="C14" s="202" t="s">
        <v>43</v>
      </c>
      <c r="D14" s="524"/>
      <c r="E14" s="524"/>
      <c r="F14" s="524"/>
      <c r="G14" s="202" t="s">
        <v>43</v>
      </c>
      <c r="H14" s="202" t="s">
        <v>43</v>
      </c>
      <c r="I14" s="337"/>
      <c r="J14" s="617"/>
      <c r="K14" s="510"/>
    </row>
    <row r="15" spans="1:11" x14ac:dyDescent="0.25">
      <c r="A15" s="525"/>
      <c r="B15" s="525"/>
      <c r="C15" s="529"/>
      <c r="D15" s="525"/>
      <c r="E15" s="525"/>
      <c r="F15" s="525"/>
      <c r="G15" s="535"/>
      <c r="H15" s="525"/>
      <c r="I15" s="534"/>
      <c r="J15" s="525"/>
      <c r="K15" s="510"/>
    </row>
    <row r="16" spans="1:11" x14ac:dyDescent="0.25">
      <c r="A16" s="525"/>
      <c r="B16" s="525"/>
      <c r="C16" s="530"/>
      <c r="D16" s="547"/>
      <c r="E16" s="513" t="s">
        <v>434</v>
      </c>
      <c r="F16" s="547"/>
      <c r="G16" s="536"/>
      <c r="H16" s="525"/>
      <c r="I16" s="534"/>
      <c r="J16" s="525"/>
      <c r="K16" s="510"/>
    </row>
    <row r="17" spans="1:11" x14ac:dyDescent="0.25">
      <c r="A17" s="640" t="s">
        <v>428</v>
      </c>
      <c r="B17" s="525"/>
      <c r="C17" s="546" t="s">
        <v>186</v>
      </c>
      <c r="D17" s="627"/>
      <c r="E17" s="517"/>
      <c r="F17" s="629"/>
      <c r="G17" s="545" t="s">
        <v>185</v>
      </c>
      <c r="H17" s="525"/>
      <c r="I17" s="640" t="s">
        <v>424</v>
      </c>
      <c r="J17" s="510"/>
      <c r="K17" s="510"/>
    </row>
    <row r="18" spans="1:11" x14ac:dyDescent="0.25">
      <c r="A18" s="616"/>
      <c r="B18" s="348"/>
      <c r="C18" s="163" t="s">
        <v>41</v>
      </c>
      <c r="D18" s="628"/>
      <c r="E18" s="621">
        <f>Inputs!$B$39</f>
        <v>219431.37699680234</v>
      </c>
      <c r="F18" s="630"/>
      <c r="G18" s="163" t="s">
        <v>40</v>
      </c>
      <c r="H18" s="536"/>
      <c r="I18" s="616"/>
      <c r="J18" s="510"/>
      <c r="K18" s="510"/>
    </row>
    <row r="19" spans="1:11" x14ac:dyDescent="0.25">
      <c r="A19" s="617"/>
      <c r="B19" s="510"/>
      <c r="C19" s="222" t="s">
        <v>43</v>
      </c>
      <c r="D19" s="628"/>
      <c r="E19" s="622"/>
      <c r="F19" s="630"/>
      <c r="G19" s="222" t="s">
        <v>43</v>
      </c>
      <c r="H19" s="525"/>
      <c r="I19" s="617"/>
      <c r="J19" s="510"/>
      <c r="K19" s="510"/>
    </row>
    <row r="20" spans="1:11" x14ac:dyDescent="0.25">
      <c r="A20" s="525"/>
      <c r="B20" s="510"/>
      <c r="C20" s="217"/>
      <c r="D20" s="628"/>
      <c r="E20" s="623"/>
      <c r="F20" s="630"/>
      <c r="G20" s="537"/>
      <c r="H20" s="525"/>
      <c r="I20" s="525"/>
      <c r="J20" s="525"/>
      <c r="K20" s="510"/>
    </row>
    <row r="21" spans="1:11" x14ac:dyDescent="0.25">
      <c r="A21" s="525"/>
      <c r="B21" s="526"/>
      <c r="C21" s="530"/>
      <c r="D21" s="628"/>
      <c r="E21" s="518"/>
      <c r="F21" s="630"/>
      <c r="G21" s="536"/>
      <c r="H21" s="525"/>
      <c r="I21" s="525"/>
      <c r="J21" s="525"/>
      <c r="K21" s="510"/>
    </row>
    <row r="22" spans="1:11" x14ac:dyDescent="0.25">
      <c r="A22" s="640" t="s">
        <v>427</v>
      </c>
      <c r="B22" s="527"/>
      <c r="C22" s="516" t="s">
        <v>315</v>
      </c>
      <c r="D22" s="525"/>
      <c r="E22" s="525"/>
      <c r="F22" s="525"/>
      <c r="G22" s="548" t="s">
        <v>187</v>
      </c>
      <c r="H22" s="525"/>
      <c r="I22" s="640" t="s">
        <v>425</v>
      </c>
      <c r="J22" s="525"/>
      <c r="K22" s="510"/>
    </row>
    <row r="23" spans="1:11" x14ac:dyDescent="0.25">
      <c r="A23" s="616"/>
      <c r="B23" s="540"/>
      <c r="C23" s="222" t="s">
        <v>43</v>
      </c>
      <c r="D23" s="547"/>
      <c r="E23" s="513" t="s">
        <v>433</v>
      </c>
      <c r="F23" s="547"/>
      <c r="G23" s="166" t="s">
        <v>44</v>
      </c>
      <c r="H23" s="536"/>
      <c r="I23" s="616"/>
      <c r="J23" s="525"/>
      <c r="K23" s="510"/>
    </row>
    <row r="24" spans="1:11" ht="15" customHeight="1" x14ac:dyDescent="0.2">
      <c r="A24" s="647"/>
      <c r="B24" s="528"/>
      <c r="C24" s="217"/>
      <c r="D24" s="631"/>
      <c r="E24" s="632"/>
      <c r="F24" s="633"/>
      <c r="G24" s="222" t="s">
        <v>43</v>
      </c>
      <c r="H24" s="510"/>
      <c r="I24" s="617"/>
      <c r="J24" s="510"/>
      <c r="K24" s="510"/>
    </row>
    <row r="25" spans="1:11" ht="15" customHeight="1" x14ac:dyDescent="0.2">
      <c r="B25" s="510"/>
      <c r="C25" s="348"/>
      <c r="D25" s="634"/>
      <c r="E25" s="624">
        <f>Inputs!$B$40</f>
        <v>1317612.9210577765</v>
      </c>
      <c r="F25" s="634"/>
      <c r="G25" s="318"/>
      <c r="H25" s="510"/>
      <c r="I25" s="510"/>
      <c r="J25" s="510"/>
      <c r="K25" s="510"/>
    </row>
    <row r="26" spans="1:11" ht="15" customHeight="1" x14ac:dyDescent="0.25">
      <c r="A26" s="648" t="s">
        <v>429</v>
      </c>
      <c r="B26" s="510"/>
      <c r="C26" s="515" t="s">
        <v>45</v>
      </c>
      <c r="D26" s="634"/>
      <c r="E26" s="625"/>
      <c r="F26" s="634"/>
      <c r="G26" s="320"/>
      <c r="H26" s="510"/>
      <c r="I26" s="538"/>
      <c r="J26" s="510"/>
      <c r="K26" s="510"/>
    </row>
    <row r="27" spans="1:11" ht="15" customHeight="1" x14ac:dyDescent="0.25">
      <c r="A27" s="649"/>
      <c r="B27" s="348"/>
      <c r="C27" s="222" t="s">
        <v>43</v>
      </c>
      <c r="D27" s="634"/>
      <c r="E27" s="626"/>
      <c r="F27" s="634"/>
      <c r="G27" s="549" t="s">
        <v>207</v>
      </c>
      <c r="H27" s="510"/>
      <c r="I27" s="615" t="s">
        <v>426</v>
      </c>
      <c r="J27" s="510"/>
      <c r="K27" s="510"/>
    </row>
    <row r="28" spans="1:11" ht="15" customHeight="1" x14ac:dyDescent="0.25">
      <c r="A28" s="650"/>
      <c r="B28" s="510"/>
      <c r="C28" s="217"/>
      <c r="D28" s="631"/>
      <c r="E28" s="632"/>
      <c r="F28" s="633"/>
      <c r="G28" s="221" t="s">
        <v>208</v>
      </c>
      <c r="H28" s="320"/>
      <c r="I28" s="616"/>
      <c r="J28" s="510"/>
      <c r="K28" s="510"/>
    </row>
    <row r="29" spans="1:11" ht="15" customHeight="1" x14ac:dyDescent="0.2">
      <c r="A29" s="510"/>
      <c r="B29" s="510"/>
      <c r="C29" s="338"/>
      <c r="D29" s="477"/>
      <c r="E29" s="510"/>
      <c r="F29" s="510"/>
      <c r="G29" s="222" t="s">
        <v>43</v>
      </c>
      <c r="H29" s="510"/>
      <c r="I29" s="617"/>
      <c r="J29" s="510"/>
      <c r="K29" s="510"/>
    </row>
    <row r="30" spans="1:11" ht="15" customHeight="1" x14ac:dyDescent="0.25">
      <c r="A30" s="510"/>
      <c r="B30" s="510"/>
      <c r="C30" s="515" t="s">
        <v>46</v>
      </c>
      <c r="D30" s="552"/>
      <c r="E30" s="510"/>
      <c r="F30" s="510"/>
      <c r="G30" s="318"/>
      <c r="H30" s="510"/>
      <c r="I30" s="337"/>
      <c r="J30" s="510"/>
      <c r="K30" s="510"/>
    </row>
    <row r="31" spans="1:11" ht="15" customHeight="1" x14ac:dyDescent="0.2">
      <c r="A31" s="510"/>
      <c r="B31" s="510"/>
      <c r="C31" s="222" t="s">
        <v>43</v>
      </c>
      <c r="D31" s="319"/>
      <c r="E31" s="510"/>
      <c r="F31" s="510"/>
      <c r="G31" s="319"/>
      <c r="H31" s="510"/>
      <c r="I31" s="510"/>
      <c r="J31" s="510"/>
      <c r="K31" s="510"/>
    </row>
    <row r="32" spans="1:11" ht="15" customHeight="1" x14ac:dyDescent="0.2">
      <c r="A32" s="510"/>
      <c r="B32" s="510"/>
      <c r="C32" s="338"/>
      <c r="D32" s="510"/>
      <c r="E32" s="510"/>
      <c r="F32" s="510"/>
      <c r="G32" s="319"/>
      <c r="H32" s="510"/>
      <c r="I32" s="510"/>
      <c r="J32" s="510"/>
      <c r="K32" s="510"/>
    </row>
    <row r="33" spans="1:11" ht="15" customHeight="1" x14ac:dyDescent="0.2">
      <c r="A33" s="510"/>
      <c r="B33" s="510"/>
      <c r="C33" s="338"/>
      <c r="D33" s="510"/>
      <c r="E33" s="510"/>
      <c r="F33" s="510"/>
      <c r="G33" s="319"/>
      <c r="H33" s="510"/>
      <c r="I33" s="510"/>
      <c r="J33" s="510"/>
      <c r="K33" s="510"/>
    </row>
    <row r="34" spans="1:11" ht="15" customHeight="1" x14ac:dyDescent="0.2">
      <c r="A34" s="510"/>
      <c r="B34" s="510"/>
      <c r="C34" s="338"/>
      <c r="D34" s="510"/>
      <c r="E34" s="510"/>
      <c r="F34" s="510"/>
      <c r="G34" s="320"/>
      <c r="H34" s="510"/>
      <c r="I34" s="510"/>
      <c r="J34" s="510"/>
      <c r="K34" s="510"/>
    </row>
    <row r="35" spans="1:11" ht="15" customHeight="1" x14ac:dyDescent="0.2">
      <c r="A35" s="651"/>
      <c r="B35" s="510"/>
      <c r="C35" s="551"/>
      <c r="D35" s="319"/>
      <c r="E35" s="510"/>
      <c r="F35" s="510"/>
      <c r="G35" s="638" t="s">
        <v>176</v>
      </c>
      <c r="H35" s="639"/>
      <c r="I35" s="477"/>
      <c r="J35" s="510"/>
      <c r="K35" s="510"/>
    </row>
    <row r="36" spans="1:11" ht="15" customHeight="1" x14ac:dyDescent="0.2">
      <c r="A36" s="651"/>
      <c r="B36" s="510"/>
      <c r="C36" s="551"/>
      <c r="D36" s="319"/>
      <c r="E36" s="510"/>
      <c r="F36" s="510"/>
      <c r="G36" s="164" t="s">
        <v>183</v>
      </c>
      <c r="H36" s="164" t="s">
        <v>184</v>
      </c>
      <c r="I36" s="477"/>
      <c r="J36" s="510"/>
      <c r="K36" s="510"/>
    </row>
    <row r="37" spans="1:11" ht="15" customHeight="1" x14ac:dyDescent="0.2">
      <c r="A37" s="510"/>
      <c r="B37" s="510"/>
      <c r="C37" s="338"/>
      <c r="D37" s="510"/>
      <c r="E37" s="510"/>
      <c r="F37" s="510"/>
      <c r="G37" s="202" t="s">
        <v>43</v>
      </c>
      <c r="H37" s="203" t="s">
        <v>43</v>
      </c>
      <c r="I37" s="477"/>
      <c r="J37" s="510"/>
      <c r="K37" s="510"/>
    </row>
    <row r="38" spans="1:11" ht="15" customHeight="1" x14ac:dyDescent="0.2">
      <c r="A38" s="510"/>
      <c r="B38" s="510"/>
      <c r="C38" s="338"/>
      <c r="D38" s="510"/>
      <c r="E38" s="510"/>
      <c r="F38" s="510"/>
      <c r="G38" s="539"/>
      <c r="H38" s="510"/>
      <c r="I38" s="477"/>
      <c r="J38" s="510"/>
      <c r="K38" s="510"/>
    </row>
    <row r="39" spans="1:11" ht="15" customHeight="1" x14ac:dyDescent="0.2">
      <c r="A39" s="510"/>
      <c r="B39" s="510"/>
      <c r="C39" s="338"/>
      <c r="D39" s="510"/>
      <c r="E39" s="510"/>
      <c r="F39" s="510"/>
      <c r="G39" s="541" t="s">
        <v>431</v>
      </c>
      <c r="H39" s="541" t="s">
        <v>432</v>
      </c>
      <c r="I39" s="477"/>
      <c r="J39" s="510"/>
      <c r="K39" s="510"/>
    </row>
    <row r="40" spans="1:11" ht="15" customHeight="1" x14ac:dyDescent="0.2">
      <c r="A40" s="510"/>
      <c r="B40" s="510"/>
      <c r="C40" s="338"/>
      <c r="D40" s="510"/>
      <c r="E40" s="510"/>
      <c r="F40" s="510"/>
      <c r="G40" s="319"/>
      <c r="H40" s="510"/>
      <c r="I40" s="510"/>
      <c r="J40" s="510"/>
      <c r="K40" s="510"/>
    </row>
    <row r="41" spans="1:11" ht="15" customHeight="1" x14ac:dyDescent="0.25">
      <c r="A41" s="510"/>
      <c r="B41" s="510"/>
      <c r="C41" s="510"/>
      <c r="D41" s="635" t="s">
        <v>181</v>
      </c>
      <c r="E41" s="636"/>
      <c r="F41" s="637"/>
      <c r="G41" s="510"/>
      <c r="H41" s="510"/>
      <c r="I41" s="510"/>
      <c r="J41" s="510"/>
      <c r="K41" s="510"/>
    </row>
    <row r="42" spans="1:11" ht="15" customHeight="1" x14ac:dyDescent="0.2">
      <c r="A42" s="510"/>
      <c r="B42" s="510"/>
      <c r="C42" s="510"/>
      <c r="D42" s="165" t="s">
        <v>436</v>
      </c>
      <c r="E42" s="164" t="s">
        <v>438</v>
      </c>
      <c r="F42" s="164" t="s">
        <v>440</v>
      </c>
      <c r="G42" s="510"/>
      <c r="H42" s="510"/>
      <c r="I42" s="510"/>
      <c r="J42" s="510"/>
      <c r="K42" s="510"/>
    </row>
    <row r="43" spans="1:11" ht="15" customHeight="1" x14ac:dyDescent="0.25">
      <c r="A43" s="510"/>
      <c r="B43" s="510"/>
      <c r="C43" s="510"/>
      <c r="D43" s="204" t="s">
        <v>43</v>
      </c>
      <c r="E43" s="205" t="s">
        <v>43</v>
      </c>
      <c r="F43" s="206" t="s">
        <v>43</v>
      </c>
      <c r="G43" s="510"/>
      <c r="H43" s="510"/>
      <c r="I43" s="510"/>
      <c r="J43" s="510"/>
      <c r="K43" s="510"/>
    </row>
    <row r="44" spans="1:11" ht="15" customHeight="1" x14ac:dyDescent="0.2">
      <c r="A44" s="510"/>
      <c r="B44" s="510"/>
      <c r="C44" s="510"/>
      <c r="G44" s="510"/>
      <c r="H44" s="510"/>
      <c r="I44" s="510"/>
      <c r="J44" s="510"/>
      <c r="K44" s="510"/>
    </row>
    <row r="45" spans="1:11" ht="15" customHeight="1" x14ac:dyDescent="0.2">
      <c r="A45" s="510"/>
      <c r="B45" s="510"/>
      <c r="C45" s="510"/>
      <c r="D45" s="615" t="s">
        <v>437</v>
      </c>
      <c r="E45" s="615" t="s">
        <v>439</v>
      </c>
      <c r="F45" s="615" t="s">
        <v>441</v>
      </c>
      <c r="G45" s="510"/>
      <c r="H45" s="510"/>
      <c r="I45" s="510"/>
      <c r="J45" s="510"/>
      <c r="K45" s="510"/>
    </row>
    <row r="46" spans="1:11" ht="15" customHeight="1" x14ac:dyDescent="0.2">
      <c r="A46" s="510"/>
      <c r="B46" s="510"/>
      <c r="C46" s="510"/>
      <c r="D46" s="616"/>
      <c r="E46" s="616"/>
      <c r="F46" s="616"/>
      <c r="G46" s="510"/>
      <c r="H46" s="510"/>
      <c r="I46" s="510"/>
      <c r="J46" s="510"/>
      <c r="K46" s="510"/>
    </row>
    <row r="47" spans="1:11" ht="15" customHeight="1" x14ac:dyDescent="0.2">
      <c r="A47" s="510"/>
      <c r="B47" s="510"/>
      <c r="C47" s="510"/>
      <c r="D47" s="617"/>
      <c r="E47" s="617"/>
      <c r="F47" s="617"/>
      <c r="G47" s="510"/>
      <c r="H47" s="510"/>
      <c r="I47" s="510"/>
      <c r="J47" s="510"/>
      <c r="K47" s="510"/>
    </row>
    <row r="48" spans="1:11" ht="15" customHeight="1" x14ac:dyDescent="0.2">
      <c r="A48" s="510"/>
      <c r="B48" s="510"/>
      <c r="C48" s="510"/>
      <c r="D48" s="510"/>
      <c r="E48" s="510"/>
      <c r="F48" s="510"/>
      <c r="G48" s="510"/>
      <c r="H48" s="510"/>
      <c r="I48" s="510"/>
      <c r="J48" s="510"/>
    </row>
    <row r="49" spans="2:10" ht="15" customHeight="1" x14ac:dyDescent="0.2">
      <c r="B49" s="510"/>
      <c r="C49" s="510"/>
      <c r="D49" s="510"/>
      <c r="E49" s="510"/>
      <c r="F49" s="510"/>
      <c r="G49" s="510"/>
      <c r="H49" s="510"/>
      <c r="I49" s="510"/>
      <c r="J49" s="510"/>
    </row>
  </sheetData>
  <mergeCells count="28">
    <mergeCell ref="G35:H35"/>
    <mergeCell ref="I17:I19"/>
    <mergeCell ref="I22:I24"/>
    <mergeCell ref="I27:I29"/>
    <mergeCell ref="A1:J5"/>
    <mergeCell ref="D6:F6"/>
    <mergeCell ref="I6:J6"/>
    <mergeCell ref="G12:H12"/>
    <mergeCell ref="A22:A24"/>
    <mergeCell ref="A17:A19"/>
    <mergeCell ref="A12:A14"/>
    <mergeCell ref="A26:A28"/>
    <mergeCell ref="J12:J14"/>
    <mergeCell ref="A35:A36"/>
    <mergeCell ref="I8:J8"/>
    <mergeCell ref="D45:D47"/>
    <mergeCell ref="E45:E47"/>
    <mergeCell ref="F45:F47"/>
    <mergeCell ref="D7:F7"/>
    <mergeCell ref="E18:E20"/>
    <mergeCell ref="E25:E27"/>
    <mergeCell ref="D17:D21"/>
    <mergeCell ref="F17:F21"/>
    <mergeCell ref="D24:F24"/>
    <mergeCell ref="D28:F28"/>
    <mergeCell ref="F25:F27"/>
    <mergeCell ref="D25:D27"/>
    <mergeCell ref="D41:F41"/>
  </mergeCells>
  <dataValidations count="2">
    <dataValidation type="list" allowBlank="1" showInputMessage="1" showErrorMessage="1" prompt="Click and enter a value from the list of items" sqref="D43 G37:H37 G24 C14 G14:H14 D9:F9 C27 G29 C31 C19 G19 C23">
      <formula1>"y,n,"</formula1>
    </dataValidation>
    <dataValidation type="list" errorStyle="warning" allowBlank="1" showInputMessage="1" showErrorMessage="1" prompt="Click and enter a value from the list of items" sqref="E43:F43">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0"/>
  <sheetViews>
    <sheetView workbookViewId="0">
      <selection activeCell="A25" sqref="A25"/>
    </sheetView>
  </sheetViews>
  <sheetFormatPr defaultColWidth="17.140625" defaultRowHeight="12.75" customHeight="1" x14ac:dyDescent="0.2"/>
  <cols>
    <col min="1" max="1" width="34.140625" customWidth="1"/>
    <col min="3" max="3" width="32.140625" customWidth="1"/>
    <col min="5" max="5" width="32.85546875" customWidth="1"/>
    <col min="6" max="6" width="30.7109375" customWidth="1"/>
  </cols>
  <sheetData>
    <row r="1" spans="1:6" ht="43.5" customHeight="1" x14ac:dyDescent="0.6">
      <c r="A1" s="654" t="s">
        <v>328</v>
      </c>
      <c r="B1" s="655"/>
      <c r="C1" s="655"/>
      <c r="D1" s="655"/>
      <c r="E1" s="655"/>
      <c r="F1" s="655"/>
    </row>
    <row r="2" spans="1:6" ht="30" customHeight="1" x14ac:dyDescent="0.2">
      <c r="A2" s="59" t="s">
        <v>47</v>
      </c>
      <c r="B2" s="211">
        <v>1</v>
      </c>
      <c r="C2" s="75"/>
      <c r="D2" s="38"/>
      <c r="E2" s="38"/>
      <c r="F2" s="36"/>
    </row>
    <row r="3" spans="1:6" ht="35.25" customHeight="1" x14ac:dyDescent="0.2">
      <c r="A3" s="665" t="s">
        <v>48</v>
      </c>
      <c r="B3" s="665"/>
      <c r="C3" s="665" t="s">
        <v>49</v>
      </c>
      <c r="D3" s="665"/>
      <c r="E3" s="668" t="s">
        <v>34</v>
      </c>
      <c r="F3" s="663"/>
    </row>
    <row r="4" spans="1:6" ht="47.25" customHeight="1" x14ac:dyDescent="0.2">
      <c r="A4" s="70" t="s">
        <v>50</v>
      </c>
      <c r="B4" s="6">
        <f>'Calculations &amp; Constants'!B91</f>
        <v>219431.37699680234</v>
      </c>
      <c r="C4" s="661" t="str">
        <f>"Your effective health pool is "&amp;ROUND('Calculations &amp; Constants'!B82,2)</f>
        <v>Your effective health pool is 535591.23</v>
      </c>
      <c r="D4" s="661"/>
      <c r="E4" s="666" t="str">
        <f>(((((("You regenerate "&amp;ROUND('Calculations &amp; Constants'!B96,2))&amp;" health per second")&amp;CHAR(10))&amp;CHAR(10))&amp;"You regenerate ")&amp;ROUND(('Calculations &amp; Constants'!B96*'Calculations &amp; Constants'!B83),2))&amp;" Effective Health per second"</f>
        <v>You regenerate 15844.83 health per second
You regenerate 184656.39 Effective Health per second</v>
      </c>
      <c r="F4" s="663"/>
    </row>
    <row r="5" spans="1:6" ht="67.5" customHeight="1" x14ac:dyDescent="0.2">
      <c r="A5" s="70" t="str">
        <f>("With all buffs active your ETDPS (Estimated True DPS) against "&amp;B2)&amp;" monster(s) is:"</f>
        <v>With all buffs active your ETDPS (Estimated True DPS) against 1 monster(s) is:</v>
      </c>
      <c r="B5" s="6">
        <f>'Calculations &amp; Constants'!B74</f>
        <v>1317612.9210577765</v>
      </c>
      <c r="C5" s="661" t="str">
        <f>("You mitigate "&amp;ROUND(('Calculations &amp; Constants'!B80*100),2))&amp;"% of all incoming damage"</f>
        <v>You mitigate 91.42% of all incoming damage</v>
      </c>
      <c r="D5" s="661"/>
      <c r="E5" s="667" t="str">
        <f>((((((((((((((((((((("You regenerate "&amp;ROUND(Inputs!G29,2))&amp;" health per second from ")&amp;Inputs!D29)&amp;" LoH")&amp;CHAR(10))&amp;"You regenerate ")&amp;ROUND(Inputs!G32,2))&amp;" health per second from ")&amp;(Inputs!D32*100))&amp;"% Life Steal")&amp;CHAR(10))&amp;"You regenerate ")&amp;ROUND(Inputs!G38,2))&amp;" health per second from ")&amp;Inputs!D38)&amp;" Life per Spirit Spent")&amp;CHAR(10))&amp;"You regenerate ")&amp;ROUND(Inputs!G35,2))&amp;" health per second from ")&amp;Inputs!D35)&amp;"  Passive Regen"</f>
        <v>You regenerate 0 health per second from 0 LoH
You regenerate 15547.83 health per second from 5.9% Life Steal
You regenerate 0 health per second from 0 Life per Spirit Spent
You regenerate 297 health per second from 297  Passive Regen</v>
      </c>
      <c r="F5" s="663"/>
    </row>
    <row r="6" spans="1:6" ht="67.5" customHeight="1" x14ac:dyDescent="0.2">
      <c r="A6" s="660" t="str">
        <f>((((((((((("Fists of Thunder does "&amp;ROUND(('Calculations &amp; Constants'!C70*100),2))&amp;"% of your ETDPS")&amp;CHAR(10))&amp;CHAR(10))&amp;"Sweeping Wind does ")&amp;ROUND(('Calculations &amp; Constants'!C71*100),2))&amp;"% of your ETDPS")&amp;CHAR(10))&amp;CHAR(10))&amp;"Cyclone does ")&amp;ROUND(('Calculations &amp; Constants'!C72*100),2))&amp;"% of your ETDPS"</f>
        <v>Fists of Thunder does 50.35% of your ETDPS
Sweeping Wind does 12.98% of your ETDPS
Cyclone does 36.67% of your ETDPS</v>
      </c>
      <c r="B6" s="660"/>
      <c r="C6" s="661" t="str">
        <f>("For every point of life healed you gain "&amp;ROUND('Calculations &amp; Constants'!B83,2))&amp;" EHH (Effective Health Healed)"</f>
        <v>For every point of life healed you gain 11.65 EHH (Effective Health Healed)</v>
      </c>
      <c r="D6" s="661"/>
      <c r="E6" s="662" t="str">
        <f>((("With "&amp;Summary!B2)&amp;" monster(s) It takes ")&amp;ROUND('Calculations &amp; Constants'!B50,0))&amp;" Life on Hit to Equal 1% Life Steal"</f>
        <v>With 1 monster(s) It takes 531 Life on Hit to Equal 1% Life Steal</v>
      </c>
      <c r="F6" s="663"/>
    </row>
    <row r="7" spans="1:6" ht="49.5" customHeight="1" x14ac:dyDescent="0.2">
      <c r="A7" s="52" t="s">
        <v>51</v>
      </c>
      <c r="B7" s="6" t="str">
        <f>((ROUND('Calculations &amp; Constants'!B11,2)&amp;CHAR(10))&amp;CHAR(10))&amp;ROUND('Calculations &amp; Constants'!B22,2)</f>
        <v>102309.23
86530.16</v>
      </c>
      <c r="C7" s="16"/>
      <c r="D7" s="47"/>
      <c r="E7" s="664" t="str">
        <f>("Reflect deals "&amp;ROUND((((0.1*B5)*(1-'Calculations &amp; Constants'!B80))-'Calculations &amp; Constants'!B96),2))&amp;" net damage per second after regen"</f>
        <v>Reflect deals -4538.78 net damage per second after regen</v>
      </c>
      <c r="F7" s="660"/>
    </row>
    <row r="8" spans="1:6" ht="54.75" customHeight="1" x14ac:dyDescent="0.2">
      <c r="A8" s="656" t="str">
        <f>(((((((((("You attack "&amp;ROUND('Calculations &amp; Constants'!A36,2))&amp;" times and produce ")&amp;ROUND('Calculations &amp; Constants'!A42,2))&amp;" cyclones per second against ")&amp;B2)&amp;" monster(s)")&amp;CHAR(10))&amp;CHAR(10))&amp;"Your Combat spirit generation is ")&amp;ROUND((6*'Calculations &amp; Constants'!A36),2))&amp;" spirit per second"</f>
        <v>You attack 3.49 times and produce 2.07 cyclones per second against 1 monster(s)
Your Combat spirit generation is 20.92 spirit per second</v>
      </c>
      <c r="B8" s="657"/>
      <c r="C8" s="198"/>
      <c r="D8" s="22"/>
      <c r="E8" s="68"/>
      <c r="F8" s="28"/>
    </row>
    <row r="9" spans="1:6" x14ac:dyDescent="0.2">
      <c r="A9" s="658"/>
      <c r="B9" s="659"/>
      <c r="D9" s="14"/>
      <c r="F9" s="51"/>
    </row>
    <row r="10" spans="1:6" x14ac:dyDescent="0.2">
      <c r="A10" s="14"/>
      <c r="B10" s="14"/>
      <c r="C10" s="14"/>
      <c r="D10" s="14"/>
      <c r="E10" s="14"/>
      <c r="F10" s="14"/>
    </row>
  </sheetData>
  <mergeCells count="13">
    <mergeCell ref="A1:F1"/>
    <mergeCell ref="A8:B9"/>
    <mergeCell ref="A6:B6"/>
    <mergeCell ref="C6:D6"/>
    <mergeCell ref="E6:F6"/>
    <mergeCell ref="E7:F7"/>
    <mergeCell ref="A3:B3"/>
    <mergeCell ref="C3:D3"/>
    <mergeCell ref="C4:D4"/>
    <mergeCell ref="E4:F4"/>
    <mergeCell ref="C5:D5"/>
    <mergeCell ref="E5:F5"/>
    <mergeCell ref="E3: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39"/>
  <sheetViews>
    <sheetView workbookViewId="0">
      <selection activeCell="F6" sqref="F6"/>
    </sheetView>
  </sheetViews>
  <sheetFormatPr defaultRowHeight="15" x14ac:dyDescent="0.25"/>
  <cols>
    <col min="1" max="1" width="25.28515625" style="158" customWidth="1"/>
    <col min="2" max="2" width="15" style="158" customWidth="1"/>
    <col min="3" max="4" width="9.140625" style="158"/>
    <col min="5" max="5" width="26.140625" style="158" customWidth="1"/>
    <col min="6" max="6" width="23.5703125" style="158" customWidth="1"/>
    <col min="7" max="7" width="9.140625" style="158"/>
    <col min="8" max="16384" width="9.140625" style="96"/>
  </cols>
  <sheetData>
    <row r="1" spans="1:17" x14ac:dyDescent="0.25">
      <c r="A1" s="96"/>
      <c r="B1" s="96"/>
      <c r="C1" s="96"/>
      <c r="D1" s="97"/>
      <c r="E1" s="96"/>
      <c r="F1" s="96"/>
      <c r="G1" s="96"/>
    </row>
    <row r="2" spans="1:17" ht="15.75" thickBot="1" x14ac:dyDescent="0.3">
      <c r="A2" s="98" t="s">
        <v>129</v>
      </c>
      <c r="B2" s="98" t="s">
        <v>130</v>
      </c>
      <c r="C2" s="99" t="s">
        <v>131</v>
      </c>
      <c r="D2" s="97"/>
      <c r="E2" s="98" t="s">
        <v>132</v>
      </c>
      <c r="F2" s="99" t="s">
        <v>130</v>
      </c>
      <c r="G2" s="100" t="s">
        <v>131</v>
      </c>
      <c r="I2" s="309"/>
      <c r="J2" s="700" t="s">
        <v>240</v>
      </c>
      <c r="K2" s="700"/>
      <c r="L2" s="700"/>
      <c r="M2" s="700"/>
      <c r="N2" s="700"/>
      <c r="O2" s="700"/>
      <c r="P2" s="700"/>
      <c r="Q2" s="113"/>
    </row>
    <row r="3" spans="1:17" x14ac:dyDescent="0.25">
      <c r="A3" s="101" t="s">
        <v>133</v>
      </c>
      <c r="B3" s="102">
        <f>IF(C3="Y",1,0)</f>
        <v>1</v>
      </c>
      <c r="C3" s="283" t="s">
        <v>42</v>
      </c>
      <c r="D3" s="309"/>
      <c r="E3" s="430" t="s">
        <v>373</v>
      </c>
      <c r="F3" s="102">
        <f>IF(G3="Y",1.8,0)</f>
        <v>1.8</v>
      </c>
      <c r="G3" s="285" t="s">
        <v>42</v>
      </c>
      <c r="I3" s="310"/>
      <c r="J3" s="693" t="s">
        <v>262</v>
      </c>
      <c r="K3" s="694"/>
      <c r="L3" s="695"/>
      <c r="M3" s="316">
        <v>1.5</v>
      </c>
      <c r="N3" s="697" t="s">
        <v>263</v>
      </c>
      <c r="O3" s="694"/>
      <c r="P3" s="695"/>
      <c r="Q3" s="316">
        <v>1.333</v>
      </c>
    </row>
    <row r="4" spans="1:17" x14ac:dyDescent="0.25">
      <c r="A4" s="103" t="s">
        <v>135</v>
      </c>
      <c r="B4" s="104">
        <f>IF(C4="Y",2,0)</f>
        <v>2</v>
      </c>
      <c r="C4" s="284" t="s">
        <v>42</v>
      </c>
      <c r="D4" s="97"/>
      <c r="E4" s="430" t="s">
        <v>374</v>
      </c>
      <c r="F4" s="104">
        <f>IF(G4="Y",2.3,0)</f>
        <v>2.2999999999999998</v>
      </c>
      <c r="G4" s="286" t="s">
        <v>42</v>
      </c>
      <c r="I4" s="310"/>
      <c r="J4" s="691" t="s">
        <v>241</v>
      </c>
      <c r="K4" s="696"/>
      <c r="L4" s="305">
        <f>M9*(6*M3)</f>
        <v>20.915999644428002</v>
      </c>
      <c r="M4" s="311"/>
      <c r="N4" s="691" t="s">
        <v>247</v>
      </c>
      <c r="O4" s="692"/>
      <c r="P4" s="312">
        <f>M9*(6*Q3)</f>
        <v>18.587351684015015</v>
      </c>
      <c r="Q4" s="313"/>
    </row>
    <row r="5" spans="1:17" x14ac:dyDescent="0.25">
      <c r="A5" s="103" t="s">
        <v>136</v>
      </c>
      <c r="B5" s="104">
        <f>IF(C5="Y",3,0)</f>
        <v>0</v>
      </c>
      <c r="C5" s="284" t="s">
        <v>43</v>
      </c>
      <c r="D5" s="97"/>
      <c r="E5" s="105" t="s">
        <v>375</v>
      </c>
      <c r="F5" s="104">
        <f>IF(G5="Y",2.16,0)</f>
        <v>0</v>
      </c>
      <c r="G5" s="286" t="s">
        <v>43</v>
      </c>
      <c r="I5" s="310"/>
      <c r="J5" s="691" t="s">
        <v>242</v>
      </c>
      <c r="K5" s="696"/>
      <c r="L5" s="305">
        <f>M9*(6*M3)</f>
        <v>20.915999644428002</v>
      </c>
      <c r="M5" s="311"/>
      <c r="N5" s="691" t="s">
        <v>246</v>
      </c>
      <c r="O5" s="692"/>
      <c r="P5" s="312">
        <f>M9*(6*Q3)</f>
        <v>18.587351684015015</v>
      </c>
      <c r="Q5" s="313"/>
    </row>
    <row r="6" spans="1:17" x14ac:dyDescent="0.25">
      <c r="A6" s="103" t="s">
        <v>138</v>
      </c>
      <c r="B6" s="104">
        <f>IF(C6="Y",3,0)</f>
        <v>3</v>
      </c>
      <c r="C6" s="284" t="s">
        <v>42</v>
      </c>
      <c r="D6" s="97"/>
      <c r="E6" s="430" t="s">
        <v>376</v>
      </c>
      <c r="F6" s="104">
        <f>IF(G6="N",0,"Add your spirit value to the formula")</f>
        <v>0</v>
      </c>
      <c r="G6" s="286" t="s">
        <v>43</v>
      </c>
      <c r="I6" s="310"/>
      <c r="J6" s="691" t="s">
        <v>243</v>
      </c>
      <c r="K6" s="696"/>
      <c r="L6" s="305">
        <f>M9*(6*M3)</f>
        <v>20.915999644428002</v>
      </c>
      <c r="M6" s="311"/>
      <c r="N6" s="691" t="s">
        <v>248</v>
      </c>
      <c r="O6" s="692"/>
      <c r="P6" s="312">
        <f>M9*(6*Q3)</f>
        <v>18.587351684015015</v>
      </c>
      <c r="Q6" s="313"/>
    </row>
    <row r="7" spans="1:17" x14ac:dyDescent="0.25">
      <c r="A7" s="106" t="s">
        <v>139</v>
      </c>
      <c r="B7" s="107">
        <f>IF(C7="Y",0.33,0)</f>
        <v>0.33</v>
      </c>
      <c r="C7" s="410" t="s">
        <v>42</v>
      </c>
      <c r="D7" s="97"/>
      <c r="E7" s="96" t="s">
        <v>140</v>
      </c>
      <c r="F7" s="104">
        <f>IF(G7="N",0,"Add your spirit value to the formula")</f>
        <v>0</v>
      </c>
      <c r="G7" s="286" t="s">
        <v>43</v>
      </c>
      <c r="I7" s="310"/>
      <c r="J7" s="691" t="s">
        <v>244</v>
      </c>
      <c r="K7" s="696"/>
      <c r="L7" s="306">
        <f>M9*((6*M3)+(M17*15)*M3)</f>
        <v>45.753749222186258</v>
      </c>
      <c r="M7" s="311"/>
      <c r="N7" s="691" t="s">
        <v>249</v>
      </c>
      <c r="O7" s="692"/>
      <c r="P7" s="314">
        <f>M9*((6*Q3)+(M17*10)*Q3)</f>
        <v>33.302338433860236</v>
      </c>
      <c r="Q7" s="313"/>
    </row>
    <row r="8" spans="1:17" ht="15.75" thickBot="1" x14ac:dyDescent="0.3">
      <c r="A8" s="108" t="s">
        <v>141</v>
      </c>
      <c r="B8" s="109">
        <f>SUM(B3:B7)</f>
        <v>6.33</v>
      </c>
      <c r="C8" s="110"/>
      <c r="D8" s="111"/>
      <c r="E8" s="112" t="s">
        <v>142</v>
      </c>
      <c r="F8" s="109">
        <f>SUM(F3:F7)</f>
        <v>4.0999999999999996</v>
      </c>
      <c r="G8" s="113"/>
      <c r="I8" s="310"/>
      <c r="J8" s="691" t="s">
        <v>245</v>
      </c>
      <c r="K8" s="696"/>
      <c r="L8" s="305">
        <f>M9*(6*M3)</f>
        <v>20.915999644428002</v>
      </c>
      <c r="M8" s="311"/>
      <c r="N8" s="691" t="s">
        <v>40</v>
      </c>
      <c r="O8" s="692"/>
      <c r="P8" s="312">
        <f>M9*(6*Q3)</f>
        <v>18.587351684015015</v>
      </c>
      <c r="Q8" s="313"/>
    </row>
    <row r="9" spans="1:17" x14ac:dyDescent="0.25">
      <c r="A9" s="101" t="s">
        <v>143</v>
      </c>
      <c r="B9" s="114">
        <f>IF(C9="Y",35%,0)</f>
        <v>0.35</v>
      </c>
      <c r="C9" s="284" t="s">
        <v>42</v>
      </c>
      <c r="D9" s="97"/>
      <c r="E9" s="97"/>
      <c r="F9" s="97"/>
      <c r="G9" s="115"/>
      <c r="I9" s="310"/>
      <c r="J9" s="698"/>
      <c r="K9" s="699"/>
      <c r="L9" s="123"/>
      <c r="M9" s="303">
        <f>'Calculations &amp; Constants'!$A$40</f>
        <v>2.3239999604920003</v>
      </c>
      <c r="N9" s="123"/>
      <c r="O9" s="123"/>
      <c r="P9" s="123"/>
      <c r="Q9" s="313"/>
    </row>
    <row r="10" spans="1:17" x14ac:dyDescent="0.25">
      <c r="A10" s="106" t="s">
        <v>144</v>
      </c>
      <c r="B10" s="116">
        <f>IF(C10="Y",12%,0)</f>
        <v>0.12</v>
      </c>
      <c r="C10" s="284" t="s">
        <v>42</v>
      </c>
      <c r="D10" s="97"/>
      <c r="E10" s="97"/>
      <c r="F10" s="411"/>
      <c r="G10" s="115"/>
      <c r="I10" s="310"/>
      <c r="J10" s="710" t="s">
        <v>250</v>
      </c>
      <c r="K10" s="708"/>
      <c r="L10" s="709"/>
      <c r="M10" s="316">
        <v>1.125</v>
      </c>
      <c r="N10" s="707" t="s">
        <v>260</v>
      </c>
      <c r="O10" s="708"/>
      <c r="P10" s="709"/>
      <c r="Q10" s="316">
        <v>1.1659999999999999</v>
      </c>
    </row>
    <row r="11" spans="1:17" x14ac:dyDescent="0.25">
      <c r="A11" s="108" t="s">
        <v>145</v>
      </c>
      <c r="B11" s="117">
        <f>SUM(B9:B10)</f>
        <v>0.47</v>
      </c>
      <c r="C11" s="97"/>
      <c r="D11" s="97"/>
      <c r="E11" s="97"/>
      <c r="F11" s="97"/>
      <c r="G11" s="115"/>
      <c r="I11" s="310"/>
      <c r="J11" s="691" t="s">
        <v>251</v>
      </c>
      <c r="K11" s="696"/>
      <c r="L11" s="307">
        <f>M9*(8*M10)</f>
        <v>20.915999644428002</v>
      </c>
      <c r="M11" s="123"/>
      <c r="N11" s="691" t="s">
        <v>255</v>
      </c>
      <c r="O11" s="692"/>
      <c r="P11" s="312">
        <f>M9*(7*Q10)</f>
        <v>18.968487677535705</v>
      </c>
      <c r="Q11" s="115"/>
    </row>
    <row r="12" spans="1:17" ht="15.75" thickBot="1" x14ac:dyDescent="0.3">
      <c r="A12" s="97"/>
      <c r="B12" s="118"/>
      <c r="C12" s="97"/>
      <c r="D12" s="97"/>
      <c r="E12" s="119"/>
      <c r="F12" s="119"/>
      <c r="G12" s="115"/>
      <c r="I12" s="310"/>
      <c r="J12" s="691" t="s">
        <v>44</v>
      </c>
      <c r="K12" s="696"/>
      <c r="L12" s="307">
        <f>M9*(8*M10)</f>
        <v>20.915999644428002</v>
      </c>
      <c r="M12" s="123"/>
      <c r="N12" s="691" t="s">
        <v>256</v>
      </c>
      <c r="O12" s="692"/>
      <c r="P12" s="312">
        <f>M9*(7*Q10)</f>
        <v>18.968487677535705</v>
      </c>
      <c r="Q12" s="115"/>
    </row>
    <row r="13" spans="1:17" x14ac:dyDescent="0.25">
      <c r="A13" s="97"/>
      <c r="B13" s="118"/>
      <c r="C13" s="97"/>
      <c r="D13" s="97"/>
      <c r="E13" s="387" t="s">
        <v>345</v>
      </c>
      <c r="F13" s="287">
        <v>1.0900000000000001</v>
      </c>
      <c r="G13" s="120"/>
      <c r="I13" s="310"/>
      <c r="J13" s="691" t="s">
        <v>252</v>
      </c>
      <c r="K13" s="696"/>
      <c r="L13" s="307">
        <f>M9*(8*M10)</f>
        <v>20.915999644428002</v>
      </c>
      <c r="M13" s="123"/>
      <c r="N13" s="691" t="s">
        <v>257</v>
      </c>
      <c r="O13" s="692"/>
      <c r="P13" s="314">
        <f>M9*((7*Q10)+(M17*5)*Q10)</f>
        <v>25.404224568128175</v>
      </c>
      <c r="Q13" s="115"/>
    </row>
    <row r="14" spans="1:17" x14ac:dyDescent="0.25">
      <c r="A14" s="96" t="s">
        <v>146</v>
      </c>
      <c r="B14" s="121">
        <f>(B8+F8)</f>
        <v>10.43</v>
      </c>
      <c r="C14" s="97"/>
      <c r="D14" s="97"/>
      <c r="E14" s="96" t="s">
        <v>147</v>
      </c>
      <c r="F14" s="122">
        <f>SUM(F13*10)</f>
        <v>10.9</v>
      </c>
      <c r="G14" s="115"/>
      <c r="I14" s="310"/>
      <c r="J14" s="691" t="s">
        <v>253</v>
      </c>
      <c r="K14" s="696"/>
      <c r="L14" s="308">
        <f>M9*((8*M10)+(15*0.15*M10)*M10)</f>
        <v>27.5339526569228</v>
      </c>
      <c r="M14" s="123"/>
      <c r="N14" s="691" t="s">
        <v>258</v>
      </c>
      <c r="O14" s="692"/>
      <c r="P14" s="312">
        <f>M9*(7*Q10)</f>
        <v>18.968487677535705</v>
      </c>
      <c r="Q14" s="115"/>
    </row>
    <row r="15" spans="1:17" ht="15.75" thickBot="1" x14ac:dyDescent="0.3">
      <c r="A15" s="97"/>
      <c r="B15" s="118"/>
      <c r="C15" s="97"/>
      <c r="D15" s="97"/>
      <c r="E15" s="97"/>
      <c r="F15" s="111"/>
      <c r="G15" s="115"/>
      <c r="I15" s="310"/>
      <c r="J15" s="691" t="s">
        <v>254</v>
      </c>
      <c r="K15" s="696"/>
      <c r="L15" s="307">
        <f>M9*(8*M10)</f>
        <v>20.915999644428002</v>
      </c>
      <c r="M15" s="123"/>
      <c r="N15" s="691" t="s">
        <v>259</v>
      </c>
      <c r="O15" s="692"/>
      <c r="P15" s="312">
        <f>M9*(7*Q10)</f>
        <v>18.968487677535705</v>
      </c>
      <c r="Q15" s="115"/>
    </row>
    <row r="16" spans="1:17" x14ac:dyDescent="0.25">
      <c r="A16" s="677" t="s">
        <v>148</v>
      </c>
      <c r="B16" s="679">
        <f>SUM(B11*B14)+B14</f>
        <v>15.332100000000001</v>
      </c>
      <c r="C16" s="97"/>
      <c r="D16" s="123"/>
      <c r="E16" s="124" t="s">
        <v>149</v>
      </c>
      <c r="F16" s="125" t="str">
        <f>IF(B16-F14&gt;0,"No","Yes")</f>
        <v>No</v>
      </c>
      <c r="G16" s="115"/>
      <c r="I16" s="310"/>
      <c r="J16" s="123"/>
      <c r="K16" s="123"/>
      <c r="L16" s="123"/>
      <c r="M16" s="302" t="s">
        <v>261</v>
      </c>
      <c r="N16" s="123"/>
      <c r="O16" s="123"/>
      <c r="P16" s="123"/>
      <c r="Q16" s="115"/>
    </row>
    <row r="17" spans="1:17" x14ac:dyDescent="0.25">
      <c r="A17" s="678"/>
      <c r="B17" s="680"/>
      <c r="C17" s="97"/>
      <c r="D17" s="123"/>
      <c r="E17" s="126" t="s">
        <v>150</v>
      </c>
      <c r="F17" s="127">
        <f>IF(F16="Yes",(F14-B16),0)</f>
        <v>0</v>
      </c>
      <c r="G17" s="115"/>
      <c r="I17" s="310"/>
      <c r="J17" s="703"/>
      <c r="K17" s="704"/>
      <c r="L17" s="704"/>
      <c r="M17" s="304">
        <f>'Calculations &amp; Constants'!$A$44</f>
        <v>0.47499999999999998</v>
      </c>
      <c r="N17" s="703"/>
      <c r="O17" s="704"/>
      <c r="P17" s="704"/>
      <c r="Q17" s="115"/>
    </row>
    <row r="18" spans="1:17" x14ac:dyDescent="0.25">
      <c r="A18" s="681" t="s">
        <v>151</v>
      </c>
      <c r="B18" s="681"/>
      <c r="C18" s="97"/>
      <c r="D18" s="123"/>
      <c r="E18" s="126"/>
      <c r="F18" s="126"/>
      <c r="G18" s="115"/>
      <c r="I18" s="315"/>
      <c r="J18" s="705"/>
      <c r="K18" s="706"/>
      <c r="L18" s="128"/>
      <c r="M18" s="128"/>
      <c r="N18" s="705"/>
      <c r="O18" s="706"/>
      <c r="P18" s="128"/>
      <c r="Q18" s="133"/>
    </row>
    <row r="19" spans="1:17" ht="15.75" x14ac:dyDescent="0.25">
      <c r="A19" s="128"/>
      <c r="B19" s="128"/>
      <c r="C19" s="128"/>
      <c r="D19" s="128"/>
      <c r="E19" s="129" t="s">
        <v>152</v>
      </c>
      <c r="F19" s="130">
        <f>IF(B16-F14&gt;0,(B16-F14),0)</f>
        <v>4.4321000000000002</v>
      </c>
      <c r="G19" s="115"/>
      <c r="I19" s="669" t="s">
        <v>264</v>
      </c>
      <c r="J19" s="670"/>
      <c r="K19" s="670"/>
      <c r="L19" s="670"/>
      <c r="M19" s="670"/>
      <c r="N19" s="670"/>
      <c r="O19" s="670"/>
      <c r="P19" s="670"/>
      <c r="Q19" s="671"/>
    </row>
    <row r="20" spans="1:17" x14ac:dyDescent="0.25">
      <c r="A20" s="97"/>
      <c r="B20" s="97"/>
      <c r="C20" s="97"/>
      <c r="D20" s="97"/>
      <c r="E20" s="682" t="s">
        <v>153</v>
      </c>
      <c r="F20" s="683"/>
      <c r="G20" s="115"/>
      <c r="I20" s="672"/>
      <c r="J20" s="673"/>
      <c r="K20" s="673"/>
      <c r="L20" s="673"/>
      <c r="M20" s="673"/>
      <c r="N20" s="673"/>
      <c r="O20" s="673"/>
      <c r="P20" s="673"/>
      <c r="Q20" s="674"/>
    </row>
    <row r="21" spans="1:17" ht="15.75" thickBot="1" x14ac:dyDescent="0.3">
      <c r="A21" s="686" t="s">
        <v>154</v>
      </c>
      <c r="B21" s="687"/>
      <c r="C21" s="687"/>
      <c r="D21" s="97"/>
      <c r="E21" s="682"/>
      <c r="F21" s="683"/>
      <c r="G21" s="115"/>
      <c r="I21" s="658"/>
      <c r="J21" s="653"/>
      <c r="K21" s="653"/>
      <c r="L21" s="653"/>
      <c r="M21" s="653"/>
      <c r="N21" s="653"/>
      <c r="O21" s="653"/>
      <c r="P21" s="653"/>
      <c r="Q21" s="659"/>
    </row>
    <row r="22" spans="1:17" x14ac:dyDescent="0.25">
      <c r="A22" s="105" t="s">
        <v>155</v>
      </c>
      <c r="B22" s="131">
        <f>IF(C22="Y",20%,0)</f>
        <v>0</v>
      </c>
      <c r="C22" s="288" t="s">
        <v>43</v>
      </c>
      <c r="D22" s="97"/>
      <c r="E22" s="682"/>
      <c r="F22" s="683"/>
      <c r="G22" s="115"/>
      <c r="J22" s="701"/>
      <c r="K22" s="702"/>
      <c r="L22" s="301"/>
      <c r="M22" s="301"/>
      <c r="N22" s="701"/>
      <c r="O22" s="702"/>
      <c r="P22" s="301"/>
    </row>
    <row r="23" spans="1:17" x14ac:dyDescent="0.25">
      <c r="A23" s="688" t="s">
        <v>156</v>
      </c>
      <c r="B23" s="97"/>
      <c r="C23" s="132"/>
      <c r="D23" s="97"/>
      <c r="E23" s="684"/>
      <c r="F23" s="685"/>
      <c r="G23" s="133"/>
      <c r="J23" s="301"/>
      <c r="K23" s="301"/>
      <c r="L23" s="301"/>
      <c r="M23" s="301"/>
      <c r="N23" s="301"/>
      <c r="O23" s="301"/>
      <c r="P23" s="301"/>
    </row>
    <row r="24" spans="1:17" x14ac:dyDescent="0.25">
      <c r="A24" s="689"/>
      <c r="B24" s="97"/>
      <c r="C24" s="115"/>
      <c r="D24" s="97"/>
      <c r="E24" s="134"/>
      <c r="F24" s="134"/>
      <c r="G24" s="97"/>
      <c r="J24" s="297"/>
      <c r="K24" s="298"/>
      <c r="L24" s="298"/>
      <c r="M24" s="298"/>
      <c r="N24" s="298"/>
      <c r="O24" s="298"/>
      <c r="P24" s="298"/>
    </row>
    <row r="25" spans="1:17" x14ac:dyDescent="0.25">
      <c r="A25" s="123"/>
      <c r="B25" s="123"/>
      <c r="C25" s="115"/>
      <c r="D25" s="97"/>
      <c r="E25" s="134"/>
      <c r="F25" s="134"/>
      <c r="G25" s="97"/>
      <c r="J25" s="298"/>
      <c r="K25" s="298"/>
      <c r="L25" s="298"/>
      <c r="M25" s="298"/>
      <c r="N25" s="298"/>
      <c r="O25" s="298"/>
      <c r="P25" s="298"/>
    </row>
    <row r="26" spans="1:17" x14ac:dyDescent="0.25">
      <c r="A26" s="135"/>
      <c r="B26" s="136"/>
      <c r="C26" s="136"/>
      <c r="D26" s="137"/>
      <c r="E26" s="137"/>
      <c r="F26" s="137"/>
      <c r="G26" s="138"/>
      <c r="J26" s="298"/>
      <c r="K26" s="298"/>
      <c r="L26" s="298"/>
      <c r="M26" s="298"/>
      <c r="N26" s="298"/>
      <c r="O26" s="298"/>
      <c r="P26" s="298"/>
    </row>
    <row r="27" spans="1:17" ht="15.75" thickBot="1" x14ac:dyDescent="0.3">
      <c r="A27" s="135"/>
      <c r="B27" s="136"/>
      <c r="C27" s="136"/>
      <c r="D27" s="136"/>
      <c r="E27" s="683" t="s">
        <v>157</v>
      </c>
      <c r="F27" s="683"/>
      <c r="G27" s="139"/>
    </row>
    <row r="28" spans="1:17" ht="15.75" thickBot="1" x14ac:dyDescent="0.3">
      <c r="A28" s="140" t="s">
        <v>154</v>
      </c>
      <c r="B28" s="141" t="s">
        <v>158</v>
      </c>
      <c r="C28" s="142" t="s">
        <v>159</v>
      </c>
      <c r="D28" s="136"/>
      <c r="E28" s="690"/>
      <c r="F28" s="690"/>
      <c r="G28" s="139"/>
    </row>
    <row r="29" spans="1:17" x14ac:dyDescent="0.25">
      <c r="A29" s="143" t="s">
        <v>160</v>
      </c>
      <c r="B29" s="144">
        <v>25</v>
      </c>
      <c r="C29" s="148">
        <f>IF(C22="Y",(15-B22*15),15)</f>
        <v>15</v>
      </c>
      <c r="D29" s="136"/>
      <c r="E29" s="145" t="s">
        <v>161</v>
      </c>
      <c r="F29" s="146">
        <f>IF(F19&gt;0,ROUND(B29/F19,0),"Not enough spirit")</f>
        <v>6</v>
      </c>
      <c r="G29" s="139"/>
    </row>
    <row r="30" spans="1:17" x14ac:dyDescent="0.25">
      <c r="A30" s="143" t="s">
        <v>162</v>
      </c>
      <c r="B30" s="147">
        <v>50</v>
      </c>
      <c r="C30" s="148">
        <f>IF(C22="Y",(30-B22*30),30)</f>
        <v>30</v>
      </c>
      <c r="D30" s="136"/>
      <c r="E30" s="149" t="s">
        <v>163</v>
      </c>
      <c r="F30" s="150">
        <f>IF(F19&gt;0,ROUND(B30/F19,0),"Not enough spirit")</f>
        <v>11</v>
      </c>
      <c r="G30" s="139"/>
    </row>
    <row r="31" spans="1:17" ht="15.75" thickBot="1" x14ac:dyDescent="0.3">
      <c r="A31" s="140" t="s">
        <v>164</v>
      </c>
      <c r="B31" s="151">
        <v>10</v>
      </c>
      <c r="C31" s="148">
        <f>IF(C22="Y",(15-B22*15),15)</f>
        <v>15</v>
      </c>
      <c r="D31" s="136"/>
      <c r="E31" s="149" t="s">
        <v>164</v>
      </c>
      <c r="F31" s="152">
        <f>IF(F19&gt;0,ROUND(B31/F19,0),"Not enough spirit")</f>
        <v>2</v>
      </c>
      <c r="G31" s="139"/>
    </row>
    <row r="32" spans="1:17" ht="15.75" thickBot="1" x14ac:dyDescent="0.3">
      <c r="A32" s="143" t="s">
        <v>165</v>
      </c>
      <c r="B32" s="147">
        <v>85</v>
      </c>
      <c r="C32" s="153"/>
      <c r="D32" s="136"/>
      <c r="E32" s="149" t="s">
        <v>166</v>
      </c>
      <c r="F32" s="150">
        <f>IF(F19&gt;0,ROUND((B30+B31)/F19,0), "Not enough spirit")</f>
        <v>14</v>
      </c>
      <c r="G32" s="139"/>
    </row>
    <row r="33" spans="1:7" x14ac:dyDescent="0.25">
      <c r="A33" s="154"/>
      <c r="B33" s="155"/>
      <c r="C33" s="155"/>
      <c r="D33" s="155"/>
      <c r="E33" s="155"/>
      <c r="F33" s="155"/>
      <c r="G33" s="156"/>
    </row>
    <row r="34" spans="1:7" x14ac:dyDescent="0.25">
      <c r="A34" s="157"/>
      <c r="B34" s="149"/>
      <c r="C34" s="157"/>
      <c r="D34" s="157"/>
      <c r="E34" s="157"/>
      <c r="F34" s="157"/>
      <c r="G34" s="157"/>
    </row>
    <row r="35" spans="1:7" x14ac:dyDescent="0.25">
      <c r="A35" s="675" t="s">
        <v>167</v>
      </c>
      <c r="B35" s="676"/>
      <c r="C35" s="676"/>
      <c r="D35" s="676"/>
      <c r="E35" s="676"/>
      <c r="F35" s="676"/>
      <c r="G35" s="676"/>
    </row>
    <row r="36" spans="1:7" x14ac:dyDescent="0.25">
      <c r="A36" s="675" t="s">
        <v>168</v>
      </c>
      <c r="B36" s="676"/>
      <c r="C36" s="676"/>
      <c r="D36" s="676"/>
      <c r="E36" s="676"/>
      <c r="F36" s="676"/>
      <c r="G36" s="676"/>
    </row>
    <row r="37" spans="1:7" x14ac:dyDescent="0.25">
      <c r="A37" s="675" t="s">
        <v>169</v>
      </c>
      <c r="B37" s="676"/>
      <c r="C37" s="676"/>
      <c r="D37" s="676"/>
      <c r="E37" s="676"/>
      <c r="F37" s="676"/>
      <c r="G37" s="676"/>
    </row>
    <row r="38" spans="1:7" x14ac:dyDescent="0.25">
      <c r="A38" s="675" t="s">
        <v>170</v>
      </c>
      <c r="B38" s="676"/>
      <c r="C38" s="676"/>
      <c r="D38" s="676"/>
      <c r="E38" s="676"/>
      <c r="F38" s="676"/>
      <c r="G38" s="676"/>
    </row>
    <row r="39" spans="1:7" x14ac:dyDescent="0.25">
      <c r="A39" s="675" t="s">
        <v>171</v>
      </c>
      <c r="B39" s="676"/>
      <c r="C39" s="676"/>
      <c r="D39" s="676"/>
      <c r="E39" s="676"/>
      <c r="F39" s="676"/>
      <c r="G39" s="676"/>
    </row>
  </sheetData>
  <mergeCells count="45">
    <mergeCell ref="J2:P2"/>
    <mergeCell ref="J22:K22"/>
    <mergeCell ref="N17:P17"/>
    <mergeCell ref="N18:O18"/>
    <mergeCell ref="N22:O22"/>
    <mergeCell ref="J17:L17"/>
    <mergeCell ref="J18:K18"/>
    <mergeCell ref="J15:K15"/>
    <mergeCell ref="N10:P10"/>
    <mergeCell ref="N11:O11"/>
    <mergeCell ref="N12:O12"/>
    <mergeCell ref="N13:O13"/>
    <mergeCell ref="N14:O14"/>
    <mergeCell ref="N15:O15"/>
    <mergeCell ref="J10:L10"/>
    <mergeCell ref="J11:K11"/>
    <mergeCell ref="J12:K12"/>
    <mergeCell ref="J13:K13"/>
    <mergeCell ref="J14:K14"/>
    <mergeCell ref="J7:K7"/>
    <mergeCell ref="J8:K8"/>
    <mergeCell ref="J9:K9"/>
    <mergeCell ref="N8:O8"/>
    <mergeCell ref="J3:L3"/>
    <mergeCell ref="J4:K4"/>
    <mergeCell ref="J5:K5"/>
    <mergeCell ref="J6:K6"/>
    <mergeCell ref="N3:P3"/>
    <mergeCell ref="N4:O4"/>
    <mergeCell ref="N5:O5"/>
    <mergeCell ref="N6:O6"/>
    <mergeCell ref="N7:O7"/>
    <mergeCell ref="I19:Q21"/>
    <mergeCell ref="A39:G39"/>
    <mergeCell ref="A16:A17"/>
    <mergeCell ref="B16:B17"/>
    <mergeCell ref="A18:B18"/>
    <mergeCell ref="E20:F23"/>
    <mergeCell ref="A21:C21"/>
    <mergeCell ref="A23:A24"/>
    <mergeCell ref="E27:F28"/>
    <mergeCell ref="A35:G35"/>
    <mergeCell ref="A36:G36"/>
    <mergeCell ref="A37:G37"/>
    <mergeCell ref="A38:G38"/>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F29" sqref="F29"/>
    </sheetView>
  </sheetViews>
  <sheetFormatPr defaultColWidth="13" defaultRowHeight="15" customHeight="1" x14ac:dyDescent="0.2"/>
  <cols>
    <col min="1" max="1" width="13" style="373"/>
    <col min="2" max="2" width="23.85546875" style="373" customWidth="1"/>
    <col min="3" max="4" width="13" style="373"/>
    <col min="5" max="5" width="17.28515625" style="373" customWidth="1"/>
    <col min="6" max="6" width="15.28515625" style="373" customWidth="1"/>
    <col min="7" max="7" width="15.42578125" style="373" customWidth="1"/>
    <col min="8" max="16384" width="13" style="373"/>
  </cols>
  <sheetData>
    <row r="1" spans="1:10" ht="15" customHeight="1" x14ac:dyDescent="0.2">
      <c r="B1" s="714" t="s">
        <v>372</v>
      </c>
      <c r="C1" s="712"/>
      <c r="D1" s="712"/>
      <c r="E1" s="712"/>
      <c r="F1" s="712"/>
      <c r="G1" s="712"/>
      <c r="H1" s="713"/>
    </row>
    <row r="2" spans="1:10" ht="15" customHeight="1" x14ac:dyDescent="0.2">
      <c r="B2" s="658"/>
      <c r="C2" s="653"/>
      <c r="D2" s="653"/>
      <c r="E2" s="653"/>
      <c r="F2" s="653"/>
      <c r="G2" s="653"/>
      <c r="H2" s="659"/>
    </row>
    <row r="3" spans="1:10" ht="14.1" customHeight="1" x14ac:dyDescent="0.25">
      <c r="A3" s="374"/>
      <c r="B3" s="439"/>
      <c r="C3" s="439"/>
      <c r="D3" s="439"/>
      <c r="E3" s="439"/>
      <c r="F3" s="439"/>
      <c r="G3" s="439"/>
      <c r="H3" s="439"/>
    </row>
    <row r="4" spans="1:10" x14ac:dyDescent="0.25">
      <c r="A4" s="374"/>
      <c r="B4" s="440" t="s">
        <v>339</v>
      </c>
      <c r="C4" s="374"/>
      <c r="D4" s="374"/>
      <c r="E4" s="374"/>
      <c r="F4" s="374"/>
      <c r="G4" s="374"/>
    </row>
    <row r="5" spans="1:10" ht="15" customHeight="1" x14ac:dyDescent="0.25">
      <c r="A5" s="374"/>
      <c r="B5" s="374" t="s">
        <v>357</v>
      </c>
      <c r="C5" s="443">
        <f>Inputs!$B$20</f>
        <v>500.4</v>
      </c>
      <c r="D5" s="374"/>
      <c r="E5" s="721" t="s">
        <v>379</v>
      </c>
      <c r="F5" s="722"/>
      <c r="G5" s="723"/>
    </row>
    <row r="6" spans="1:10" ht="15" customHeight="1" x14ac:dyDescent="0.25">
      <c r="A6" s="374"/>
      <c r="B6" s="374" t="s">
        <v>358</v>
      </c>
      <c r="C6" s="443">
        <f>Inputs!$B$21</f>
        <v>1002.19</v>
      </c>
      <c r="D6" s="374"/>
      <c r="E6" s="724"/>
      <c r="F6" s="571"/>
      <c r="G6" s="725"/>
    </row>
    <row r="7" spans="1:10" x14ac:dyDescent="0.25">
      <c r="A7" s="374"/>
      <c r="B7" s="374" t="s">
        <v>389</v>
      </c>
      <c r="C7" s="444">
        <f>Inputs!$B$16</f>
        <v>1.3999999761999999</v>
      </c>
      <c r="D7" s="376"/>
      <c r="E7" s="724"/>
      <c r="F7" s="571"/>
      <c r="G7" s="725"/>
    </row>
    <row r="8" spans="1:10" x14ac:dyDescent="0.25">
      <c r="A8" s="374"/>
      <c r="B8" s="374" t="s">
        <v>362</v>
      </c>
      <c r="C8" s="443">
        <f>Inputs!$B$22</f>
        <v>0</v>
      </c>
      <c r="D8" s="376"/>
      <c r="E8" s="726"/>
      <c r="F8" s="727"/>
      <c r="G8" s="728"/>
    </row>
    <row r="9" spans="1:10" x14ac:dyDescent="0.25">
      <c r="A9" s="374"/>
      <c r="B9" s="374" t="s">
        <v>363</v>
      </c>
      <c r="C9" s="443">
        <f>Inputs!$B$23</f>
        <v>0</v>
      </c>
      <c r="D9" s="376"/>
      <c r="E9" s="374"/>
      <c r="F9" s="414"/>
      <c r="G9" s="414"/>
      <c r="J9" s="374"/>
    </row>
    <row r="10" spans="1:10" x14ac:dyDescent="0.25">
      <c r="A10" s="374"/>
      <c r="B10" s="374" t="s">
        <v>364</v>
      </c>
      <c r="C10" s="443">
        <f>Inputs!$B$24</f>
        <v>500.4</v>
      </c>
      <c r="D10" s="376"/>
      <c r="E10" s="374"/>
      <c r="F10" s="419" t="s">
        <v>370</v>
      </c>
      <c r="G10" s="420" t="s">
        <v>371</v>
      </c>
      <c r="J10" s="374"/>
    </row>
    <row r="11" spans="1:10" ht="15.75" x14ac:dyDescent="0.25">
      <c r="A11" s="374"/>
      <c r="B11" s="374" t="s">
        <v>365</v>
      </c>
      <c r="C11" s="443">
        <f>Inputs!$B$25</f>
        <v>1002.19</v>
      </c>
      <c r="D11" s="376"/>
      <c r="E11" s="441" t="s">
        <v>4</v>
      </c>
      <c r="F11" s="379">
        <v>0</v>
      </c>
      <c r="G11" s="379">
        <v>0</v>
      </c>
      <c r="J11" s="374"/>
    </row>
    <row r="12" spans="1:10" ht="15.75" x14ac:dyDescent="0.25">
      <c r="A12" s="374"/>
      <c r="B12" s="374"/>
      <c r="C12" s="416"/>
      <c r="D12" s="374"/>
      <c r="E12" s="441" t="s">
        <v>388</v>
      </c>
      <c r="F12" s="431">
        <v>0.08</v>
      </c>
      <c r="G12" s="431">
        <v>0</v>
      </c>
      <c r="J12" s="374"/>
    </row>
    <row r="13" spans="1:10" ht="15.75" x14ac:dyDescent="0.25">
      <c r="A13" s="374"/>
      <c r="B13" s="440" t="s">
        <v>338</v>
      </c>
      <c r="C13" s="374"/>
      <c r="D13" s="374"/>
      <c r="E13" s="441" t="s">
        <v>366</v>
      </c>
      <c r="F13" s="431">
        <v>5.5E-2</v>
      </c>
      <c r="G13" s="431">
        <v>0.06</v>
      </c>
      <c r="J13" s="374"/>
    </row>
    <row r="14" spans="1:10" ht="15.75" x14ac:dyDescent="0.25">
      <c r="A14" s="374"/>
      <c r="B14" s="374" t="s">
        <v>357</v>
      </c>
      <c r="C14" s="443">
        <f>Inputs!$B$32</f>
        <v>397.3</v>
      </c>
      <c r="D14" s="374"/>
      <c r="E14" s="441" t="s">
        <v>367</v>
      </c>
      <c r="F14" s="431">
        <v>0</v>
      </c>
      <c r="G14" s="431">
        <v>0</v>
      </c>
    </row>
    <row r="15" spans="1:10" ht="15.75" x14ac:dyDescent="0.25">
      <c r="A15" s="374"/>
      <c r="B15" s="374" t="s">
        <v>358</v>
      </c>
      <c r="C15" s="443">
        <f>Inputs!$B$33</f>
        <v>887.7</v>
      </c>
      <c r="D15" s="374"/>
      <c r="E15" s="442" t="s">
        <v>378</v>
      </c>
      <c r="F15" s="379">
        <v>0</v>
      </c>
      <c r="G15" s="379">
        <v>54</v>
      </c>
    </row>
    <row r="16" spans="1:10" x14ac:dyDescent="0.25">
      <c r="A16" s="374"/>
      <c r="B16" s="374" t="s">
        <v>389</v>
      </c>
      <c r="C16" s="444">
        <f>Inputs!$B$29</f>
        <v>1.3999999761999999</v>
      </c>
      <c r="D16" s="374"/>
      <c r="E16" s="374"/>
      <c r="F16" s="414"/>
      <c r="G16" s="414"/>
    </row>
    <row r="17" spans="1:11" x14ac:dyDescent="0.25">
      <c r="A17" s="374"/>
      <c r="B17" s="374" t="s">
        <v>362</v>
      </c>
      <c r="C17" s="443">
        <f>Inputs!$B$34</f>
        <v>274</v>
      </c>
      <c r="D17" s="374"/>
      <c r="E17" s="715" t="s">
        <v>368</v>
      </c>
      <c r="F17" s="717">
        <f>(((((((((((C5+C30)+(C6+D30))/2+C34)+(F15*(1+C32)))+((C14+C30)+(C15+D30))/2+C35))*C7)*C16)/(C7+C16))*(1.15+(C24+F12))*(1+(C25+F13)*(C26+F14)))*(1+((C23+F11)/100)))</f>
        <v>249077.53484950511</v>
      </c>
      <c r="G17" s="719">
        <f>(((((((((((C5+C30)+(C6+D30))/2+C34)+(G15*(1+C32)))+((C14+C30)+(C15+D30))/2+C35))*C7)*C16)/(C7+C16))*(1.15+(C24+G12))*(1+(C25+G13)*(C26+G14)))*(1+((C23+G11)/100)))</f>
        <v>247365.22160938333</v>
      </c>
    </row>
    <row r="18" spans="1:11" x14ac:dyDescent="0.25">
      <c r="A18" s="374"/>
      <c r="B18" s="374" t="s">
        <v>363</v>
      </c>
      <c r="C18" s="443">
        <f>Inputs!$B$35</f>
        <v>600</v>
      </c>
      <c r="D18" s="374"/>
      <c r="E18" s="716"/>
      <c r="F18" s="718"/>
      <c r="G18" s="720"/>
    </row>
    <row r="19" spans="1:11" x14ac:dyDescent="0.25">
      <c r="A19" s="374"/>
      <c r="B19" s="374" t="s">
        <v>364</v>
      </c>
      <c r="C19" s="443">
        <f>Inputs!$B$36</f>
        <v>123.30000000000001</v>
      </c>
      <c r="D19" s="374"/>
      <c r="E19" s="374"/>
      <c r="F19" s="374"/>
      <c r="G19" s="374"/>
      <c r="J19" s="414"/>
      <c r="K19" s="414"/>
    </row>
    <row r="20" spans="1:11" x14ac:dyDescent="0.25">
      <c r="A20" s="374"/>
      <c r="B20" s="374" t="s">
        <v>365</v>
      </c>
      <c r="C20" s="443">
        <f>Inputs!$B$37</f>
        <v>287.70000000000005</v>
      </c>
      <c r="D20" s="374"/>
      <c r="E20" s="374"/>
      <c r="F20" s="374"/>
      <c r="G20" s="374"/>
      <c r="J20" s="414"/>
      <c r="K20" s="414"/>
    </row>
    <row r="21" spans="1:11" x14ac:dyDescent="0.25">
      <c r="A21" s="374"/>
      <c r="B21" s="374"/>
      <c r="C21" s="415"/>
      <c r="D21" s="374"/>
      <c r="E21" s="374"/>
      <c r="F21" s="374"/>
      <c r="G21" s="374"/>
      <c r="J21" s="414"/>
      <c r="K21" s="414"/>
    </row>
    <row r="22" spans="1:11" x14ac:dyDescent="0.25">
      <c r="A22" s="374"/>
      <c r="B22" s="440" t="s">
        <v>387</v>
      </c>
      <c r="C22" s="415"/>
      <c r="D22" s="374"/>
      <c r="E22" s="374"/>
      <c r="F22" s="374"/>
      <c r="G22" s="374"/>
      <c r="J22" s="414"/>
      <c r="K22" s="414"/>
    </row>
    <row r="23" spans="1:11" x14ac:dyDescent="0.25">
      <c r="A23" s="374"/>
      <c r="B23" s="374" t="s">
        <v>386</v>
      </c>
      <c r="C23" s="444">
        <f>Inputs!$B$2</f>
        <v>3065</v>
      </c>
      <c r="D23" s="374"/>
      <c r="E23" s="375"/>
      <c r="F23" s="378"/>
      <c r="G23" s="378"/>
      <c r="J23" s="414"/>
      <c r="K23" s="414"/>
    </row>
    <row r="24" spans="1:11" x14ac:dyDescent="0.25">
      <c r="A24" s="374"/>
      <c r="B24" s="374" t="s">
        <v>337</v>
      </c>
      <c r="C24" s="445">
        <f>Inputs!$B$5</f>
        <v>0.51</v>
      </c>
      <c r="D24" s="374"/>
      <c r="E24" s="374"/>
      <c r="F24" s="374"/>
      <c r="G24" s="374"/>
      <c r="J24" s="414"/>
      <c r="K24" s="414"/>
    </row>
    <row r="25" spans="1:11" x14ac:dyDescent="0.25">
      <c r="A25" s="374"/>
      <c r="B25" s="374" t="s">
        <v>336</v>
      </c>
      <c r="C25" s="445">
        <f>Inputs!$B$6</f>
        <v>0.47499999999999998</v>
      </c>
      <c r="D25" s="374"/>
      <c r="E25" s="374"/>
      <c r="F25" s="374"/>
      <c r="G25" s="374"/>
    </row>
    <row r="26" spans="1:11" x14ac:dyDescent="0.25">
      <c r="A26" s="374"/>
      <c r="B26" s="374" t="s">
        <v>335</v>
      </c>
      <c r="C26" s="445">
        <f>Inputs!$B$7</f>
        <v>5.31</v>
      </c>
      <c r="D26" s="374"/>
      <c r="E26" s="374"/>
      <c r="F26" s="374"/>
      <c r="G26" s="374"/>
    </row>
    <row r="27" spans="1:11" x14ac:dyDescent="0.25">
      <c r="A27" s="374"/>
      <c r="B27" s="374"/>
      <c r="C27" s="415"/>
      <c r="D27" s="374"/>
      <c r="E27" s="374"/>
      <c r="F27" s="374"/>
      <c r="G27" s="374"/>
    </row>
    <row r="28" spans="1:11" x14ac:dyDescent="0.25">
      <c r="A28" s="374"/>
      <c r="B28" s="440" t="s">
        <v>323</v>
      </c>
      <c r="C28" s="374"/>
      <c r="D28" s="374"/>
      <c r="E28" s="374"/>
      <c r="F28" s="374"/>
      <c r="G28" s="374"/>
    </row>
    <row r="29" spans="1:11" x14ac:dyDescent="0.25">
      <c r="A29" s="374"/>
      <c r="B29" s="375"/>
      <c r="C29" s="421" t="s">
        <v>334</v>
      </c>
      <c r="D29" s="421" t="s">
        <v>333</v>
      </c>
      <c r="E29" s="374"/>
      <c r="F29" s="374"/>
      <c r="G29" s="374"/>
    </row>
    <row r="30" spans="1:11" x14ac:dyDescent="0.25">
      <c r="A30" s="374"/>
      <c r="B30" s="374" t="s">
        <v>203</v>
      </c>
      <c r="C30" s="448">
        <f>Inputs!$B$12</f>
        <v>63</v>
      </c>
      <c r="D30" s="448">
        <f>Inputs!$B$13</f>
        <v>166</v>
      </c>
      <c r="E30" s="374"/>
      <c r="F30" s="374"/>
      <c r="G30" s="374"/>
    </row>
    <row r="31" spans="1:11" x14ac:dyDescent="0.25">
      <c r="A31" s="374"/>
      <c r="B31" s="374"/>
      <c r="C31" s="415"/>
      <c r="D31" s="415"/>
      <c r="E31" s="374"/>
      <c r="F31" s="374"/>
      <c r="G31" s="374"/>
    </row>
    <row r="32" spans="1:11" x14ac:dyDescent="0.25">
      <c r="A32" s="374"/>
      <c r="B32" s="375" t="s">
        <v>316</v>
      </c>
      <c r="C32" s="449">
        <f>Inputs!$B$8</f>
        <v>0.06</v>
      </c>
      <c r="D32" s="415"/>
      <c r="E32" s="374"/>
      <c r="F32" s="374"/>
      <c r="G32" s="374"/>
    </row>
    <row r="33" spans="2:11" ht="15" customHeight="1" x14ac:dyDescent="0.2">
      <c r="C33" s="432"/>
      <c r="D33" s="432"/>
    </row>
    <row r="34" spans="2:11" ht="15" hidden="1" customHeight="1" x14ac:dyDescent="0.2">
      <c r="B34" s="373" t="s">
        <v>212</v>
      </c>
      <c r="C34" s="433">
        <f>(C5+C30+C6+D30)/2*C32</f>
        <v>51.947700000000005</v>
      </c>
      <c r="D34" s="432"/>
    </row>
    <row r="35" spans="2:11" ht="15" hidden="1" customHeight="1" x14ac:dyDescent="0.2">
      <c r="B35" s="373" t="s">
        <v>361</v>
      </c>
      <c r="C35" s="433">
        <f>(C19+C30+C20+D30)/2*C32</f>
        <v>19.2</v>
      </c>
      <c r="D35" s="432"/>
    </row>
    <row r="36" spans="2:11" ht="15" hidden="1" customHeight="1" x14ac:dyDescent="0.2">
      <c r="C36" s="434"/>
      <c r="D36" s="432"/>
    </row>
    <row r="37" spans="2:11" ht="15" customHeight="1" x14ac:dyDescent="0.2">
      <c r="B37" s="377" t="s">
        <v>369</v>
      </c>
      <c r="C37" s="435">
        <f>Inputs!$B$39</f>
        <v>219431.37699680234</v>
      </c>
      <c r="D37" s="432"/>
    </row>
    <row r="39" spans="2:11" ht="15" customHeight="1" x14ac:dyDescent="0.2">
      <c r="G39" s="417"/>
      <c r="H39" s="417"/>
      <c r="I39" s="417"/>
      <c r="J39" s="417"/>
      <c r="K39" s="417"/>
    </row>
    <row r="40" spans="2:11" ht="15" customHeight="1" x14ac:dyDescent="0.25">
      <c r="B40" s="711" t="s">
        <v>390</v>
      </c>
      <c r="C40" s="712"/>
      <c r="D40" s="713"/>
      <c r="G40" s="417"/>
      <c r="H40" s="417"/>
      <c r="I40" s="415"/>
      <c r="J40" s="418"/>
      <c r="K40" s="418"/>
    </row>
    <row r="41" spans="2:11" ht="15" customHeight="1" x14ac:dyDescent="0.25">
      <c r="B41" s="658"/>
      <c r="C41" s="653"/>
      <c r="D41" s="659"/>
      <c r="G41" s="417"/>
      <c r="H41" s="417"/>
      <c r="I41" s="415"/>
      <c r="J41" s="414"/>
      <c r="K41" s="414"/>
    </row>
    <row r="42" spans="2:11" ht="15" customHeight="1" x14ac:dyDescent="0.25">
      <c r="G42" s="417"/>
      <c r="H42" s="417"/>
      <c r="I42" s="415"/>
      <c r="J42" s="414"/>
      <c r="K42" s="414"/>
    </row>
    <row r="43" spans="2:11" ht="15" customHeight="1" x14ac:dyDescent="0.25">
      <c r="G43" s="417"/>
      <c r="H43" s="417"/>
      <c r="I43" s="415"/>
      <c r="J43" s="414"/>
      <c r="K43" s="414"/>
    </row>
    <row r="44" spans="2:11" ht="15" customHeight="1" x14ac:dyDescent="0.25">
      <c r="G44" s="417"/>
      <c r="H44" s="417"/>
      <c r="I44" s="415"/>
      <c r="J44" s="414"/>
      <c r="K44" s="414"/>
    </row>
    <row r="45" spans="2:11" ht="15" customHeight="1" x14ac:dyDescent="0.25">
      <c r="G45" s="417"/>
      <c r="H45" s="417"/>
      <c r="I45" s="415"/>
      <c r="J45" s="414"/>
      <c r="K45" s="414"/>
    </row>
    <row r="46" spans="2:11" ht="15" customHeight="1" x14ac:dyDescent="0.2">
      <c r="G46" s="417"/>
      <c r="H46" s="417"/>
      <c r="I46" s="417"/>
      <c r="J46" s="417"/>
      <c r="K46" s="417"/>
    </row>
  </sheetData>
  <mergeCells count="6">
    <mergeCell ref="B40:D41"/>
    <mergeCell ref="B1:H2"/>
    <mergeCell ref="E17:E18"/>
    <mergeCell ref="F17:F18"/>
    <mergeCell ref="G17:G18"/>
    <mergeCell ref="E5:G8"/>
  </mergeCells>
  <conditionalFormatting sqref="G23">
    <cfRule type="cellIs" dxfId="11" priority="2" stopIfTrue="1" operator="greaterThan">
      <formula>$F$23</formula>
    </cfRule>
  </conditionalFormatting>
  <conditionalFormatting sqref="F23">
    <cfRule type="cellIs" dxfId="10" priority="1" stopIfTrue="1" operator="greaterThan">
      <formula>$G$23</formula>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30"/>
  <sheetViews>
    <sheetView workbookViewId="0">
      <selection activeCell="G19" sqref="G19"/>
    </sheetView>
  </sheetViews>
  <sheetFormatPr defaultRowHeight="15" x14ac:dyDescent="0.25"/>
  <cols>
    <col min="1" max="1" width="25.7109375" style="80" customWidth="1"/>
    <col min="2" max="2" width="20.5703125" style="80" customWidth="1"/>
    <col min="3" max="3" width="9.140625" style="80"/>
    <col min="4" max="4" width="26.28515625" style="80" customWidth="1"/>
    <col min="5" max="5" width="22.42578125" style="80" customWidth="1"/>
    <col min="6" max="6" width="9.140625" style="80" customWidth="1"/>
    <col min="7" max="7" width="27.42578125" style="80" customWidth="1"/>
    <col min="8" max="16384" width="9.140625" style="80"/>
  </cols>
  <sheetData>
    <row r="1" spans="1:7" x14ac:dyDescent="0.25">
      <c r="A1" s="729" t="s">
        <v>419</v>
      </c>
      <c r="B1" s="730"/>
      <c r="C1" s="730"/>
      <c r="D1" s="730"/>
      <c r="E1" s="730"/>
      <c r="F1" s="730"/>
      <c r="G1" s="731"/>
    </row>
    <row r="2" spans="1:7" x14ac:dyDescent="0.25">
      <c r="A2" s="732"/>
      <c r="B2" s="733"/>
      <c r="C2" s="733"/>
      <c r="D2" s="733"/>
      <c r="E2" s="733"/>
      <c r="F2" s="733"/>
      <c r="G2" s="734"/>
    </row>
    <row r="3" spans="1:7" x14ac:dyDescent="0.25">
      <c r="A3" s="732"/>
      <c r="B3" s="733"/>
      <c r="C3" s="733"/>
      <c r="D3" s="733"/>
      <c r="E3" s="733"/>
      <c r="F3" s="733"/>
      <c r="G3" s="734"/>
    </row>
    <row r="4" spans="1:7" x14ac:dyDescent="0.25">
      <c r="A4" s="735"/>
      <c r="B4" s="736"/>
      <c r="C4" s="736"/>
      <c r="D4" s="736"/>
      <c r="E4" s="736"/>
      <c r="F4" s="736"/>
      <c r="G4" s="737"/>
    </row>
    <row r="6" spans="1:7" x14ac:dyDescent="0.25">
      <c r="A6" s="743" t="s">
        <v>418</v>
      </c>
      <c r="B6" s="744"/>
      <c r="D6" s="747" t="s">
        <v>420</v>
      </c>
      <c r="E6" s="744"/>
      <c r="G6" s="738" t="s">
        <v>128</v>
      </c>
    </row>
    <row r="7" spans="1:7" x14ac:dyDescent="0.25">
      <c r="A7" s="745"/>
      <c r="B7" s="746"/>
      <c r="D7" s="745"/>
      <c r="E7" s="746"/>
      <c r="G7" s="739"/>
    </row>
    <row r="9" spans="1:7" x14ac:dyDescent="0.25">
      <c r="A9" s="88" t="s">
        <v>123</v>
      </c>
      <c r="B9" s="500">
        <f>Inputs!$J$31</f>
        <v>0.28999999999999998</v>
      </c>
      <c r="D9" s="88" t="s">
        <v>123</v>
      </c>
      <c r="E9" s="289">
        <v>0.28999999999999998</v>
      </c>
      <c r="G9" s="91" t="s">
        <v>124</v>
      </c>
    </row>
    <row r="10" spans="1:7" x14ac:dyDescent="0.25">
      <c r="A10" s="88" t="s">
        <v>27</v>
      </c>
      <c r="B10" s="501">
        <f>Inputs!$J$30</f>
        <v>1010</v>
      </c>
      <c r="D10" s="88" t="s">
        <v>27</v>
      </c>
      <c r="E10" s="290">
        <v>1010</v>
      </c>
      <c r="G10" s="428">
        <f>(E25/B25)-1</f>
        <v>1.5422034277357E-4</v>
      </c>
    </row>
    <row r="11" spans="1:7" x14ac:dyDescent="0.25">
      <c r="A11" s="87" t="s">
        <v>25</v>
      </c>
      <c r="B11" s="502">
        <f>IF(Buffs!C27="Y",Inputs!$J$28+(Inputs!B2/2),Inputs!J28)</f>
        <v>5179.5</v>
      </c>
      <c r="D11" s="87" t="s">
        <v>25</v>
      </c>
      <c r="E11" s="291">
        <v>5252</v>
      </c>
    </row>
    <row r="12" spans="1:7" ht="15.75" thickBot="1" x14ac:dyDescent="0.3">
      <c r="A12" s="87" t="s">
        <v>26</v>
      </c>
      <c r="B12" s="502">
        <f>Inputs!$J$29</f>
        <v>656.8</v>
      </c>
      <c r="D12" s="87" t="s">
        <v>26</v>
      </c>
      <c r="E12" s="291">
        <v>650</v>
      </c>
      <c r="G12" s="91" t="s">
        <v>125</v>
      </c>
    </row>
    <row r="13" spans="1:7" ht="16.5" thickTop="1" thickBot="1" x14ac:dyDescent="0.3">
      <c r="A13" s="87" t="s">
        <v>122</v>
      </c>
      <c r="B13" s="292">
        <v>0</v>
      </c>
      <c r="D13" s="87" t="s">
        <v>122</v>
      </c>
      <c r="E13" s="292">
        <v>0</v>
      </c>
      <c r="G13" s="429">
        <f>1-(B16/E16)</f>
        <v>-1.6457745496036846E-3</v>
      </c>
    </row>
    <row r="14" spans="1:7" ht="15.75" thickTop="1" x14ac:dyDescent="0.25">
      <c r="A14" s="86" t="s">
        <v>121</v>
      </c>
      <c r="B14" s="293">
        <v>200000</v>
      </c>
      <c r="D14" s="86" t="s">
        <v>121</v>
      </c>
      <c r="E14" s="293">
        <v>200000</v>
      </c>
    </row>
    <row r="15" spans="1:7" ht="15.75" thickBot="1" x14ac:dyDescent="0.3">
      <c r="A15" s="85"/>
      <c r="B15" s="84"/>
      <c r="D15" s="85"/>
      <c r="E15" s="84"/>
      <c r="G15" s="90" t="s">
        <v>126</v>
      </c>
    </row>
    <row r="16" spans="1:7" ht="15" customHeight="1" x14ac:dyDescent="0.25">
      <c r="A16" s="742" t="s">
        <v>120</v>
      </c>
      <c r="B16" s="740">
        <f>B14-(B14*B25)</f>
        <v>17161.423787768057</v>
      </c>
      <c r="D16" s="742" t="s">
        <v>120</v>
      </c>
      <c r="E16" s="740">
        <f>E14-(E14*E25)</f>
        <v>17133.22635987238</v>
      </c>
      <c r="G16" s="90" t="s">
        <v>127</v>
      </c>
    </row>
    <row r="17" spans="1:7" ht="15.75" thickBot="1" x14ac:dyDescent="0.3">
      <c r="A17" s="742"/>
      <c r="B17" s="741"/>
      <c r="D17" s="742"/>
      <c r="E17" s="741"/>
    </row>
    <row r="18" spans="1:7" x14ac:dyDescent="0.25">
      <c r="B18" s="83"/>
      <c r="E18" s="83"/>
    </row>
    <row r="19" spans="1:7" x14ac:dyDescent="0.25">
      <c r="B19" s="83"/>
      <c r="E19" s="83"/>
      <c r="G19" s="229"/>
    </row>
    <row r="20" spans="1:7" x14ac:dyDescent="0.25">
      <c r="A20" s="81" t="s">
        <v>91</v>
      </c>
      <c r="B20" s="422">
        <f>B11</f>
        <v>5179.5</v>
      </c>
      <c r="D20" s="81" t="s">
        <v>91</v>
      </c>
      <c r="E20" s="422">
        <f>E11</f>
        <v>5252</v>
      </c>
      <c r="G20" s="230"/>
    </row>
    <row r="21" spans="1:7" x14ac:dyDescent="0.25">
      <c r="A21" s="81" t="s">
        <v>92</v>
      </c>
      <c r="B21" s="422">
        <v>0.3</v>
      </c>
      <c r="D21" s="81" t="s">
        <v>92</v>
      </c>
      <c r="E21" s="422">
        <v>0.3</v>
      </c>
      <c r="G21" s="93"/>
    </row>
    <row r="22" spans="1:7" x14ac:dyDescent="0.25">
      <c r="A22" s="81" t="s">
        <v>93</v>
      </c>
      <c r="B22" s="423">
        <f>B20/((50*63)+B20)</f>
        <v>0.62182603997839003</v>
      </c>
      <c r="D22" s="81" t="s">
        <v>93</v>
      </c>
      <c r="E22" s="423">
        <f>E20/((50*63)+E20)</f>
        <v>0.62508926446084268</v>
      </c>
      <c r="G22" s="231"/>
    </row>
    <row r="23" spans="1:7" x14ac:dyDescent="0.25">
      <c r="A23" s="81" t="s">
        <v>94</v>
      </c>
      <c r="B23" s="423">
        <f>B12/((5*63)+B12)</f>
        <v>0.67585923029429917</v>
      </c>
      <c r="D23" s="81" t="s">
        <v>94</v>
      </c>
      <c r="E23" s="423">
        <f>E12/((5*63)+E12)</f>
        <v>0.67357512953367871</v>
      </c>
      <c r="G23" s="93"/>
    </row>
    <row r="24" spans="1:7" x14ac:dyDescent="0.25">
      <c r="A24" s="82" t="s">
        <v>119</v>
      </c>
      <c r="B24" s="424">
        <f>B13</f>
        <v>0</v>
      </c>
      <c r="D24" s="82" t="s">
        <v>119</v>
      </c>
      <c r="E24" s="424">
        <f>E13</f>
        <v>0</v>
      </c>
      <c r="G24" s="93"/>
    </row>
    <row r="25" spans="1:7" x14ac:dyDescent="0.25">
      <c r="A25" s="81" t="s">
        <v>218</v>
      </c>
      <c r="B25" s="423">
        <f>1-(((1-B21)*(1-B22))*(1-B23)*(1-B24))</f>
        <v>0.9141928810611597</v>
      </c>
      <c r="D25" s="81" t="s">
        <v>219</v>
      </c>
      <c r="E25" s="423">
        <f>1-(((1-E21)*(1-E22))*(1-E23)*(1-E24))</f>
        <v>0.91433386820063811</v>
      </c>
      <c r="G25" s="92"/>
    </row>
    <row r="26" spans="1:7" x14ac:dyDescent="0.25">
      <c r="A26" s="81" t="s">
        <v>96</v>
      </c>
      <c r="B26" s="425">
        <f>(((35*B10)+36)+(60*4))*(1+B9)</f>
        <v>45957.54</v>
      </c>
      <c r="D26" s="81" t="s">
        <v>96</v>
      </c>
      <c r="E26" s="425">
        <f>(((35*E10)+36)+(60*4))*(1+E9)</f>
        <v>45957.54</v>
      </c>
      <c r="G26" s="230"/>
    </row>
    <row r="27" spans="1:7" x14ac:dyDescent="0.25">
      <c r="A27" s="81" t="s">
        <v>97</v>
      </c>
      <c r="B27" s="426">
        <f>B26/(1-B25)</f>
        <v>535591.22562728857</v>
      </c>
      <c r="D27" s="81" t="s">
        <v>97</v>
      </c>
      <c r="E27" s="426">
        <f>E26/(1-E25)</f>
        <v>536472.68803541712</v>
      </c>
      <c r="G27" s="93"/>
    </row>
    <row r="28" spans="1:7" x14ac:dyDescent="0.25">
      <c r="A28" s="81" t="s">
        <v>118</v>
      </c>
      <c r="B28" s="427">
        <f>B27/B26</f>
        <v>11.654044703595723</v>
      </c>
      <c r="D28" s="81" t="s">
        <v>118</v>
      </c>
      <c r="E28" s="427">
        <f>E27/E26</f>
        <v>11.673224633768847</v>
      </c>
      <c r="G28" s="231"/>
    </row>
    <row r="29" spans="1:7" x14ac:dyDescent="0.25">
      <c r="G29" s="229"/>
    </row>
    <row r="30" spans="1:7" x14ac:dyDescent="0.25">
      <c r="G30" s="229"/>
    </row>
  </sheetData>
  <mergeCells count="8">
    <mergeCell ref="A1:G4"/>
    <mergeCell ref="G6:G7"/>
    <mergeCell ref="B16:B17"/>
    <mergeCell ref="A16:A17"/>
    <mergeCell ref="E16:E17"/>
    <mergeCell ref="D16:D17"/>
    <mergeCell ref="A6:B7"/>
    <mergeCell ref="D6:E7"/>
  </mergeCells>
  <conditionalFormatting sqref="G10">
    <cfRule type="cellIs" dxfId="9" priority="9" operator="lessThan">
      <formula>0</formula>
    </cfRule>
    <cfRule type="cellIs" dxfId="8" priority="10" operator="lessThan">
      <formula>0</formula>
    </cfRule>
  </conditionalFormatting>
  <conditionalFormatting sqref="E25">
    <cfRule type="cellIs" dxfId="7" priority="8" operator="lessThan">
      <formula>$B$25</formula>
    </cfRule>
  </conditionalFormatting>
  <conditionalFormatting sqref="G13">
    <cfRule type="cellIs" dxfId="6" priority="6" operator="lessThan">
      <formula>0</formula>
    </cfRule>
    <cfRule type="cellIs" dxfId="5" priority="7" operator="greaterThan">
      <formula>0</formula>
    </cfRule>
  </conditionalFormatting>
  <conditionalFormatting sqref="H19">
    <cfRule type="cellIs" dxfId="4" priority="5" operator="greaterThan">
      <formula>$B$25</formula>
    </cfRule>
  </conditionalFormatting>
  <conditionalFormatting sqref="G22">
    <cfRule type="cellIs" dxfId="3" priority="3" operator="lessThan">
      <formula>0</formula>
    </cfRule>
    <cfRule type="cellIs" dxfId="2" priority="4" operator="lessThan">
      <formula>0</formula>
    </cfRule>
  </conditionalFormatting>
  <conditionalFormatting sqref="G28">
    <cfRule type="cellIs" dxfId="1" priority="1" operator="lessThan">
      <formula>0</formula>
    </cfRule>
    <cfRule type="cellIs" dxfId="0" priority="2" operator="lessThan">
      <formula>0</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Z57"/>
  <sheetViews>
    <sheetView topLeftCell="A13" workbookViewId="0">
      <selection activeCell="R37" sqref="R37"/>
    </sheetView>
  </sheetViews>
  <sheetFormatPr defaultRowHeight="12.75" x14ac:dyDescent="0.2"/>
  <cols>
    <col min="1" max="2" width="9.140625" style="220"/>
    <col min="3" max="3" width="11.42578125" style="220" bestFit="1" customWidth="1"/>
    <col min="4" max="4" width="11.5703125" style="220" bestFit="1" customWidth="1"/>
    <col min="5" max="5" width="11.140625" style="220" customWidth="1"/>
    <col min="6" max="6" width="11.5703125" style="220" bestFit="1" customWidth="1"/>
    <col min="7" max="7" width="10.7109375" style="220" customWidth="1"/>
    <col min="8" max="8" width="10.5703125" style="220" customWidth="1"/>
    <col min="9" max="12" width="9.140625" style="220"/>
    <col min="13" max="13" width="11.5703125" style="220" bestFit="1" customWidth="1"/>
    <col min="14" max="14" width="9.140625" style="317"/>
    <col min="15" max="15" width="2" style="220" customWidth="1"/>
    <col min="16" max="16" width="12.140625" style="220" customWidth="1"/>
    <col min="17" max="19" width="9.140625" style="220"/>
    <col min="20" max="20" width="21.7109375" style="220" customWidth="1"/>
    <col min="21" max="21" width="9.140625" style="220" customWidth="1"/>
    <col min="22" max="22" width="9.140625" style="220"/>
    <col min="23" max="23" width="15.140625" style="220" customWidth="1"/>
    <col min="24" max="16384" width="9.140625" style="220"/>
  </cols>
  <sheetData>
    <row r="1" spans="1:26" x14ac:dyDescent="0.2">
      <c r="A1" s="447"/>
      <c r="B1" s="447"/>
      <c r="C1" s="447"/>
      <c r="D1" s="447"/>
      <c r="E1" s="447"/>
      <c r="F1" s="447"/>
      <c r="G1" s="447"/>
      <c r="H1" s="447"/>
      <c r="I1" s="447"/>
      <c r="J1" s="447"/>
      <c r="K1" s="447"/>
      <c r="L1" s="319"/>
      <c r="R1" s="361"/>
      <c r="X1" s="505"/>
      <c r="Y1" s="505"/>
      <c r="Z1" s="505"/>
    </row>
    <row r="2" spans="1:26" ht="15.75" customHeight="1" x14ac:dyDescent="0.2">
      <c r="A2" s="818" t="s">
        <v>394</v>
      </c>
      <c r="B2" s="584"/>
      <c r="C2" s="584"/>
      <c r="D2" s="584"/>
      <c r="E2" s="584"/>
      <c r="F2" s="584"/>
      <c r="G2" s="584"/>
      <c r="H2" s="584"/>
      <c r="I2" s="337"/>
      <c r="J2" s="337"/>
      <c r="K2" s="338"/>
      <c r="L2" s="337"/>
      <c r="M2" s="783" t="s">
        <v>268</v>
      </c>
      <c r="N2" s="813"/>
      <c r="O2" s="784"/>
      <c r="P2" s="784"/>
      <c r="Q2" s="785"/>
      <c r="R2" s="338"/>
      <c r="S2" s="219"/>
      <c r="T2" s="783" t="s">
        <v>305</v>
      </c>
      <c r="U2" s="784"/>
      <c r="V2" s="784"/>
      <c r="W2" s="785"/>
      <c r="X2" s="505"/>
      <c r="Y2" s="505"/>
      <c r="Z2" s="505"/>
    </row>
    <row r="3" spans="1:26" x14ac:dyDescent="0.2">
      <c r="A3" s="584"/>
      <c r="B3" s="584"/>
      <c r="C3" s="584"/>
      <c r="D3" s="584"/>
      <c r="E3" s="584"/>
      <c r="F3" s="584"/>
      <c r="G3" s="584"/>
      <c r="H3" s="584"/>
      <c r="I3" s="337"/>
      <c r="J3" s="337"/>
      <c r="K3" s="338"/>
      <c r="L3" s="337"/>
      <c r="M3" s="796" t="s">
        <v>269</v>
      </c>
      <c r="N3" s="797"/>
      <c r="O3" s="219"/>
      <c r="P3" s="790" t="s">
        <v>265</v>
      </c>
      <c r="Q3" s="592"/>
      <c r="R3" s="338"/>
      <c r="S3" s="219"/>
      <c r="T3" s="326" t="s">
        <v>278</v>
      </c>
      <c r="U3" s="349" t="s">
        <v>131</v>
      </c>
      <c r="V3" s="350" t="s">
        <v>279</v>
      </c>
      <c r="W3" s="325" t="s">
        <v>280</v>
      </c>
      <c r="X3" s="505"/>
      <c r="Y3" s="505"/>
      <c r="Z3" s="505"/>
    </row>
    <row r="4" spans="1:26" x14ac:dyDescent="0.2">
      <c r="A4" s="337"/>
      <c r="B4" s="337"/>
      <c r="C4" s="337"/>
      <c r="D4" s="337"/>
      <c r="E4" s="337"/>
      <c r="F4" s="337"/>
      <c r="G4" s="337"/>
      <c r="H4" s="337"/>
      <c r="I4" s="337"/>
      <c r="J4" s="337"/>
      <c r="K4" s="338"/>
      <c r="L4" s="337"/>
      <c r="M4" s="798">
        <f>Inputs!$B$39</f>
        <v>219431.37699680234</v>
      </c>
      <c r="N4" s="799"/>
      <c r="O4" s="219"/>
      <c r="P4" s="807" t="s">
        <v>266</v>
      </c>
      <c r="Q4" s="808"/>
      <c r="R4" s="338"/>
      <c r="S4" s="219"/>
      <c r="T4" s="323" t="s">
        <v>134</v>
      </c>
      <c r="U4" s="328" t="s">
        <v>288</v>
      </c>
      <c r="V4" s="332">
        <f>IF(U4="y",52.9,0)</f>
        <v>52.9</v>
      </c>
      <c r="W4" s="343">
        <v>1.5</v>
      </c>
      <c r="X4" s="505"/>
      <c r="Y4" s="505"/>
      <c r="Z4" s="505"/>
    </row>
    <row r="5" spans="1:26" x14ac:dyDescent="0.2">
      <c r="A5" s="553" t="s">
        <v>395</v>
      </c>
      <c r="B5" s="819" t="s">
        <v>396</v>
      </c>
      <c r="C5" s="820"/>
      <c r="D5" s="850" t="s">
        <v>404</v>
      </c>
      <c r="E5" s="851"/>
      <c r="F5" s="851"/>
      <c r="G5" s="851"/>
      <c r="H5" s="851"/>
      <c r="I5" s="851"/>
      <c r="J5" s="851"/>
      <c r="K5" s="851"/>
      <c r="L5" s="337"/>
      <c r="M5" s="800"/>
      <c r="N5" s="799"/>
      <c r="O5" s="219"/>
      <c r="P5" s="809">
        <f>IF(M13&gt;0,M13*M8,M4*M8)</f>
        <v>2241</v>
      </c>
      <c r="Q5" s="810"/>
      <c r="R5" s="338"/>
      <c r="S5" s="219"/>
      <c r="T5" s="323" t="s">
        <v>276</v>
      </c>
      <c r="U5" s="328" t="s">
        <v>42</v>
      </c>
      <c r="V5" s="332">
        <f>IF(U5="y",61,0)</f>
        <v>61</v>
      </c>
      <c r="W5" s="347"/>
      <c r="X5" s="505"/>
      <c r="Y5" s="505"/>
      <c r="Z5" s="505"/>
    </row>
    <row r="6" spans="1:26" x14ac:dyDescent="0.2">
      <c r="A6" s="553" t="s">
        <v>397</v>
      </c>
      <c r="B6" s="821" t="s">
        <v>398</v>
      </c>
      <c r="C6" s="821"/>
      <c r="D6" s="822" t="s">
        <v>405</v>
      </c>
      <c r="E6" s="788"/>
      <c r="F6" s="788"/>
      <c r="G6" s="788"/>
      <c r="H6" s="788"/>
      <c r="I6" s="788"/>
      <c r="J6" s="788"/>
      <c r="K6" s="789"/>
      <c r="L6" s="337"/>
      <c r="M6" s="801"/>
      <c r="N6" s="802"/>
      <c r="O6" s="219"/>
      <c r="P6" s="811"/>
      <c r="Q6" s="812"/>
      <c r="R6" s="338"/>
      <c r="S6" s="219"/>
      <c r="T6" s="323" t="s">
        <v>211</v>
      </c>
      <c r="U6" s="328" t="s">
        <v>42</v>
      </c>
      <c r="V6" s="332">
        <f>IF(U6="y",63.8,0)</f>
        <v>63.8</v>
      </c>
      <c r="W6" s="347"/>
      <c r="X6" s="505"/>
      <c r="Y6" s="505"/>
      <c r="Z6" s="505"/>
    </row>
    <row r="7" spans="1:26" x14ac:dyDescent="0.2">
      <c r="A7" s="553" t="s">
        <v>399</v>
      </c>
      <c r="B7" s="822" t="s">
        <v>400</v>
      </c>
      <c r="C7" s="822"/>
      <c r="D7" s="822" t="s">
        <v>406</v>
      </c>
      <c r="E7" s="788"/>
      <c r="F7" s="788"/>
      <c r="G7" s="788"/>
      <c r="H7" s="788"/>
      <c r="I7" s="788"/>
      <c r="J7" s="788"/>
      <c r="K7" s="789"/>
      <c r="L7" s="337"/>
      <c r="M7" s="790" t="s">
        <v>267</v>
      </c>
      <c r="N7" s="592"/>
      <c r="O7" s="219"/>
      <c r="P7" s="807" t="s">
        <v>271</v>
      </c>
      <c r="Q7" s="808"/>
      <c r="R7" s="338"/>
      <c r="S7" s="219"/>
      <c r="T7" s="323" t="s">
        <v>277</v>
      </c>
      <c r="U7" s="328" t="s">
        <v>42</v>
      </c>
      <c r="V7" s="332">
        <f>IF(U7="y",62,0)</f>
        <v>62</v>
      </c>
      <c r="W7" s="347"/>
      <c r="X7" s="505"/>
      <c r="Y7" s="505"/>
      <c r="Z7" s="505"/>
    </row>
    <row r="8" spans="1:26" x14ac:dyDescent="0.2">
      <c r="A8" s="553" t="s">
        <v>401</v>
      </c>
      <c r="B8" s="823" t="s">
        <v>402</v>
      </c>
      <c r="C8" s="673"/>
      <c r="D8" s="822" t="s">
        <v>407</v>
      </c>
      <c r="E8" s="788"/>
      <c r="F8" s="788"/>
      <c r="G8" s="788"/>
      <c r="H8" s="788"/>
      <c r="I8" s="788"/>
      <c r="J8" s="788"/>
      <c r="K8" s="789"/>
      <c r="L8" s="337"/>
      <c r="M8" s="803">
        <v>2.7E-2</v>
      </c>
      <c r="N8" s="804"/>
      <c r="O8" s="219"/>
      <c r="P8" s="809">
        <f>IF(M13&gt;0,((M13*0.7)*M8),(M4*0.7)*M8)</f>
        <v>1568.6999999999998</v>
      </c>
      <c r="Q8" s="810"/>
      <c r="R8" s="338"/>
      <c r="S8" s="219"/>
      <c r="T8" s="323" t="s">
        <v>281</v>
      </c>
      <c r="U8" s="344"/>
      <c r="V8" s="351">
        <f>SUM(V4:V7)</f>
        <v>239.7</v>
      </c>
      <c r="W8" s="347"/>
      <c r="X8" s="505"/>
      <c r="Y8" s="505"/>
      <c r="Z8" s="505"/>
    </row>
    <row r="9" spans="1:26" x14ac:dyDescent="0.2">
      <c r="A9" s="553" t="s">
        <v>403</v>
      </c>
      <c r="B9" s="829" t="s">
        <v>410</v>
      </c>
      <c r="C9" s="830"/>
      <c r="D9" s="824" t="s">
        <v>408</v>
      </c>
      <c r="E9" s="825"/>
      <c r="F9" s="825"/>
      <c r="G9" s="825"/>
      <c r="H9" s="825"/>
      <c r="I9" s="825"/>
      <c r="J9" s="825"/>
      <c r="K9" s="825"/>
      <c r="L9" s="337"/>
      <c r="M9" s="805"/>
      <c r="N9" s="806"/>
      <c r="O9" s="219"/>
      <c r="P9" s="811"/>
      <c r="Q9" s="812"/>
      <c r="R9" s="338"/>
      <c r="S9" s="219"/>
      <c r="T9" s="319"/>
      <c r="U9" s="345"/>
      <c r="V9" s="345"/>
      <c r="W9" s="347"/>
      <c r="X9" s="505"/>
      <c r="Y9" s="505"/>
      <c r="Z9" s="505"/>
    </row>
    <row r="10" spans="1:26" x14ac:dyDescent="0.2">
      <c r="A10" s="337"/>
      <c r="B10" s="216"/>
      <c r="C10" s="216"/>
      <c r="D10" s="826"/>
      <c r="E10" s="826"/>
      <c r="F10" s="826"/>
      <c r="G10" s="826"/>
      <c r="H10" s="826"/>
      <c r="I10" s="826"/>
      <c r="J10" s="826"/>
      <c r="K10" s="826"/>
      <c r="L10" s="337"/>
      <c r="M10" s="318"/>
      <c r="N10" s="219"/>
      <c r="O10" s="219"/>
      <c r="P10" s="807" t="s">
        <v>272</v>
      </c>
      <c r="Q10" s="808"/>
      <c r="R10" s="338"/>
      <c r="S10" s="219"/>
      <c r="T10" s="319"/>
      <c r="U10" s="337"/>
      <c r="V10" s="337"/>
      <c r="W10" s="338"/>
      <c r="X10" s="505"/>
      <c r="Y10" s="505"/>
      <c r="Z10" s="505"/>
    </row>
    <row r="11" spans="1:26" x14ac:dyDescent="0.2">
      <c r="A11" s="337"/>
      <c r="B11" s="337"/>
      <c r="C11" s="337"/>
      <c r="D11" s="826"/>
      <c r="E11" s="826"/>
      <c r="F11" s="826"/>
      <c r="G11" s="826"/>
      <c r="H11" s="826"/>
      <c r="I11" s="826"/>
      <c r="J11" s="826"/>
      <c r="K11" s="826"/>
      <c r="L11" s="337"/>
      <c r="M11" s="319"/>
      <c r="N11" s="219"/>
      <c r="O11" s="219"/>
      <c r="P11" s="795">
        <f>IF(M13&gt;0,((M13*0.4)*M8),(M4*0.4)*M8)</f>
        <v>896.4</v>
      </c>
      <c r="Q11" s="795"/>
      <c r="R11" s="338"/>
      <c r="S11" s="219"/>
      <c r="T11" s="326" t="s">
        <v>282</v>
      </c>
      <c r="U11" s="327" t="s">
        <v>284</v>
      </c>
      <c r="V11" s="337"/>
      <c r="W11" s="342" t="s">
        <v>289</v>
      </c>
      <c r="X11" s="505"/>
      <c r="Y11" s="505"/>
      <c r="Z11" s="505"/>
    </row>
    <row r="12" spans="1:26" x14ac:dyDescent="0.2">
      <c r="A12" s="337"/>
      <c r="B12" s="337"/>
      <c r="C12" s="337"/>
      <c r="D12" s="337"/>
      <c r="E12" s="337"/>
      <c r="F12" s="337"/>
      <c r="G12" s="337"/>
      <c r="H12" s="337"/>
      <c r="I12" s="337"/>
      <c r="J12" s="337"/>
      <c r="K12" s="338"/>
      <c r="L12" s="337"/>
      <c r="M12" s="790" t="s">
        <v>275</v>
      </c>
      <c r="N12" s="592"/>
      <c r="O12" s="219"/>
      <c r="P12" s="795"/>
      <c r="Q12" s="795"/>
      <c r="R12" s="338"/>
      <c r="S12" s="219"/>
      <c r="T12" s="323" t="s">
        <v>283</v>
      </c>
      <c r="U12" s="352">
        <v>1.04</v>
      </c>
      <c r="V12" s="337"/>
      <c r="W12" s="814">
        <f>(('Calculations &amp; Constants'!$A$40*W4)*6)*V8</f>
        <v>5013.5651147693916</v>
      </c>
      <c r="X12" s="505"/>
      <c r="Y12" s="505"/>
      <c r="Z12" s="505"/>
    </row>
    <row r="13" spans="1:26" x14ac:dyDescent="0.2">
      <c r="A13" s="447"/>
      <c r="B13" s="475" t="s">
        <v>167</v>
      </c>
      <c r="C13" s="827" t="s">
        <v>409</v>
      </c>
      <c r="D13" s="827"/>
      <c r="E13" s="827"/>
      <c r="F13" s="827"/>
      <c r="G13" s="827"/>
      <c r="H13" s="827"/>
      <c r="I13" s="827"/>
      <c r="J13" s="827"/>
      <c r="K13" s="828"/>
      <c r="L13" s="319"/>
      <c r="M13" s="791">
        <v>83000</v>
      </c>
      <c r="N13" s="792"/>
      <c r="O13" s="219"/>
      <c r="P13" s="807" t="s">
        <v>273</v>
      </c>
      <c r="Q13" s="808"/>
      <c r="R13" s="338"/>
      <c r="S13" s="219"/>
      <c r="T13" s="323" t="s">
        <v>285</v>
      </c>
      <c r="U13" s="353">
        <v>1.2</v>
      </c>
      <c r="V13" s="337"/>
      <c r="W13" s="815"/>
      <c r="X13" s="505"/>
      <c r="Y13" s="505"/>
      <c r="Z13" s="505"/>
    </row>
    <row r="14" spans="1:26" x14ac:dyDescent="0.2">
      <c r="A14" s="447"/>
      <c r="B14" s="447"/>
      <c r="C14" s="447"/>
      <c r="D14" s="447"/>
      <c r="E14" s="447"/>
      <c r="F14" s="447"/>
      <c r="G14" s="447"/>
      <c r="H14" s="447"/>
      <c r="I14" s="447"/>
      <c r="J14" s="447"/>
      <c r="K14" s="447"/>
      <c r="L14" s="319"/>
      <c r="M14" s="793"/>
      <c r="N14" s="794"/>
      <c r="O14" s="219"/>
      <c r="P14" s="795">
        <f>IF(M13&gt;0,((M13*0.2)*M8),(M4*0.2)*M8)</f>
        <v>448.2</v>
      </c>
      <c r="Q14" s="795"/>
      <c r="R14" s="338"/>
      <c r="S14" s="219"/>
      <c r="T14" s="323" t="s">
        <v>286</v>
      </c>
      <c r="U14" s="353">
        <v>1.5</v>
      </c>
      <c r="V14" s="337"/>
      <c r="W14" s="816"/>
      <c r="X14" s="505"/>
      <c r="Y14" s="505"/>
      <c r="Z14" s="505"/>
    </row>
    <row r="15" spans="1:26" x14ac:dyDescent="0.2">
      <c r="A15" s="447"/>
      <c r="B15" s="447"/>
      <c r="C15" s="447"/>
      <c r="D15" s="447"/>
      <c r="E15" s="447"/>
      <c r="F15" s="447"/>
      <c r="G15" s="447"/>
      <c r="H15" s="447"/>
      <c r="I15" s="447"/>
      <c r="J15" s="447"/>
      <c r="K15" s="447"/>
      <c r="L15" s="319"/>
      <c r="M15" s="319"/>
      <c r="N15" s="219"/>
      <c r="O15" s="219"/>
      <c r="P15" s="795"/>
      <c r="Q15" s="795"/>
      <c r="R15" s="338"/>
      <c r="S15" s="219"/>
      <c r="T15" s="323" t="s">
        <v>185</v>
      </c>
      <c r="U15" s="353">
        <v>1.333</v>
      </c>
      <c r="V15" s="337"/>
      <c r="W15" s="816"/>
      <c r="X15" s="505"/>
      <c r="Y15" s="505"/>
      <c r="Z15" s="505"/>
    </row>
    <row r="16" spans="1:26" x14ac:dyDescent="0.2">
      <c r="A16" s="447"/>
      <c r="B16" s="447"/>
      <c r="C16" s="447"/>
      <c r="D16" s="447"/>
      <c r="E16" s="447"/>
      <c r="F16" s="447"/>
      <c r="G16" s="447"/>
      <c r="H16" s="447"/>
      <c r="I16" s="447"/>
      <c r="J16" s="447"/>
      <c r="K16" s="447"/>
      <c r="L16" s="319"/>
      <c r="M16" s="320"/>
      <c r="N16" s="219"/>
      <c r="O16" s="219"/>
      <c r="P16" s="219"/>
      <c r="Q16" s="321"/>
      <c r="R16" s="338"/>
      <c r="S16" s="219"/>
      <c r="T16" s="323" t="s">
        <v>187</v>
      </c>
      <c r="U16" s="353">
        <v>1.125</v>
      </c>
      <c r="V16" s="337"/>
      <c r="W16" s="338"/>
      <c r="X16" s="505"/>
      <c r="Y16" s="505"/>
      <c r="Z16" s="505"/>
    </row>
    <row r="17" spans="1:26" x14ac:dyDescent="0.2">
      <c r="A17" s="447"/>
      <c r="B17" s="837" t="s">
        <v>210</v>
      </c>
      <c r="C17" s="838"/>
      <c r="D17" s="838"/>
      <c r="E17" s="838"/>
      <c r="F17" s="838"/>
      <c r="G17" s="838"/>
      <c r="H17" s="477"/>
      <c r="I17" s="477"/>
      <c r="J17" s="447"/>
      <c r="K17" s="447"/>
      <c r="L17" s="319"/>
      <c r="M17" s="786" t="s">
        <v>270</v>
      </c>
      <c r="N17" s="581"/>
      <c r="O17" s="581"/>
      <c r="P17" s="581"/>
      <c r="Q17" s="582"/>
      <c r="R17" s="338"/>
      <c r="S17" s="219"/>
      <c r="T17" s="322" t="s">
        <v>287</v>
      </c>
      <c r="U17" s="354">
        <v>1.1659999999999999</v>
      </c>
      <c r="V17" s="346"/>
      <c r="W17" s="348"/>
      <c r="X17" s="505"/>
      <c r="Y17" s="505"/>
      <c r="Z17" s="505"/>
    </row>
    <row r="18" spans="1:26" x14ac:dyDescent="0.2">
      <c r="A18" s="447"/>
      <c r="B18" s="847" t="s">
        <v>209</v>
      </c>
      <c r="C18" s="848"/>
      <c r="D18" s="848"/>
      <c r="E18" s="849" t="s">
        <v>48</v>
      </c>
      <c r="F18" s="598"/>
      <c r="G18" s="599"/>
      <c r="H18" s="447"/>
      <c r="I18" s="447"/>
      <c r="J18" s="447"/>
      <c r="K18" s="447"/>
      <c r="L18" s="319"/>
      <c r="M18" s="583"/>
      <c r="N18" s="584"/>
      <c r="O18" s="584"/>
      <c r="P18" s="584"/>
      <c r="Q18" s="585"/>
      <c r="R18" s="338"/>
      <c r="S18" s="219"/>
      <c r="T18" s="757" t="s">
        <v>311</v>
      </c>
      <c r="U18" s="670"/>
      <c r="V18" s="670"/>
      <c r="W18" s="671"/>
      <c r="X18" s="505"/>
      <c r="Y18" s="505"/>
      <c r="Z18" s="505"/>
    </row>
    <row r="19" spans="1:26" x14ac:dyDescent="0.2">
      <c r="A19" s="447"/>
      <c r="B19" s="839">
        <v>0.22</v>
      </c>
      <c r="C19" s="840"/>
      <c r="D19" s="840"/>
      <c r="E19" s="843">
        <f>((Inputs!B39*0.8)*(1+B19))+(Inputs!B39*0.2)</f>
        <v>258051.29934823955</v>
      </c>
      <c r="F19" s="844"/>
      <c r="G19" s="845"/>
      <c r="H19" s="447"/>
      <c r="I19" s="447"/>
      <c r="J19" s="447"/>
      <c r="K19" s="447"/>
      <c r="L19" s="319"/>
      <c r="M19" s="583"/>
      <c r="N19" s="584"/>
      <c r="O19" s="584"/>
      <c r="P19" s="584"/>
      <c r="Q19" s="585"/>
      <c r="R19" s="338"/>
      <c r="S19" s="219"/>
      <c r="T19" s="672"/>
      <c r="U19" s="673"/>
      <c r="V19" s="673"/>
      <c r="W19" s="674"/>
      <c r="X19" s="505"/>
      <c r="Y19" s="505"/>
      <c r="Z19" s="505"/>
    </row>
    <row r="20" spans="1:26" ht="13.5" thickBot="1" x14ac:dyDescent="0.25">
      <c r="A20" s="447"/>
      <c r="B20" s="841"/>
      <c r="C20" s="842"/>
      <c r="D20" s="842"/>
      <c r="E20" s="801"/>
      <c r="F20" s="846"/>
      <c r="G20" s="802"/>
      <c r="H20" s="447"/>
      <c r="I20" s="447"/>
      <c r="J20" s="447"/>
      <c r="K20" s="447"/>
      <c r="L20" s="319"/>
      <c r="M20" s="787"/>
      <c r="N20" s="788"/>
      <c r="O20" s="788"/>
      <c r="P20" s="788"/>
      <c r="Q20" s="789"/>
      <c r="R20" s="338"/>
      <c r="S20" s="219"/>
      <c r="T20" s="758"/>
      <c r="U20" s="759"/>
      <c r="V20" s="759"/>
      <c r="W20" s="760"/>
      <c r="X20" s="505"/>
      <c r="Y20" s="505"/>
      <c r="Z20" s="505"/>
    </row>
    <row r="21" spans="1:26" x14ac:dyDescent="0.2">
      <c r="A21" s="447"/>
      <c r="B21" s="447"/>
      <c r="C21" s="447"/>
      <c r="D21" s="447"/>
      <c r="E21" s="447"/>
      <c r="F21" s="447"/>
      <c r="G21" s="447"/>
      <c r="H21" s="447"/>
      <c r="I21" s="447"/>
      <c r="J21" s="447"/>
      <c r="K21" s="447"/>
      <c r="L21" s="319"/>
      <c r="M21" s="764" t="s">
        <v>274</v>
      </c>
      <c r="N21" s="765"/>
      <c r="O21" s="765"/>
      <c r="P21" s="765"/>
      <c r="Q21" s="766"/>
      <c r="R21" s="338"/>
      <c r="S21" s="219"/>
      <c r="T21" s="219"/>
      <c r="U21" s="219"/>
      <c r="V21" s="219"/>
      <c r="W21" s="219"/>
      <c r="X21" s="505"/>
      <c r="Y21" s="505"/>
      <c r="Z21" s="505"/>
    </row>
    <row r="22" spans="1:26" ht="13.5" thickBot="1" x14ac:dyDescent="0.25">
      <c r="A22" s="447"/>
      <c r="B22" s="447"/>
      <c r="C22" s="447"/>
      <c r="D22" s="447"/>
      <c r="E22" s="447"/>
      <c r="F22" s="447"/>
      <c r="G22" s="447"/>
      <c r="H22" s="447"/>
      <c r="I22" s="447"/>
      <c r="J22" s="447"/>
      <c r="K22" s="447"/>
      <c r="L22" s="319"/>
      <c r="M22" s="767"/>
      <c r="N22" s="768"/>
      <c r="O22" s="768"/>
      <c r="P22" s="768"/>
      <c r="Q22" s="769"/>
      <c r="R22" s="338"/>
      <c r="S22" s="219"/>
      <c r="T22" s="219"/>
      <c r="U22" s="219"/>
      <c r="V22" s="219"/>
      <c r="W22" s="219"/>
      <c r="X22" s="505"/>
      <c r="Y22" s="505"/>
      <c r="Z22" s="505"/>
    </row>
    <row r="23" spans="1:26" x14ac:dyDescent="0.2">
      <c r="A23" s="447"/>
      <c r="B23" s="337"/>
      <c r="C23" s="337"/>
      <c r="D23" s="337"/>
      <c r="E23" s="337"/>
      <c r="F23" s="337"/>
      <c r="G23" s="337"/>
      <c r="H23" s="337"/>
      <c r="I23" s="337"/>
      <c r="J23" s="447"/>
      <c r="K23" s="447"/>
      <c r="L23" s="320"/>
      <c r="M23" s="346"/>
      <c r="N23" s="346"/>
      <c r="O23" s="346"/>
      <c r="P23" s="346"/>
      <c r="Q23" s="346"/>
      <c r="R23" s="348"/>
      <c r="S23" s="320"/>
      <c r="T23" s="346"/>
      <c r="U23" s="346"/>
      <c r="V23" s="346"/>
      <c r="W23" s="346"/>
      <c r="X23" s="505"/>
      <c r="Y23" s="505"/>
      <c r="Z23" s="505"/>
    </row>
    <row r="24" spans="1:26" x14ac:dyDescent="0.2">
      <c r="B24" s="318"/>
      <c r="C24" s="216"/>
      <c r="D24" s="216"/>
      <c r="E24" s="216"/>
      <c r="F24" s="216"/>
      <c r="G24" s="216"/>
      <c r="H24" s="406"/>
      <c r="I24" s="216"/>
      <c r="J24" s="319"/>
      <c r="K24" s="338"/>
      <c r="L24" s="216"/>
      <c r="M24" s="337"/>
      <c r="N24" s="337"/>
      <c r="O24" s="337"/>
      <c r="P24" s="337"/>
      <c r="Q24" s="337"/>
      <c r="R24" s="217"/>
      <c r="S24" s="219"/>
      <c r="T24" s="219"/>
      <c r="U24" s="219"/>
      <c r="V24" s="219"/>
      <c r="W24" s="219"/>
      <c r="X24" s="505"/>
      <c r="Y24" s="505"/>
      <c r="Z24" s="505"/>
    </row>
    <row r="25" spans="1:26" x14ac:dyDescent="0.2">
      <c r="B25" s="319"/>
      <c r="C25" s="831" t="s">
        <v>352</v>
      </c>
      <c r="D25" s="832"/>
      <c r="E25" s="832"/>
      <c r="F25" s="832"/>
      <c r="G25" s="833"/>
      <c r="H25" s="478"/>
      <c r="I25" s="817"/>
      <c r="J25" s="447"/>
      <c r="K25" s="447"/>
      <c r="L25" s="319"/>
      <c r="M25" s="773" t="s">
        <v>329</v>
      </c>
      <c r="N25" s="774"/>
      <c r="O25" s="774"/>
      <c r="P25" s="775"/>
      <c r="Q25" s="337"/>
      <c r="R25" s="338"/>
      <c r="T25" s="761" t="s">
        <v>290</v>
      </c>
      <c r="U25" s="762"/>
      <c r="V25" s="762"/>
      <c r="W25" s="763"/>
      <c r="X25" s="505"/>
      <c r="Y25" s="505"/>
      <c r="Z25" s="505"/>
    </row>
    <row r="26" spans="1:26" x14ac:dyDescent="0.2">
      <c r="B26" s="479"/>
      <c r="C26" s="834"/>
      <c r="D26" s="835"/>
      <c r="E26" s="835"/>
      <c r="F26" s="835"/>
      <c r="G26" s="836"/>
      <c r="H26" s="478"/>
      <c r="I26" s="817"/>
      <c r="J26" s="447"/>
      <c r="K26" s="447"/>
      <c r="L26" s="319"/>
      <c r="M26" s="776"/>
      <c r="N26" s="777"/>
      <c r="O26" s="777"/>
      <c r="P26" s="778"/>
      <c r="Q26" s="219"/>
      <c r="R26" s="219"/>
      <c r="S26" s="319"/>
      <c r="T26" s="319"/>
      <c r="U26" s="337"/>
      <c r="V26" s="337"/>
      <c r="W26" s="338"/>
      <c r="X26" s="505"/>
      <c r="Y26" s="505"/>
      <c r="Z26" s="505"/>
    </row>
    <row r="27" spans="1:26" x14ac:dyDescent="0.2">
      <c r="B27" s="480"/>
      <c r="C27" s="380"/>
      <c r="D27" s="381"/>
      <c r="E27" s="372"/>
      <c r="F27" s="372"/>
      <c r="G27" s="859"/>
      <c r="H27" s="860"/>
      <c r="I27" s="338"/>
      <c r="J27" s="447"/>
      <c r="K27" s="447"/>
      <c r="L27" s="319"/>
      <c r="M27" s="780"/>
      <c r="N27" s="780"/>
      <c r="O27" s="219"/>
      <c r="P27" s="219"/>
      <c r="Q27" s="219"/>
      <c r="R27" s="219"/>
      <c r="S27" s="319"/>
      <c r="T27" s="339" t="s">
        <v>86</v>
      </c>
      <c r="U27" s="331" t="s">
        <v>131</v>
      </c>
      <c r="V27" s="337"/>
      <c r="W27" s="340" t="s">
        <v>294</v>
      </c>
      <c r="X27" s="505"/>
      <c r="Y27" s="505"/>
      <c r="Z27" s="505"/>
    </row>
    <row r="28" spans="1:26" ht="15" x14ac:dyDescent="0.2">
      <c r="B28" s="483"/>
      <c r="C28" s="398" t="s">
        <v>347</v>
      </c>
      <c r="D28" s="388" t="s">
        <v>348</v>
      </c>
      <c r="E28" s="390" t="s">
        <v>342</v>
      </c>
      <c r="F28" s="391" t="s">
        <v>343</v>
      </c>
      <c r="G28" s="399" t="s">
        <v>344</v>
      </c>
      <c r="H28" s="484"/>
      <c r="I28" s="338"/>
      <c r="J28" s="447"/>
      <c r="K28" s="447"/>
      <c r="L28" s="319"/>
      <c r="M28" s="781" t="s">
        <v>224</v>
      </c>
      <c r="N28" s="782"/>
      <c r="O28" s="219"/>
      <c r="P28" s="367">
        <f>IF(P31&gt;0,(P31),P31)+IF(P30&gt;0,((1+P30)*P29),P29)*(1+P49)</f>
        <v>1.08</v>
      </c>
      <c r="Q28" s="219"/>
      <c r="R28" s="219"/>
      <c r="S28" s="319"/>
      <c r="T28" s="341" t="s">
        <v>303</v>
      </c>
      <c r="U28" s="222" t="s">
        <v>43</v>
      </c>
      <c r="V28" s="337"/>
      <c r="W28" s="857">
        <f>(1-(1-(V41/100))*IF(U28="Y",0.7225,1)*IF(U29="Y",0.8,1)*IF(U30="Y",0.8,1)*IF(U31="Y",0.85,1)*IF(U32="Y",0.84,1)*IF(U33="Y",1-(Inputs!B6*0.3),1))</f>
        <v>0.50650000000000006</v>
      </c>
      <c r="X28" s="505"/>
      <c r="Y28" s="505"/>
      <c r="Z28" s="505"/>
    </row>
    <row r="29" spans="1:26" ht="15" x14ac:dyDescent="0.2">
      <c r="A29" s="355"/>
      <c r="B29" s="483"/>
      <c r="C29" s="393" t="s">
        <v>340</v>
      </c>
      <c r="D29" s="389">
        <f>1.45*(F29*1.5)+((E29-1)*((0.35+0.35+1.45)/3)*(F29*1.5))</f>
        <v>5.0546999140701008</v>
      </c>
      <c r="E29" s="392">
        <v>1</v>
      </c>
      <c r="F29" s="503">
        <f>'Calculations &amp; Constants'!$A$40</f>
        <v>2.3239999604920003</v>
      </c>
      <c r="G29" s="504">
        <f>Inputs!$B$6</f>
        <v>0.47499999999999998</v>
      </c>
      <c r="H29" s="485"/>
      <c r="I29" s="486"/>
      <c r="J29" s="476"/>
      <c r="K29" s="447"/>
      <c r="L29" s="319"/>
      <c r="M29" s="781" t="s">
        <v>225</v>
      </c>
      <c r="N29" s="782"/>
      <c r="O29" s="219"/>
      <c r="P29" s="363">
        <v>1</v>
      </c>
      <c r="Q29" s="219"/>
      <c r="R29" s="219"/>
      <c r="S29" s="319"/>
      <c r="T29" s="341" t="s">
        <v>292</v>
      </c>
      <c r="U29" s="222" t="s">
        <v>43</v>
      </c>
      <c r="V29" s="337"/>
      <c r="W29" s="858"/>
      <c r="X29" s="505"/>
      <c r="Y29" s="505"/>
      <c r="Z29" s="505"/>
    </row>
    <row r="30" spans="1:26" ht="15" x14ac:dyDescent="0.2">
      <c r="A30" s="356"/>
      <c r="B30" s="483"/>
      <c r="C30" s="393" t="s">
        <v>341</v>
      </c>
      <c r="D30" s="389">
        <f>((0.6*F29)*E29)+(0.26*6*(G29*F29*1.5*(1.25+((E29-1)*0.75))))*0.98</f>
        <v>4.5587292725016013</v>
      </c>
      <c r="E30" s="487"/>
      <c r="F30" s="869"/>
      <c r="G30" s="788"/>
      <c r="H30" s="481"/>
      <c r="I30" s="338"/>
      <c r="J30" s="337"/>
      <c r="K30" s="447"/>
      <c r="L30" s="319"/>
      <c r="M30" s="359" t="s">
        <v>226</v>
      </c>
      <c r="N30" s="360"/>
      <c r="O30" s="219"/>
      <c r="P30" s="368">
        <v>0</v>
      </c>
      <c r="Q30" s="219"/>
      <c r="R30" s="219"/>
      <c r="S30" s="319"/>
      <c r="T30" s="341" t="s">
        <v>293</v>
      </c>
      <c r="U30" s="222" t="s">
        <v>43</v>
      </c>
      <c r="V30" s="337"/>
      <c r="W30" s="816"/>
      <c r="X30" s="505"/>
      <c r="Y30" s="505"/>
      <c r="Z30" s="505"/>
    </row>
    <row r="31" spans="1:26" ht="15" x14ac:dyDescent="0.2">
      <c r="A31" s="356"/>
      <c r="B31" s="488"/>
      <c r="C31" s="380"/>
      <c r="D31" s="404"/>
      <c r="E31" s="489"/>
      <c r="F31" s="788"/>
      <c r="G31" s="788"/>
      <c r="H31" s="337"/>
      <c r="I31" s="338"/>
      <c r="J31" s="337"/>
      <c r="K31" s="447"/>
      <c r="L31" s="319"/>
      <c r="M31" s="357" t="s">
        <v>223</v>
      </c>
      <c r="N31" s="362"/>
      <c r="O31" s="219"/>
      <c r="P31" s="370">
        <v>0</v>
      </c>
      <c r="Q31" s="219"/>
      <c r="R31" s="219"/>
      <c r="S31" s="319"/>
      <c r="T31" s="341" t="s">
        <v>291</v>
      </c>
      <c r="U31" s="222" t="s">
        <v>43</v>
      </c>
      <c r="V31" s="337"/>
      <c r="W31" s="816"/>
      <c r="X31" s="505"/>
      <c r="Y31" s="505"/>
      <c r="Z31" s="505"/>
    </row>
    <row r="32" spans="1:26" ht="15" x14ac:dyDescent="0.2">
      <c r="A32" s="356"/>
      <c r="B32" s="483"/>
      <c r="C32" s="380"/>
      <c r="D32" s="405"/>
      <c r="E32" s="490"/>
      <c r="F32" s="856" t="s">
        <v>350</v>
      </c>
      <c r="G32" s="582"/>
      <c r="H32" s="337"/>
      <c r="I32" s="338"/>
      <c r="J32" s="337"/>
      <c r="K32" s="447"/>
      <c r="L32" s="319"/>
      <c r="M32" s="781" t="s">
        <v>21</v>
      </c>
      <c r="N32" s="866"/>
      <c r="O32" s="219"/>
      <c r="P32" s="363">
        <v>1079.6500000000001</v>
      </c>
      <c r="Q32" s="219"/>
      <c r="R32" s="219"/>
      <c r="S32" s="319"/>
      <c r="T32" s="323" t="s">
        <v>295</v>
      </c>
      <c r="U32" s="222" t="s">
        <v>43</v>
      </c>
      <c r="V32" s="337"/>
      <c r="W32" s="338"/>
      <c r="X32" s="505"/>
      <c r="Y32" s="505"/>
      <c r="Z32" s="505"/>
    </row>
    <row r="33" spans="1:26" ht="15" x14ac:dyDescent="0.2">
      <c r="A33" s="356"/>
      <c r="B33" s="483"/>
      <c r="C33" s="861" t="s">
        <v>351</v>
      </c>
      <c r="D33" s="862"/>
      <c r="E33" s="490"/>
      <c r="F33" s="586"/>
      <c r="G33" s="588"/>
      <c r="H33" s="337"/>
      <c r="I33" s="338"/>
      <c r="J33" s="337"/>
      <c r="K33" s="447"/>
      <c r="L33" s="319"/>
      <c r="M33" s="781" t="s">
        <v>22</v>
      </c>
      <c r="N33" s="866"/>
      <c r="O33" s="219"/>
      <c r="P33" s="363">
        <v>1564.42</v>
      </c>
      <c r="Q33" s="219"/>
      <c r="R33" s="219"/>
      <c r="S33" s="319"/>
      <c r="T33" s="323" t="s">
        <v>302</v>
      </c>
      <c r="U33" s="222" t="s">
        <v>43</v>
      </c>
      <c r="V33" s="337"/>
      <c r="W33" s="338"/>
      <c r="X33" s="505"/>
      <c r="Y33" s="505"/>
      <c r="Z33" s="505"/>
    </row>
    <row r="34" spans="1:26" x14ac:dyDescent="0.2">
      <c r="A34" s="356"/>
      <c r="B34" s="483"/>
      <c r="C34" s="396" t="s">
        <v>344</v>
      </c>
      <c r="D34" s="396" t="s">
        <v>346</v>
      </c>
      <c r="E34" s="491"/>
      <c r="F34" s="396" t="s">
        <v>344</v>
      </c>
      <c r="G34" s="396" t="s">
        <v>346</v>
      </c>
      <c r="H34" s="447"/>
      <c r="I34" s="338"/>
      <c r="J34" s="337"/>
      <c r="K34" s="447"/>
      <c r="L34" s="319"/>
      <c r="M34" s="867" t="s">
        <v>23</v>
      </c>
      <c r="N34" s="868"/>
      <c r="O34" s="219"/>
      <c r="P34" s="363">
        <v>1263.45</v>
      </c>
      <c r="Q34" s="219"/>
      <c r="R34" s="219"/>
      <c r="S34" s="319"/>
      <c r="T34" s="864" t="s">
        <v>304</v>
      </c>
      <c r="U34" s="865"/>
      <c r="V34" s="865"/>
      <c r="W34" s="663"/>
      <c r="X34" s="505"/>
      <c r="Y34" s="505"/>
      <c r="Z34" s="505"/>
    </row>
    <row r="35" spans="1:26" x14ac:dyDescent="0.2">
      <c r="B35" s="483"/>
      <c r="C35" s="397">
        <f t="shared" ref="C35:C44" si="0">(10*(487*D35+1100))/(5733*(3*D35+2))</f>
        <v>0.55363683935112507</v>
      </c>
      <c r="D35" s="401">
        <v>1</v>
      </c>
      <c r="E35" s="482"/>
      <c r="F35" s="400">
        <v>0.43</v>
      </c>
      <c r="G35" s="395">
        <f xml:space="preserve"> CEILING((-2*(5733*F35-5500))/(17199*F35-4870), 1)</f>
        <v>3</v>
      </c>
      <c r="H35" s="447"/>
      <c r="I35" s="338"/>
      <c r="J35" s="447"/>
      <c r="K35" s="447"/>
      <c r="L35" s="319"/>
      <c r="M35" s="779" t="s">
        <v>19</v>
      </c>
      <c r="N35" s="779"/>
      <c r="O35" s="219"/>
      <c r="P35" s="363">
        <v>1583.9</v>
      </c>
      <c r="Q35" s="219"/>
      <c r="R35" s="219"/>
      <c r="S35" s="319"/>
      <c r="T35" s="319"/>
      <c r="U35" s="337"/>
      <c r="V35" s="337"/>
      <c r="W35" s="338"/>
      <c r="X35" s="505"/>
      <c r="Y35" s="505"/>
      <c r="Z35" s="505"/>
    </row>
    <row r="36" spans="1:26" x14ac:dyDescent="0.2">
      <c r="B36" s="480"/>
      <c r="C36" s="397">
        <f t="shared" si="0"/>
        <v>0.45220652363509506</v>
      </c>
      <c r="D36" s="402">
        <v>2</v>
      </c>
      <c r="E36" s="482"/>
      <c r="F36" s="400">
        <v>0.435</v>
      </c>
      <c r="G36" s="395">
        <f t="shared" ref="G36:G48" si="1" xml:space="preserve"> CEILING((-2*(5733*F36-5500))/(17199*F36-4870), 1)</f>
        <v>3</v>
      </c>
      <c r="H36" s="447"/>
      <c r="I36" s="338"/>
      <c r="J36" s="447"/>
      <c r="K36" s="447"/>
      <c r="L36" s="319"/>
      <c r="M36" s="753" t="s">
        <v>323</v>
      </c>
      <c r="N36" s="753"/>
      <c r="O36" s="356"/>
      <c r="P36" s="369">
        <f>((P32+P33)/2)</f>
        <v>1322.0350000000001</v>
      </c>
      <c r="Q36" s="219"/>
      <c r="R36" s="219"/>
      <c r="S36" s="319"/>
      <c r="T36" s="339" t="s">
        <v>306</v>
      </c>
      <c r="U36" s="334" t="s">
        <v>297</v>
      </c>
      <c r="V36" s="335" t="s">
        <v>279</v>
      </c>
      <c r="W36" s="338"/>
      <c r="X36" s="505"/>
      <c r="Y36" s="505"/>
      <c r="Z36" s="505"/>
    </row>
    <row r="37" spans="1:26" x14ac:dyDescent="0.2">
      <c r="B37" s="480"/>
      <c r="C37" s="397">
        <f t="shared" si="0"/>
        <v>0.40610183467326322</v>
      </c>
      <c r="D37" s="402">
        <v>3</v>
      </c>
      <c r="E37" s="482"/>
      <c r="F37" s="400">
        <v>0.44</v>
      </c>
      <c r="G37" s="395">
        <f t="shared" si="1"/>
        <v>3</v>
      </c>
      <c r="H37" s="447"/>
      <c r="I37" s="338"/>
      <c r="J37" s="447"/>
      <c r="K37" s="447"/>
      <c r="L37" s="319"/>
      <c r="M37" s="754"/>
      <c r="N37" s="754"/>
      <c r="O37" s="337"/>
      <c r="P37" s="371"/>
      <c r="Q37" s="219"/>
      <c r="R37" s="219"/>
      <c r="S37" s="319"/>
      <c r="T37" s="323" t="s">
        <v>296</v>
      </c>
      <c r="U37" s="329">
        <v>100</v>
      </c>
      <c r="V37" s="333">
        <f>(U37*0.1)</f>
        <v>10</v>
      </c>
      <c r="W37" s="338"/>
      <c r="X37" s="505"/>
      <c r="Y37" s="505"/>
      <c r="Z37" s="505"/>
    </row>
    <row r="38" spans="1:26" x14ac:dyDescent="0.2">
      <c r="B38" s="480"/>
      <c r="C38" s="397">
        <f t="shared" si="0"/>
        <v>0.37975629812364509</v>
      </c>
      <c r="D38" s="402">
        <v>4</v>
      </c>
      <c r="E38" s="482"/>
      <c r="F38" s="400">
        <v>0.44500000000000001</v>
      </c>
      <c r="G38" s="395">
        <f t="shared" si="1"/>
        <v>3</v>
      </c>
      <c r="H38" s="447"/>
      <c r="I38" s="338"/>
      <c r="J38" s="447"/>
      <c r="K38" s="447"/>
      <c r="L38" s="319"/>
      <c r="M38" s="863"/>
      <c r="N38" s="863"/>
      <c r="O38" s="219"/>
      <c r="P38" s="219"/>
      <c r="Q38" s="219"/>
      <c r="R38" s="219"/>
      <c r="S38" s="319"/>
      <c r="T38" s="323" t="s">
        <v>298</v>
      </c>
      <c r="U38" s="329">
        <v>400</v>
      </c>
      <c r="V38" s="333">
        <f>(U38*0.025)</f>
        <v>10</v>
      </c>
      <c r="W38" s="338"/>
      <c r="X38" s="505"/>
      <c r="Y38" s="505"/>
      <c r="Z38" s="505"/>
    </row>
    <row r="39" spans="1:26" x14ac:dyDescent="0.2">
      <c r="B39" s="480"/>
      <c r="C39" s="397">
        <f t="shared" si="0"/>
        <v>0.36270918623859799</v>
      </c>
      <c r="D39" s="402">
        <v>5</v>
      </c>
      <c r="E39" s="482"/>
      <c r="F39" s="400">
        <v>0.45</v>
      </c>
      <c r="G39" s="395">
        <f t="shared" si="1"/>
        <v>3</v>
      </c>
      <c r="H39" s="447"/>
      <c r="I39" s="338"/>
      <c r="J39" s="447"/>
      <c r="K39" s="447"/>
      <c r="L39" s="319"/>
      <c r="M39" s="863"/>
      <c r="N39" s="780"/>
      <c r="O39" s="219"/>
      <c r="P39" s="219"/>
      <c r="Q39" s="219"/>
      <c r="R39" s="219"/>
      <c r="S39" s="319"/>
      <c r="T39" s="323" t="s">
        <v>299</v>
      </c>
      <c r="U39" s="329">
        <v>500</v>
      </c>
      <c r="V39" s="333">
        <f>(U39*0.02)</f>
        <v>10</v>
      </c>
      <c r="W39" s="338"/>
      <c r="X39" s="505"/>
      <c r="Y39" s="505"/>
      <c r="Z39" s="505"/>
    </row>
    <row r="40" spans="1:26" x14ac:dyDescent="0.2">
      <c r="B40" s="480"/>
      <c r="C40" s="397">
        <f t="shared" si="0"/>
        <v>0.35077620791906505</v>
      </c>
      <c r="D40" s="402">
        <v>6</v>
      </c>
      <c r="E40" s="482"/>
      <c r="F40" s="400">
        <v>0.45500000000000002</v>
      </c>
      <c r="G40" s="395">
        <f t="shared" si="1"/>
        <v>2</v>
      </c>
      <c r="H40" s="447"/>
      <c r="I40" s="338"/>
      <c r="J40" s="447"/>
      <c r="K40" s="447"/>
      <c r="L40" s="319"/>
      <c r="M40" s="753" t="s">
        <v>319</v>
      </c>
      <c r="N40" s="753"/>
      <c r="O40" s="219"/>
      <c r="P40" s="329">
        <v>170</v>
      </c>
      <c r="Q40" s="219"/>
      <c r="R40" s="219"/>
      <c r="S40" s="319"/>
      <c r="T40" s="323" t="s">
        <v>300</v>
      </c>
      <c r="U40" s="329">
        <v>2065</v>
      </c>
      <c r="V40" s="333">
        <f>(U40*0.01)</f>
        <v>20.650000000000002</v>
      </c>
      <c r="W40" s="338"/>
      <c r="X40" s="505"/>
      <c r="Y40" s="505"/>
      <c r="Z40" s="505"/>
    </row>
    <row r="41" spans="1:26" x14ac:dyDescent="0.2">
      <c r="B41" s="480"/>
      <c r="C41" s="397">
        <f t="shared" si="0"/>
        <v>0.34195618046549725</v>
      </c>
      <c r="D41" s="402">
        <v>7</v>
      </c>
      <c r="E41" s="492"/>
      <c r="F41" s="400">
        <v>0.46</v>
      </c>
      <c r="G41" s="395">
        <f t="shared" si="1"/>
        <v>2</v>
      </c>
      <c r="H41" s="447"/>
      <c r="I41" s="338"/>
      <c r="J41" s="447"/>
      <c r="K41" s="447"/>
      <c r="L41" s="319"/>
      <c r="M41" s="753" t="s">
        <v>316</v>
      </c>
      <c r="N41" s="753"/>
      <c r="O41" s="219"/>
      <c r="P41" s="365">
        <v>0</v>
      </c>
      <c r="Q41" s="219"/>
      <c r="R41" s="219"/>
      <c r="S41" s="319"/>
      <c r="T41" s="323" t="s">
        <v>301</v>
      </c>
      <c r="U41" s="330">
        <f>SUM(U37:U40)</f>
        <v>3065</v>
      </c>
      <c r="V41" s="336">
        <f>SUM(V37:V40)</f>
        <v>50.650000000000006</v>
      </c>
      <c r="W41" s="338"/>
      <c r="X41" s="505"/>
      <c r="Y41" s="505"/>
      <c r="Z41" s="505"/>
    </row>
    <row r="42" spans="1:26" x14ac:dyDescent="0.2">
      <c r="B42" s="480"/>
      <c r="C42" s="397">
        <f t="shared" si="0"/>
        <v>0.33517154396275273</v>
      </c>
      <c r="D42" s="402">
        <v>8</v>
      </c>
      <c r="E42" s="482"/>
      <c r="F42" s="400">
        <v>0.46500000000000002</v>
      </c>
      <c r="G42" s="395">
        <f t="shared" si="1"/>
        <v>2</v>
      </c>
      <c r="H42" s="447"/>
      <c r="I42" s="338"/>
      <c r="J42" s="447"/>
      <c r="K42" s="447"/>
      <c r="L42" s="319"/>
      <c r="M42" s="753" t="s">
        <v>4</v>
      </c>
      <c r="N42" s="753"/>
      <c r="O42" s="219"/>
      <c r="P42" s="329">
        <v>1990</v>
      </c>
      <c r="Q42" s="219"/>
      <c r="R42" s="219"/>
      <c r="S42" s="319"/>
      <c r="T42" s="323"/>
      <c r="U42" s="324"/>
      <c r="V42" s="324"/>
      <c r="W42" s="338"/>
      <c r="X42" s="505"/>
      <c r="Y42" s="505"/>
      <c r="Z42" s="505"/>
    </row>
    <row r="43" spans="1:26" x14ac:dyDescent="0.2">
      <c r="B43" s="480"/>
      <c r="C43" s="397">
        <f t="shared" si="0"/>
        <v>0.32979062535712783</v>
      </c>
      <c r="D43" s="403">
        <v>9</v>
      </c>
      <c r="E43" s="482"/>
      <c r="F43" s="400">
        <v>0.47499999999999998</v>
      </c>
      <c r="G43" s="395">
        <f t="shared" si="1"/>
        <v>2</v>
      </c>
      <c r="H43" s="447"/>
      <c r="I43" s="338"/>
      <c r="J43" s="447"/>
      <c r="K43" s="447"/>
      <c r="L43" s="319"/>
      <c r="M43" s="753" t="s">
        <v>318</v>
      </c>
      <c r="N43" s="753"/>
      <c r="O43" s="219"/>
      <c r="P43" s="365">
        <v>0.44500000000000001</v>
      </c>
      <c r="Q43" s="219"/>
      <c r="R43" s="219"/>
      <c r="S43" s="319"/>
      <c r="T43" s="757" t="s">
        <v>327</v>
      </c>
      <c r="U43" s="670"/>
      <c r="V43" s="670"/>
      <c r="W43" s="671"/>
      <c r="X43" s="505"/>
      <c r="Y43" s="505"/>
      <c r="Z43" s="505"/>
    </row>
    <row r="44" spans="1:26" x14ac:dyDescent="0.2">
      <c r="B44" s="480"/>
      <c r="C44" s="407">
        <f t="shared" si="0"/>
        <v>0.32541862899005758</v>
      </c>
      <c r="D44" s="408">
        <v>10</v>
      </c>
      <c r="E44" s="482"/>
      <c r="F44" s="400">
        <v>0.48</v>
      </c>
      <c r="G44" s="395">
        <f t="shared" si="1"/>
        <v>2</v>
      </c>
      <c r="H44" s="447"/>
      <c r="I44" s="338"/>
      <c r="J44" s="447"/>
      <c r="K44" s="447"/>
      <c r="L44" s="319"/>
      <c r="M44" s="753" t="s">
        <v>317</v>
      </c>
      <c r="N44" s="753"/>
      <c r="O44" s="219"/>
      <c r="P44" s="364">
        <v>4.05</v>
      </c>
      <c r="Q44" s="219"/>
      <c r="R44" s="219"/>
      <c r="S44" s="319"/>
      <c r="T44" s="672"/>
      <c r="U44" s="673"/>
      <c r="V44" s="673"/>
      <c r="W44" s="674"/>
      <c r="X44" s="505"/>
      <c r="Y44" s="505"/>
      <c r="Z44" s="505"/>
    </row>
    <row r="45" spans="1:26" x14ac:dyDescent="0.2">
      <c r="B45" s="480"/>
      <c r="C45" s="852" t="s">
        <v>349</v>
      </c>
      <c r="D45" s="853"/>
      <c r="E45" s="482"/>
      <c r="F45" s="400">
        <v>0.48499999999999999</v>
      </c>
      <c r="G45" s="395">
        <f t="shared" si="1"/>
        <v>2</v>
      </c>
      <c r="H45" s="447"/>
      <c r="I45" s="338"/>
      <c r="J45" s="447"/>
      <c r="K45" s="447"/>
      <c r="L45" s="319"/>
      <c r="M45" s="753" t="s">
        <v>320</v>
      </c>
      <c r="N45" s="753"/>
      <c r="O45" s="219"/>
      <c r="P45" s="364">
        <v>0</v>
      </c>
      <c r="Q45" s="219"/>
      <c r="R45" s="219"/>
      <c r="S45" s="319"/>
      <c r="T45" s="758"/>
      <c r="U45" s="759"/>
      <c r="V45" s="759"/>
      <c r="W45" s="760"/>
      <c r="X45" s="505"/>
      <c r="Y45" s="505"/>
      <c r="Z45" s="505"/>
    </row>
    <row r="46" spans="1:26" x14ac:dyDescent="0.2">
      <c r="B46" s="480"/>
      <c r="C46" s="854"/>
      <c r="D46" s="855"/>
      <c r="E46" s="493"/>
      <c r="F46" s="400">
        <v>0.49</v>
      </c>
      <c r="G46" s="395">
        <f t="shared" si="1"/>
        <v>2</v>
      </c>
      <c r="H46" s="447"/>
      <c r="I46" s="338"/>
      <c r="J46" s="447"/>
      <c r="K46" s="447"/>
      <c r="L46" s="319"/>
      <c r="M46" s="753" t="s">
        <v>321</v>
      </c>
      <c r="N46" s="753"/>
      <c r="O46" s="219"/>
      <c r="P46" s="364">
        <v>0</v>
      </c>
      <c r="Q46" s="219"/>
      <c r="R46" s="219"/>
      <c r="S46" s="319"/>
      <c r="T46" s="219"/>
      <c r="U46" s="219"/>
      <c r="V46" s="219"/>
      <c r="W46" s="219"/>
      <c r="X46" s="505"/>
      <c r="Y46" s="505"/>
      <c r="Z46" s="505"/>
    </row>
    <row r="47" spans="1:26" x14ac:dyDescent="0.2">
      <c r="B47" s="480"/>
      <c r="C47" s="492"/>
      <c r="D47" s="337"/>
      <c r="E47" s="337"/>
      <c r="F47" s="400">
        <v>0.495</v>
      </c>
      <c r="G47" s="395">
        <f t="shared" si="1"/>
        <v>2</v>
      </c>
      <c r="H47" s="337"/>
      <c r="I47" s="338"/>
      <c r="J47" s="447"/>
      <c r="K47" s="447"/>
      <c r="L47" s="319"/>
      <c r="M47" s="753" t="s">
        <v>322</v>
      </c>
      <c r="N47" s="753"/>
      <c r="O47" s="219"/>
      <c r="P47" s="364">
        <v>8.2899999999999991</v>
      </c>
      <c r="Q47" s="219"/>
      <c r="R47" s="219"/>
      <c r="S47" s="319"/>
      <c r="T47" s="219"/>
      <c r="U47" s="219"/>
      <c r="V47" s="219"/>
      <c r="W47" s="219"/>
    </row>
    <row r="48" spans="1:26" x14ac:dyDescent="0.2">
      <c r="B48" s="480"/>
      <c r="C48" s="337"/>
      <c r="D48" s="337"/>
      <c r="E48" s="337"/>
      <c r="F48" s="400">
        <v>0.5</v>
      </c>
      <c r="G48" s="395">
        <f t="shared" si="1"/>
        <v>2</v>
      </c>
      <c r="H48" s="482"/>
      <c r="I48" s="338"/>
      <c r="J48" s="447"/>
      <c r="K48" s="447"/>
      <c r="L48" s="319"/>
      <c r="O48" s="219"/>
      <c r="Q48" s="219"/>
      <c r="R48" s="219"/>
      <c r="S48" s="319"/>
      <c r="T48" s="219"/>
      <c r="U48" s="219"/>
      <c r="V48" s="219"/>
      <c r="W48" s="219"/>
    </row>
    <row r="49" spans="2:23" x14ac:dyDescent="0.2">
      <c r="B49" s="480"/>
      <c r="C49" s="482"/>
      <c r="D49" s="482"/>
      <c r="E49" s="494"/>
      <c r="F49" s="495"/>
      <c r="G49" s="482"/>
      <c r="H49" s="372"/>
      <c r="I49" s="338"/>
      <c r="J49" s="447"/>
      <c r="K49" s="447"/>
      <c r="L49" s="319"/>
      <c r="M49" s="753" t="s">
        <v>330</v>
      </c>
      <c r="N49" s="753"/>
      <c r="O49" s="219"/>
      <c r="P49" s="364">
        <v>0.08</v>
      </c>
      <c r="Q49" s="219"/>
      <c r="R49" s="219"/>
      <c r="S49" s="319"/>
      <c r="T49" s="219"/>
      <c r="U49" s="219"/>
      <c r="V49" s="219"/>
      <c r="W49" s="219"/>
    </row>
    <row r="50" spans="2:23" x14ac:dyDescent="0.2">
      <c r="B50" s="480"/>
      <c r="C50" s="482"/>
      <c r="D50" s="482"/>
      <c r="E50" s="496"/>
      <c r="F50" s="497"/>
      <c r="G50" s="482"/>
      <c r="H50" s="482"/>
      <c r="I50" s="338"/>
      <c r="J50" s="447"/>
      <c r="K50" s="447"/>
      <c r="L50" s="319"/>
      <c r="M50" s="751" t="s">
        <v>331</v>
      </c>
      <c r="N50" s="752"/>
      <c r="O50" s="219"/>
      <c r="P50" s="219"/>
      <c r="Q50" s="219"/>
      <c r="R50" s="338"/>
      <c r="S50" s="219"/>
      <c r="T50" s="219"/>
      <c r="U50" s="219"/>
      <c r="V50" s="219"/>
      <c r="W50" s="219"/>
    </row>
    <row r="51" spans="2:23" x14ac:dyDescent="0.2">
      <c r="B51" s="870"/>
      <c r="C51" s="788"/>
      <c r="D51" s="788"/>
      <c r="E51" s="788"/>
      <c r="F51" s="788"/>
      <c r="G51" s="788"/>
      <c r="H51" s="788"/>
      <c r="I51" s="789"/>
      <c r="J51" s="447"/>
      <c r="K51" s="447"/>
      <c r="L51" s="319"/>
      <c r="M51" s="219"/>
      <c r="N51" s="219"/>
      <c r="O51" s="219"/>
      <c r="P51" s="219"/>
      <c r="Q51" s="219"/>
      <c r="R51" s="338"/>
      <c r="S51" s="219"/>
      <c r="T51" s="219"/>
      <c r="U51" s="219"/>
      <c r="V51" s="219"/>
      <c r="W51" s="219"/>
    </row>
    <row r="52" spans="2:23" x14ac:dyDescent="0.2">
      <c r="B52" s="871" t="s">
        <v>355</v>
      </c>
      <c r="C52" s="872"/>
      <c r="D52" s="872"/>
      <c r="E52" s="872"/>
      <c r="F52" s="872"/>
      <c r="G52" s="872"/>
      <c r="H52" s="872"/>
      <c r="I52" s="873"/>
      <c r="J52" s="447"/>
      <c r="K52" s="447"/>
      <c r="L52" s="319"/>
      <c r="M52" s="755" t="s">
        <v>324</v>
      </c>
      <c r="N52" s="756"/>
      <c r="O52" s="219"/>
      <c r="P52" s="366">
        <f>((((P36+P40)*(1+P41)*(1+P42/100)*(1+(P43*P44)*IF(P45&gt;0,(1+P45),1)*IF(P46&gt;0,(1+P46),1)))*IF(P47&gt;0,P47,1)))</f>
        <v>724413.78399930371</v>
      </c>
      <c r="Q52" s="219"/>
      <c r="R52" s="338"/>
      <c r="S52" s="219"/>
      <c r="T52" s="219"/>
      <c r="U52" s="219"/>
      <c r="V52" s="219"/>
      <c r="W52" s="219"/>
    </row>
    <row r="53" spans="2:23" s="358" customFormat="1" x14ac:dyDescent="0.2">
      <c r="B53" s="874" t="s">
        <v>353</v>
      </c>
      <c r="C53" s="875"/>
      <c r="D53" s="875"/>
      <c r="E53" s="875"/>
      <c r="F53" s="875"/>
      <c r="G53" s="875"/>
      <c r="H53" s="875"/>
      <c r="I53" s="876"/>
      <c r="J53" s="447"/>
      <c r="K53" s="447"/>
      <c r="L53" s="319"/>
      <c r="M53" s="772" t="s">
        <v>326</v>
      </c>
      <c r="N53" s="663"/>
      <c r="O53" s="219"/>
      <c r="P53" s="366">
        <f>(P28*P52)</f>
        <v>782366.88671924802</v>
      </c>
      <c r="Q53" s="219"/>
      <c r="R53" s="338"/>
      <c r="S53" s="219"/>
      <c r="T53" s="219"/>
      <c r="U53" s="219"/>
      <c r="V53" s="219"/>
      <c r="W53" s="219"/>
    </row>
    <row r="54" spans="2:23" x14ac:dyDescent="0.2">
      <c r="B54" s="874" t="s">
        <v>354</v>
      </c>
      <c r="C54" s="875"/>
      <c r="D54" s="875"/>
      <c r="E54" s="875"/>
      <c r="F54" s="875"/>
      <c r="G54" s="875"/>
      <c r="H54" s="875"/>
      <c r="I54" s="876"/>
      <c r="J54" s="447"/>
      <c r="K54" s="447"/>
      <c r="L54" s="319"/>
      <c r="M54" s="770" t="s">
        <v>325</v>
      </c>
      <c r="N54" s="771"/>
      <c r="O54" s="219"/>
      <c r="P54" s="366">
        <f>P52*(P28*(1+0.3))</f>
        <v>1017076.9527350225</v>
      </c>
      <c r="Q54" s="219"/>
      <c r="R54" s="338"/>
      <c r="S54" s="219"/>
      <c r="T54" s="219"/>
      <c r="U54" s="219"/>
      <c r="V54" s="219"/>
      <c r="W54" s="219"/>
    </row>
    <row r="55" spans="2:23" x14ac:dyDescent="0.2">
      <c r="B55" s="877" t="s">
        <v>356</v>
      </c>
      <c r="C55" s="878"/>
      <c r="D55" s="878"/>
      <c r="E55" s="878"/>
      <c r="F55" s="878"/>
      <c r="G55" s="878"/>
      <c r="H55" s="878"/>
      <c r="I55" s="879"/>
      <c r="J55" s="447"/>
      <c r="K55" s="447"/>
      <c r="L55" s="319"/>
      <c r="M55" s="337"/>
      <c r="N55" s="337"/>
      <c r="O55" s="337"/>
      <c r="P55" s="337"/>
      <c r="Q55" s="337"/>
      <c r="R55" s="338"/>
    </row>
    <row r="56" spans="2:23" x14ac:dyDescent="0.2">
      <c r="J56" s="447"/>
      <c r="K56" s="447"/>
      <c r="L56" s="319"/>
      <c r="M56" s="748" t="s">
        <v>332</v>
      </c>
      <c r="N56" s="749"/>
      <c r="O56" s="749"/>
      <c r="P56" s="749"/>
      <c r="Q56" s="750"/>
      <c r="R56" s="338"/>
    </row>
    <row r="57" spans="2:23" x14ac:dyDescent="0.2">
      <c r="J57" s="447"/>
      <c r="K57" s="447"/>
      <c r="L57" s="320"/>
      <c r="M57" s="346"/>
      <c r="N57" s="346"/>
      <c r="O57" s="346"/>
      <c r="P57" s="346"/>
      <c r="Q57" s="346"/>
      <c r="R57" s="348"/>
    </row>
  </sheetData>
  <mergeCells count="80">
    <mergeCell ref="B51:I51"/>
    <mergeCell ref="B52:I52"/>
    <mergeCell ref="B53:I53"/>
    <mergeCell ref="B54:I54"/>
    <mergeCell ref="B55:I55"/>
    <mergeCell ref="D7:K7"/>
    <mergeCell ref="C45:D46"/>
    <mergeCell ref="F32:G33"/>
    <mergeCell ref="T43:W45"/>
    <mergeCell ref="W28:W31"/>
    <mergeCell ref="G27:H27"/>
    <mergeCell ref="C33:D33"/>
    <mergeCell ref="M39:N39"/>
    <mergeCell ref="M40:N40"/>
    <mergeCell ref="M36:N36"/>
    <mergeCell ref="M38:N38"/>
    <mergeCell ref="T34:W34"/>
    <mergeCell ref="M32:N32"/>
    <mergeCell ref="M33:N33"/>
    <mergeCell ref="M34:N34"/>
    <mergeCell ref="F30:G31"/>
    <mergeCell ref="P3:Q3"/>
    <mergeCell ref="P4:Q4"/>
    <mergeCell ref="P5:Q6"/>
    <mergeCell ref="D5:K5"/>
    <mergeCell ref="D6:K6"/>
    <mergeCell ref="I25:I26"/>
    <mergeCell ref="A2:H3"/>
    <mergeCell ref="B5:C5"/>
    <mergeCell ref="B6:C6"/>
    <mergeCell ref="B7:C7"/>
    <mergeCell ref="B8:C8"/>
    <mergeCell ref="D8:K8"/>
    <mergeCell ref="D9:K11"/>
    <mergeCell ref="C13:K13"/>
    <mergeCell ref="B9:C9"/>
    <mergeCell ref="C25:G26"/>
    <mergeCell ref="B17:G17"/>
    <mergeCell ref="B19:D20"/>
    <mergeCell ref="E19:G20"/>
    <mergeCell ref="B18:D18"/>
    <mergeCell ref="E18:G18"/>
    <mergeCell ref="T2:W2"/>
    <mergeCell ref="M17:Q20"/>
    <mergeCell ref="M12:N12"/>
    <mergeCell ref="M13:N14"/>
    <mergeCell ref="P14:Q15"/>
    <mergeCell ref="M3:N3"/>
    <mergeCell ref="M4:N6"/>
    <mergeCell ref="M7:N7"/>
    <mergeCell ref="M8:N9"/>
    <mergeCell ref="P7:Q7"/>
    <mergeCell ref="P8:Q9"/>
    <mergeCell ref="P10:Q10"/>
    <mergeCell ref="P11:Q12"/>
    <mergeCell ref="P13:Q13"/>
    <mergeCell ref="M2:Q2"/>
    <mergeCell ref="W12:W15"/>
    <mergeCell ref="T18:W20"/>
    <mergeCell ref="T25:W25"/>
    <mergeCell ref="M21:Q22"/>
    <mergeCell ref="M54:N54"/>
    <mergeCell ref="M53:N53"/>
    <mergeCell ref="M25:P26"/>
    <mergeCell ref="M35:N35"/>
    <mergeCell ref="M27:N27"/>
    <mergeCell ref="M28:N28"/>
    <mergeCell ref="M29:N29"/>
    <mergeCell ref="M56:Q56"/>
    <mergeCell ref="M50:N50"/>
    <mergeCell ref="M46:N46"/>
    <mergeCell ref="M47:N47"/>
    <mergeCell ref="M37:N37"/>
    <mergeCell ref="M49:N49"/>
    <mergeCell ref="M52:N52"/>
    <mergeCell ref="M41:N41"/>
    <mergeCell ref="M42:N42"/>
    <mergeCell ref="M43:N43"/>
    <mergeCell ref="M44:N44"/>
    <mergeCell ref="M45:N45"/>
  </mergeCells>
  <dataValidations count="1">
    <dataValidation type="list" allowBlank="1" showInputMessage="1" showErrorMessage="1" prompt="Click and enter a value from the list of items" sqref="U28:U33">
      <formula1>"y,n,"</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98"/>
  <sheetViews>
    <sheetView zoomScaleNormal="100" workbookViewId="0">
      <selection activeCell="F26" sqref="F26"/>
    </sheetView>
  </sheetViews>
  <sheetFormatPr defaultColWidth="17.140625" defaultRowHeight="12.75" customHeight="1" x14ac:dyDescent="0.2"/>
  <cols>
    <col min="1" max="1" width="53" customWidth="1"/>
  </cols>
  <sheetData>
    <row r="1" spans="1:6" ht="45" customHeight="1" x14ac:dyDescent="0.6">
      <c r="A1" s="880" t="s">
        <v>52</v>
      </c>
      <c r="B1" s="563"/>
      <c r="C1" s="563"/>
    </row>
    <row r="2" spans="1:6" ht="22.5" customHeight="1" x14ac:dyDescent="0.2">
      <c r="A2" s="48"/>
    </row>
    <row r="3" spans="1:6" ht="22.5" customHeight="1" x14ac:dyDescent="0.2">
      <c r="A3" s="7" t="s">
        <v>15</v>
      </c>
      <c r="B3" s="39"/>
    </row>
    <row r="4" spans="1:6" ht="15" x14ac:dyDescent="0.2">
      <c r="A4" s="382" t="s">
        <v>53</v>
      </c>
      <c r="B4" s="295">
        <f>(Inputs!B16+IF(Buffs!$G$24="y",0.15,0))*(1+A32)</f>
        <v>2.3239999604920003</v>
      </c>
    </row>
    <row r="5" spans="1:6" ht="15" x14ac:dyDescent="0.2">
      <c r="A5" s="7" t="s">
        <v>54</v>
      </c>
      <c r="B5" s="9">
        <f>B4/(B4+'Calculations &amp; Constants'!B15)</f>
        <v>0.5</v>
      </c>
    </row>
    <row r="6" spans="1:6" ht="15" x14ac:dyDescent="0.2">
      <c r="A6" s="7" t="s">
        <v>55</v>
      </c>
      <c r="B6" s="9">
        <f>'Calculations &amp; Constants'!B15/(B4+'Calculations &amp; Constants'!B15)</f>
        <v>0.5</v>
      </c>
    </row>
    <row r="7" spans="1:6" ht="15" x14ac:dyDescent="0.2">
      <c r="A7" s="7" t="s">
        <v>56</v>
      </c>
      <c r="B7" s="60">
        <f>((((Inputs!B24+Inputs!B25)+Inputs!B12)+Inputs!B13)/2)*Inputs!B8</f>
        <v>51.947700000000005</v>
      </c>
    </row>
    <row r="8" spans="1:6" ht="15" x14ac:dyDescent="0.2">
      <c r="A8" s="7" t="s">
        <v>57</v>
      </c>
      <c r="B8" s="41">
        <f>((((Inputs!B20+Inputs!B12)+Inputs!B13)+Inputs!B21)/2)+B7</f>
        <v>917.74270000000013</v>
      </c>
    </row>
    <row r="9" spans="1:6" ht="15" x14ac:dyDescent="0.2">
      <c r="A9" s="382" t="s">
        <v>58</v>
      </c>
      <c r="B9" s="49">
        <f>((((((Inputs!B20+Inputs!B21)+Inputs!B12)+Inputs!B13)+(B7*2))/(IF((Inputs!B28=0),2,1)))*0.3)*B4</f>
        <v>1279.7003991250931</v>
      </c>
    </row>
    <row r="10" spans="1:6" ht="15" x14ac:dyDescent="0.2">
      <c r="A10" s="7" t="s">
        <v>59</v>
      </c>
      <c r="B10" s="49">
        <f>B8+B9</f>
        <v>2197.4430991250933</v>
      </c>
    </row>
    <row r="11" spans="1:6" ht="15" x14ac:dyDescent="0.2">
      <c r="A11" s="7" t="s">
        <v>60</v>
      </c>
      <c r="B11" s="49">
        <f>((B8*A46)*(1+(A44*Inputs!B7)))*(1+(Inputs!B2/100))</f>
        <v>102309.23347362375</v>
      </c>
    </row>
    <row r="12" spans="1:6" ht="15" x14ac:dyDescent="0.2">
      <c r="A12" s="7" t="s">
        <v>61</v>
      </c>
      <c r="B12" s="49">
        <f>((B10*A46)*(1+(A44*Inputs!B7)))*(1+(Inputs!B2/100))</f>
        <v>244969.2262040248</v>
      </c>
      <c r="F12" s="14"/>
    </row>
    <row r="13" spans="1:6" x14ac:dyDescent="0.2">
      <c r="A13" s="54"/>
    </row>
    <row r="14" spans="1:6" ht="21" customHeight="1" x14ac:dyDescent="0.2">
      <c r="A14" s="7" t="s">
        <v>20</v>
      </c>
      <c r="B14" s="39"/>
    </row>
    <row r="15" spans="1:6" ht="15" x14ac:dyDescent="0.2">
      <c r="A15" s="382" t="s">
        <v>53</v>
      </c>
      <c r="B15" s="296">
        <f>(Inputs!B28+IF(Buffs!$G$24="y",0.15,0))*(1+A32)</f>
        <v>2.3239999604920003</v>
      </c>
    </row>
    <row r="16" spans="1:6" ht="15" x14ac:dyDescent="0.2">
      <c r="A16" s="7" t="s">
        <v>54</v>
      </c>
      <c r="B16" s="8">
        <f>B15/('Calculations &amp; Constants'!B4+B15)</f>
        <v>0.5</v>
      </c>
    </row>
    <row r="17" spans="1:6" ht="15" x14ac:dyDescent="0.2">
      <c r="A17" s="7" t="s">
        <v>55</v>
      </c>
      <c r="B17" s="8">
        <f>'Calculations &amp; Constants'!B4/('Calculations &amp; Constants'!B4+B15)</f>
        <v>0.5</v>
      </c>
    </row>
    <row r="18" spans="1:6" ht="15" x14ac:dyDescent="0.2">
      <c r="A18" s="7" t="s">
        <v>56</v>
      </c>
      <c r="B18" s="60">
        <f>((((Inputs!B36+Inputs!B37)+Inputs!B12)+Inputs!B13)/2)*Inputs!B8</f>
        <v>19.2</v>
      </c>
    </row>
    <row r="19" spans="1:6" ht="15" x14ac:dyDescent="0.2">
      <c r="A19" s="7" t="s">
        <v>57</v>
      </c>
      <c r="B19" s="41">
        <f>((((Inputs!B32+Inputs!B12)+Inputs!B33)+Inputs!B13)/2)+B18</f>
        <v>776.2</v>
      </c>
    </row>
    <row r="20" spans="1:6" ht="15" x14ac:dyDescent="0.2">
      <c r="A20" s="7" t="s">
        <v>58</v>
      </c>
      <c r="B20" s="49">
        <f>(((((Inputs!B32+Inputs!B33)+Inputs!B12)+Inputs!B13)+(B18*2))*0.3)*B15</f>
        <v>1082.3332616003345</v>
      </c>
      <c r="F20" s="14"/>
    </row>
    <row r="21" spans="1:6" ht="15" x14ac:dyDescent="0.2">
      <c r="A21" s="7" t="s">
        <v>62</v>
      </c>
      <c r="B21" s="49">
        <f>B19+B20</f>
        <v>1858.5332616003345</v>
      </c>
    </row>
    <row r="22" spans="1:6" ht="15" x14ac:dyDescent="0.2">
      <c r="A22" s="7" t="s">
        <v>60</v>
      </c>
      <c r="B22" s="49">
        <f>((B19*A46)*(1+(A44*Inputs!B7)))*(1+(Inputs!B2/100))</f>
        <v>86530.164742499983</v>
      </c>
    </row>
    <row r="23" spans="1:6" ht="15" x14ac:dyDescent="0.2">
      <c r="A23" s="7" t="s">
        <v>61</v>
      </c>
      <c r="B23" s="49">
        <f>((B21*A46)*(1+(A44*Inputs!B7)))*(1+(Inputs!B2/100))</f>
        <v>207187.82440826175</v>
      </c>
    </row>
    <row r="24" spans="1:6" x14ac:dyDescent="0.2">
      <c r="A24" s="54"/>
    </row>
    <row r="25" spans="1:6" ht="15" x14ac:dyDescent="0.2">
      <c r="A25" s="7" t="s">
        <v>63</v>
      </c>
      <c r="B25" s="49"/>
    </row>
    <row r="26" spans="1:6" ht="15" x14ac:dyDescent="0.2">
      <c r="A26" s="7" t="s">
        <v>64</v>
      </c>
      <c r="B26" s="49">
        <f>(B11*B6)+(B22*B17)</f>
        <v>94419.699108061875</v>
      </c>
    </row>
    <row r="27" spans="1:6" ht="15" x14ac:dyDescent="0.2">
      <c r="A27" s="7" t="s">
        <v>60</v>
      </c>
      <c r="B27" s="49">
        <f>(B11+B22)/2</f>
        <v>94419.699108061875</v>
      </c>
    </row>
    <row r="28" spans="1:6" ht="15" x14ac:dyDescent="0.2">
      <c r="A28" s="7" t="s">
        <v>65</v>
      </c>
      <c r="B28" s="49">
        <f>(B12*B6)+(B23*B17)</f>
        <v>226078.52530614327</v>
      </c>
    </row>
    <row r="29" spans="1:6" ht="15" x14ac:dyDescent="0.2">
      <c r="A29" s="7" t="s">
        <v>61</v>
      </c>
      <c r="B29" s="49">
        <f>(B12*B5)+(B23*B16)</f>
        <v>226078.52530614327</v>
      </c>
    </row>
    <row r="30" spans="1:6" ht="15" x14ac:dyDescent="0.2">
      <c r="A30" s="61"/>
      <c r="B30" s="18"/>
    </row>
    <row r="31" spans="1:6" ht="15" x14ac:dyDescent="0.2">
      <c r="A31" s="55" t="s">
        <v>66</v>
      </c>
      <c r="B31" s="4"/>
    </row>
    <row r="32" spans="1:6" ht="15" x14ac:dyDescent="0.2">
      <c r="A32" s="50">
        <f>IF((Inputs!B28=0),Inputs!B5,(Inputs!B5+0.15))+IF((Buffs!G24="y"),0,0)+IF(Buffs!C19="y",".08",0)</f>
        <v>0.66</v>
      </c>
      <c r="B32" s="18"/>
    </row>
    <row r="33" spans="1:2" ht="15" x14ac:dyDescent="0.2">
      <c r="A33" s="55" t="s">
        <v>67</v>
      </c>
      <c r="B33" s="4"/>
    </row>
    <row r="34" spans="1:2" ht="15" x14ac:dyDescent="0.2">
      <c r="A34" s="50">
        <v>1.5</v>
      </c>
      <c r="B34" s="18"/>
    </row>
    <row r="35" spans="1:2" ht="15" x14ac:dyDescent="0.2">
      <c r="A35" s="55" t="s">
        <v>68</v>
      </c>
      <c r="B35" s="43"/>
    </row>
    <row r="36" spans="1:2" ht="15" x14ac:dyDescent="0.2">
      <c r="A36" s="31">
        <f>A40*A34</f>
        <v>3.4859999407380005</v>
      </c>
      <c r="B36" s="69"/>
    </row>
    <row r="37" spans="1:2" ht="15" x14ac:dyDescent="0.2">
      <c r="A37" s="7" t="s">
        <v>69</v>
      </c>
      <c r="B37" s="43"/>
    </row>
    <row r="38" spans="1:2" ht="15" x14ac:dyDescent="0.2">
      <c r="A38" s="42">
        <v>1.25</v>
      </c>
      <c r="B38" s="69"/>
    </row>
    <row r="39" spans="1:2" ht="15" x14ac:dyDescent="0.2">
      <c r="A39" s="57" t="s">
        <v>70</v>
      </c>
      <c r="B39" s="43"/>
    </row>
    <row r="40" spans="1:2" ht="15" x14ac:dyDescent="0.2">
      <c r="A40" s="300">
        <f>IF((Inputs!B28=0),B4,(2/((1/B4) +( 1/B15))))</f>
        <v>2.3239999604920003</v>
      </c>
      <c r="B40" s="69"/>
    </row>
    <row r="41" spans="1:2" ht="15" x14ac:dyDescent="0.2">
      <c r="A41" s="30" t="s">
        <v>71</v>
      </c>
    </row>
    <row r="42" spans="1:2" ht="15" x14ac:dyDescent="0.2">
      <c r="A42" s="17">
        <f>((A36*A44)*A38)+((((Summary!B2-1)*0.75)*A36)*A44)</f>
        <v>2.0698124648131877</v>
      </c>
      <c r="B42" s="69"/>
    </row>
    <row r="43" spans="1:2" ht="15" x14ac:dyDescent="0.2">
      <c r="A43" s="7" t="s">
        <v>7</v>
      </c>
      <c r="B43" s="39"/>
    </row>
    <row r="44" spans="1:2" ht="15" x14ac:dyDescent="0.2">
      <c r="A44" s="299">
        <f>Inputs!B6+IF((Buffs!D43="y"),0.03,0)</f>
        <v>0.47499999999999998</v>
      </c>
      <c r="B44" s="69"/>
    </row>
    <row r="45" spans="1:2" ht="15" x14ac:dyDescent="0.2">
      <c r="A45" s="7" t="s">
        <v>72</v>
      </c>
      <c r="B45" s="39"/>
    </row>
    <row r="46" spans="1:2" ht="15" x14ac:dyDescent="0.2">
      <c r="A46" s="46">
        <f>((((((1+IF((Buffs!C14="Y"),0.15,0))+IF((Buffs!G14="Y"),0.24,0))+IF((Buffs!H14="Y"),0.24,0))+IF((Buffs!G19="Y"),0.18,0))+IF((Buffs!D9="Y"),0.08,0))+IF((Buffs!E9="Y"),0.08,0))+IF((Buffs!F9="Y"),0.08,0)+IF((Buffs!E43="Y"),0.06,0)+IF((Buffs!G29="Y"),0.12,0)+IF((Buffs!C23="Y"),0.2,0)</f>
        <v>1</v>
      </c>
      <c r="B46" s="69"/>
    </row>
    <row r="47" spans="1:2" x14ac:dyDescent="0.2">
      <c r="A47" s="36"/>
    </row>
    <row r="48" spans="1:2" ht="15" x14ac:dyDescent="0.2">
      <c r="A48" s="7" t="s">
        <v>73</v>
      </c>
      <c r="B48" s="437">
        <f>('Calculations &amp; Constants'!A36*'Calculations &amp; Constants'!A38)+((0.75*'Calculations &amp; Constants'!A36)*(Summary!B2-1))</f>
        <v>4.3574999259225002</v>
      </c>
    </row>
    <row r="49" spans="1:6" ht="15" x14ac:dyDescent="0.2">
      <c r="A49" s="7" t="s">
        <v>74</v>
      </c>
      <c r="B49" s="437">
        <f>('Calculations &amp; Constants'!B59*0.2)*0.01</f>
        <v>2312.7377023782315</v>
      </c>
    </row>
    <row r="50" spans="1:6" ht="15" x14ac:dyDescent="0.2">
      <c r="A50" s="7" t="s">
        <v>75</v>
      </c>
      <c r="B50" s="438">
        <f>B49/B48</f>
        <v>530.74876458858819</v>
      </c>
    </row>
    <row r="51" spans="1:6" x14ac:dyDescent="0.2">
      <c r="A51" s="37"/>
      <c r="B51" s="73"/>
    </row>
    <row r="52" spans="1:6" ht="15" x14ac:dyDescent="0.2">
      <c r="A52" s="38"/>
      <c r="B52" s="27"/>
      <c r="C52" s="27"/>
      <c r="D52" s="27"/>
      <c r="E52" s="27"/>
      <c r="F52" s="27"/>
    </row>
    <row r="53" spans="1:6" ht="15" x14ac:dyDescent="0.2">
      <c r="A53" s="7" t="s">
        <v>76</v>
      </c>
      <c r="B53" s="63" t="s">
        <v>48</v>
      </c>
      <c r="C53" s="63" t="s">
        <v>77</v>
      </c>
      <c r="D53" s="63" t="s">
        <v>78</v>
      </c>
      <c r="E53" s="63" t="s">
        <v>30</v>
      </c>
      <c r="F53" s="63" t="s">
        <v>32</v>
      </c>
    </row>
    <row r="54" spans="1:6" ht="15" x14ac:dyDescent="0.2">
      <c r="A54" s="7" t="s">
        <v>79</v>
      </c>
      <c r="B54" s="167"/>
      <c r="C54" s="170"/>
      <c r="D54" s="173"/>
      <c r="E54" s="173"/>
      <c r="F54" s="173"/>
    </row>
    <row r="55" spans="1:6" ht="15" x14ac:dyDescent="0.25">
      <c r="A55" s="383" t="s">
        <v>80</v>
      </c>
      <c r="B55" s="168">
        <f>(((((((B8*IF((Inputs!B28=0),1,B5))+IF((Inputs!B28=0),0,(B19*B16)))*((1.45*(1+IF((Inputs!B9&gt;0),Inputs!B9,0))*(1+IF((Inputs!B10&gt;0),Inputs!B10,0)))))*A46)*(1+(A44*Inputs!B7)))*(1+(Inputs!B2/100)))*A36)*((1+IF((Buffs!G37="y"),Inputs!B3,0))+IF((Buffs!H37="y"),Inputs!B4,0))</f>
        <v>582261.15886101499</v>
      </c>
      <c r="C55" s="171"/>
      <c r="D55" s="174">
        <f>(B55*Summary!B2)/B59</f>
        <v>0.50352546098268303</v>
      </c>
      <c r="E55" s="176">
        <f>(Inputs!D32*0.2)*B55</f>
        <v>6870.6816745599781</v>
      </c>
      <c r="F55" s="176">
        <f>E55*Summary!B2</f>
        <v>6870.6816745599781</v>
      </c>
    </row>
    <row r="56" spans="1:6" ht="15" x14ac:dyDescent="0.25">
      <c r="A56" s="384" t="s">
        <v>81</v>
      </c>
      <c r="B56" s="168">
        <f>(((((((B8*IF((Inputs!B28=0),1,B6))+IF((Inputs!B28=0),0,(B19*B17)))*(0.6*(1+IF((Inputs!B11&gt;0),Inputs!B11,0))))*(1+(A44*Inputs!B7)))*(1+(Inputs!B2/100)))*A40)*A46)*((1+IF((Buffs!G37="y"),Inputs!B3,0))+IF((Buffs!H37="y"),Inputs!B4,0))</f>
        <v>150091.06186581281</v>
      </c>
      <c r="C56" s="172"/>
      <c r="D56" s="174">
        <f>(B56*Summary!B2)/B59</f>
        <v>0.12979514426687591</v>
      </c>
      <c r="E56" s="176">
        <f>(Inputs!D32*0.2)*B56</f>
        <v>1771.0745300165913</v>
      </c>
      <c r="F56" s="176">
        <f>E56*Summary!B2</f>
        <v>1771.0745300165913</v>
      </c>
    </row>
    <row r="57" spans="1:6" ht="15" x14ac:dyDescent="0.25">
      <c r="A57" s="385" t="s">
        <v>82</v>
      </c>
      <c r="B57" s="168">
        <f>(((((((B8*IF((Inputs!B28=0),1,B6))+IF((Inputs!B28=0),0,(B19*B17)))*((0.26*(1+IF((Inputs!B9&gt;0),Inputs!B9,0))*(1+IF((Inputs!B11&gt;0),Inputs!B11,0)))))*(1+(A44*Inputs!B7)))*(1+(Inputs!B2/100)))*A46)*((1+IF((Buffs!G37="y"),Inputs!B3,0))+IF((Buffs!H37="y"),Inputs!B4,0)))*6</f>
        <v>204857.51133040825</v>
      </c>
      <c r="C57" s="171">
        <f>'Calculations &amp; Constants'!A42</f>
        <v>2.0698124648131877</v>
      </c>
      <c r="D57" s="174">
        <f>(B57*C57)/B59</f>
        <v>0.36667939475044115</v>
      </c>
      <c r="E57" s="177">
        <f>((Inputs!D32*0.2)*B57)*C57</f>
        <v>5003.3962394549972</v>
      </c>
      <c r="F57" s="177">
        <f>E57</f>
        <v>5003.3962394549972</v>
      </c>
    </row>
    <row r="58" spans="1:6" ht="15" x14ac:dyDescent="0.25">
      <c r="A58" s="23" t="s">
        <v>83</v>
      </c>
      <c r="B58" s="169">
        <f>(B55+B56)+(B57*C57)</f>
        <v>1156368.8511891156</v>
      </c>
      <c r="C58" s="161"/>
      <c r="D58" s="175"/>
      <c r="E58" s="178" t="s">
        <v>30</v>
      </c>
      <c r="F58" s="178" t="s">
        <v>32</v>
      </c>
    </row>
    <row r="59" spans="1:6" ht="15" x14ac:dyDescent="0.25">
      <c r="A59" s="7" t="s">
        <v>84</v>
      </c>
      <c r="B59" s="169">
        <f>((B55*Summary!B2)+(B56*Summary!B2))+(B57*C57)</f>
        <v>1156368.8511891156</v>
      </c>
      <c r="C59" s="161"/>
      <c r="D59" s="161"/>
      <c r="E59" s="179">
        <f>SUM(E55:E57)</f>
        <v>13645.152444031566</v>
      </c>
      <c r="F59" s="179">
        <f>SUM(F55:F57)</f>
        <v>13645.152444031566</v>
      </c>
    </row>
    <row r="60" spans="1:6" ht="15" x14ac:dyDescent="0.25">
      <c r="A60" s="61"/>
      <c r="B60" s="10"/>
      <c r="C60" s="66"/>
      <c r="D60" s="38"/>
      <c r="E60" s="177"/>
      <c r="F60" s="3"/>
    </row>
    <row r="61" spans="1:6" ht="15" x14ac:dyDescent="0.25">
      <c r="A61" s="7" t="s">
        <v>85</v>
      </c>
      <c r="B61" s="58" t="s">
        <v>48</v>
      </c>
      <c r="C61" s="63" t="s">
        <v>77</v>
      </c>
      <c r="D61" s="63" t="s">
        <v>78</v>
      </c>
      <c r="E61" s="15" t="s">
        <v>30</v>
      </c>
      <c r="F61" s="15" t="s">
        <v>32</v>
      </c>
    </row>
    <row r="62" spans="1:6" ht="15" x14ac:dyDescent="0.25">
      <c r="A62" s="7" t="s">
        <v>79</v>
      </c>
      <c r="B62" s="71"/>
      <c r="C62" s="180"/>
      <c r="D62" s="173"/>
      <c r="E62" s="21"/>
      <c r="F62" s="182"/>
    </row>
    <row r="63" spans="1:6" ht="15" x14ac:dyDescent="0.25">
      <c r="A63" s="383" t="s">
        <v>80</v>
      </c>
      <c r="B63" s="168">
        <f>(((((((IF((Inputs!B28=0),B10,((((B10+B19)/2)*B6)+(((B8+B21)/2)*B17)))*1.45)*A46)*(1+(A44*Inputs!B7)))*(1+(Inputs!B2/100)))*A36)*(1+IF((Inputs!B9&gt;0),Inputs!B9,0)))*(1+IF((Inputs!B10&gt;0),Inputs!B10,0)))*((1+IF((Buffs!G37="y"),Inputs!B3,0))+IF((Buffs!H37="y"),Inputs!B4,0))</f>
        <v>988213.63191772241</v>
      </c>
      <c r="C63" s="172"/>
      <c r="D63" s="174">
        <f>(B63*Summary!B2)/B67</f>
        <v>0.50352546098268303</v>
      </c>
      <c r="E63" s="176">
        <f>(Inputs!D32*0.2)*B63</f>
        <v>11660.920856629125</v>
      </c>
      <c r="F63" s="176">
        <f>E63*Summary!B2</f>
        <v>11660.920856629125</v>
      </c>
    </row>
    <row r="64" spans="1:6" ht="15" x14ac:dyDescent="0.25">
      <c r="A64" s="384" t="s">
        <v>81</v>
      </c>
      <c r="B64" s="168">
        <f>((((((IF((Inputs!B28=0),B10,((((B10+B19)/2)*B6)+(((B8+B21)/2)*B17))))*(0.6*(1+IF((Inputs!B11&gt;0),Inputs!B11,0))))*(1+(A44*Inputs!B7)))*(1+(Inputs!B2/100)))*A40)*A46)*((1+IF((Buffs!G37="y"),Inputs!B3,0))+IF((Buffs!H37="y"),Inputs!B4,0))</f>
        <v>254734.54841971819</v>
      </c>
      <c r="C64" s="161"/>
      <c r="D64" s="174">
        <f>(B64*Summary!B2)/B67</f>
        <v>0.12979514426687591</v>
      </c>
      <c r="E64" s="176">
        <f>(Inputs!D32*0.2)*B64</f>
        <v>3005.8676713526752</v>
      </c>
      <c r="F64" s="176">
        <f>E64*Summary!B2</f>
        <v>3005.8676713526752</v>
      </c>
    </row>
    <row r="65" spans="1:6" ht="15" x14ac:dyDescent="0.25">
      <c r="A65" s="385" t="s">
        <v>82</v>
      </c>
      <c r="B65" s="168">
        <f>((((((IF((Inputs!B28=0),B10,((((B10+B19)/2)*B6)+(((B8+B21)/2)*B17))))*((0.26*(1+IF((Inputs!B9&gt;0),Inputs!B9,0))*(1+IF((Inputs!B11&gt;0),Inputs!B11,0)))))*(1+(A44*Inputs!B7)))*(1+(Inputs!B2/100)))*A46)*((1+IF((Buffs!G37="y"),Inputs!B3,0))+IF((Buffs!H37="y"),Inputs!B4,0)))*6</f>
        <v>347684.16580191569</v>
      </c>
      <c r="C65" s="171">
        <f>'Calculations &amp; Constants'!A42</f>
        <v>2.0698124648131877</v>
      </c>
      <c r="D65" s="174">
        <f>(B65*C65)/B67</f>
        <v>0.36667939475044109</v>
      </c>
      <c r="E65" s="177">
        <f>((Inputs!D32*0.2)*B65)*C65</f>
        <v>8491.7640383007656</v>
      </c>
      <c r="F65" s="177">
        <f>E65</f>
        <v>8491.7640383007656</v>
      </c>
    </row>
    <row r="66" spans="1:6" ht="15" x14ac:dyDescent="0.25">
      <c r="A66" s="23" t="s">
        <v>83</v>
      </c>
      <c r="B66" s="169">
        <f>(B63+B64)+(B65*C65)</f>
        <v>1962589.2005324208</v>
      </c>
      <c r="C66" s="161"/>
      <c r="D66" s="175"/>
      <c r="E66" s="15" t="s">
        <v>30</v>
      </c>
      <c r="F66" s="15" t="s">
        <v>32</v>
      </c>
    </row>
    <row r="67" spans="1:6" ht="15" x14ac:dyDescent="0.25">
      <c r="A67" s="7" t="s">
        <v>84</v>
      </c>
      <c r="B67" s="169">
        <f>((B63*Summary!B2)+(B64*Summary!B2))+(B65*C65)</f>
        <v>1962589.2005324208</v>
      </c>
      <c r="C67" s="161"/>
      <c r="D67" s="161"/>
      <c r="E67" s="179">
        <f>SUM(E63:E65)</f>
        <v>23158.552566282568</v>
      </c>
      <c r="F67" s="179">
        <f>SUM(F63:F65)</f>
        <v>23158.552566282568</v>
      </c>
    </row>
    <row r="68" spans="1:6" ht="15" x14ac:dyDescent="0.25">
      <c r="A68" s="61"/>
      <c r="B68" s="56"/>
      <c r="C68" s="181"/>
      <c r="D68" s="18"/>
      <c r="E68" s="172"/>
      <c r="F68" s="171"/>
    </row>
    <row r="69" spans="1:6" x14ac:dyDescent="0.2">
      <c r="A69" s="11" t="s">
        <v>86</v>
      </c>
      <c r="B69" s="11" t="s">
        <v>48</v>
      </c>
      <c r="C69" s="72" t="s">
        <v>87</v>
      </c>
      <c r="D69" s="39"/>
    </row>
    <row r="70" spans="1:6" x14ac:dyDescent="0.2">
      <c r="A70" s="386" t="s">
        <v>88</v>
      </c>
      <c r="B70" s="184">
        <f>((B55*((Summary!B2 * 2.15 + 2.2) / 4.35))*IF((Buffs!C31="y"),0.75,0.8))+((B63*((Summary!B2 * 2.15 + 2.2) / 4.35))*IF((Buffs!C31="y"),0.25,0.2))</f>
        <v>663451.6534723565</v>
      </c>
      <c r="C70" s="183">
        <f>B70/B74</f>
        <v>0.50352546098268303</v>
      </c>
    </row>
    <row r="71" spans="1:6" x14ac:dyDescent="0.2">
      <c r="A71" s="386" t="s">
        <v>89</v>
      </c>
      <c r="B71" s="185">
        <f>((B56*Summary!B2)*IF((Buffs!C31="y"),0.75,0.8))+((B64*Summary!B2)*IF((Buffs!C31="y"),0.25,0.2))</f>
        <v>171019.75917659389</v>
      </c>
      <c r="C71" s="174">
        <f>B71/B74</f>
        <v>0.12979514426687591</v>
      </c>
    </row>
    <row r="72" spans="1:6" x14ac:dyDescent="0.2">
      <c r="A72" s="386" t="s">
        <v>90</v>
      </c>
      <c r="B72" s="185">
        <f>((B57*C57)*IF((Buffs!C31="y"),0.75,0.8))+((B65*C65)*IF((Buffs!C31="y"),0.25,0.2))</f>
        <v>483141.50840882631</v>
      </c>
      <c r="C72" s="174">
        <f>B72/B74</f>
        <v>0.36667939475044115</v>
      </c>
    </row>
    <row r="73" spans="1:6" x14ac:dyDescent="0.2">
      <c r="A73" s="65"/>
      <c r="B73" s="14"/>
    </row>
    <row r="74" spans="1:6" ht="15" x14ac:dyDescent="0.25">
      <c r="A74" s="72" t="s">
        <v>24</v>
      </c>
      <c r="B74" s="186">
        <f>SUM(B70:B72)</f>
        <v>1317612.9210577765</v>
      </c>
    </row>
    <row r="75" spans="1:6" x14ac:dyDescent="0.2">
      <c r="A75" s="67"/>
      <c r="B75" s="187"/>
    </row>
    <row r="76" spans="1:6" x14ac:dyDescent="0.2">
      <c r="A76" s="19" t="s">
        <v>91</v>
      </c>
      <c r="B76" s="188">
        <f>(Inputs!J28 + IF((Buffs!C27="y"),(Inputs!B2/2),0))*IF((Buffs!F43="y"),1.05,1)</f>
        <v>5179.5</v>
      </c>
    </row>
    <row r="77" spans="1:6" x14ac:dyDescent="0.2">
      <c r="A77" s="19" t="s">
        <v>92</v>
      </c>
      <c r="B77" s="188">
        <v>0.3</v>
      </c>
    </row>
    <row r="78" spans="1:6" x14ac:dyDescent="0.2">
      <c r="A78" s="19" t="s">
        <v>93</v>
      </c>
      <c r="B78" s="189">
        <f>B76/((50*63)+B76)</f>
        <v>0.62182603997839003</v>
      </c>
    </row>
    <row r="79" spans="1:6" x14ac:dyDescent="0.2">
      <c r="A79" s="19" t="s">
        <v>94</v>
      </c>
      <c r="B79" s="189">
        <f>Inputs!J29/((5*63)+Inputs!J29)</f>
        <v>0.67585923029429917</v>
      </c>
    </row>
    <row r="80" spans="1:6" x14ac:dyDescent="0.2">
      <c r="A80" s="19" t="s">
        <v>95</v>
      </c>
      <c r="B80" s="189">
        <f>1-(((1-B77)*(1-B78))*(1-B79))</f>
        <v>0.9141928810611597</v>
      </c>
    </row>
    <row r="81" spans="1:6" x14ac:dyDescent="0.2">
      <c r="A81" s="19" t="s">
        <v>96</v>
      </c>
      <c r="B81" s="190">
        <f>(((35*Inputs!J30)+36)+(60*4))*(1+Inputs!J31)</f>
        <v>45957.54</v>
      </c>
    </row>
    <row r="82" spans="1:6" x14ac:dyDescent="0.2">
      <c r="A82" s="19" t="s">
        <v>97</v>
      </c>
      <c r="B82" s="190">
        <f>B81/(1-B80)</f>
        <v>535591.22562728857</v>
      </c>
    </row>
    <row r="83" spans="1:6" x14ac:dyDescent="0.2">
      <c r="A83" s="72" t="s">
        <v>98</v>
      </c>
      <c r="B83" s="190">
        <f>B82/B81</f>
        <v>11.654044703595723</v>
      </c>
    </row>
    <row r="84" spans="1:6" x14ac:dyDescent="0.2">
      <c r="A84" s="67"/>
      <c r="B84" s="32"/>
      <c r="C84" s="36"/>
      <c r="D84" s="36"/>
    </row>
    <row r="85" spans="1:6" ht="15" x14ac:dyDescent="0.2">
      <c r="A85" s="20" t="s">
        <v>99</v>
      </c>
      <c r="B85" s="62" t="s">
        <v>100</v>
      </c>
      <c r="C85" s="223" t="s">
        <v>101</v>
      </c>
      <c r="D85" s="224" t="s">
        <v>102</v>
      </c>
      <c r="E85" s="39"/>
    </row>
    <row r="86" spans="1:6" ht="15" x14ac:dyDescent="0.2">
      <c r="A86" s="24" t="s">
        <v>103</v>
      </c>
      <c r="B86" s="227">
        <f>(Inputs!B2/100)+1</f>
        <v>31.65</v>
      </c>
      <c r="C86" s="225"/>
      <c r="D86" s="225"/>
    </row>
    <row r="87" spans="1:6" ht="15" x14ac:dyDescent="0.2">
      <c r="A87" s="194" t="s">
        <v>104</v>
      </c>
      <c r="B87" s="228">
        <f>1+(A44*Inputs!B7)</f>
        <v>3.5222499999999997</v>
      </c>
      <c r="C87" s="226"/>
      <c r="D87" s="226"/>
    </row>
    <row r="88" spans="1:6" ht="15" x14ac:dyDescent="0.2">
      <c r="A88" s="18" t="s">
        <v>105</v>
      </c>
      <c r="B88" s="197">
        <f>A40</f>
        <v>2.3239999604920003</v>
      </c>
      <c r="C88" s="176"/>
      <c r="D88" s="176"/>
    </row>
    <row r="89" spans="1:6" ht="15" x14ac:dyDescent="0.2">
      <c r="A89" s="18" t="s">
        <v>106</v>
      </c>
      <c r="B89" s="197">
        <f>IF((Inputs!B28=0),B8,((B8+B19)/2))</f>
        <v>846.97135000000003</v>
      </c>
      <c r="C89" s="176">
        <f>IF((Inputs!B28=0),B10,((B10+B19)/2))</f>
        <v>1486.8215495625468</v>
      </c>
      <c r="D89" s="176">
        <f>(B8+B21)/2</f>
        <v>1388.1379808001673</v>
      </c>
      <c r="F89" s="34"/>
    </row>
    <row r="90" spans="1:6" ht="15" x14ac:dyDescent="0.2">
      <c r="A90" s="18" t="s">
        <v>107</v>
      </c>
      <c r="B90" s="176">
        <f>A46</f>
        <v>1</v>
      </c>
      <c r="C90" s="176"/>
      <c r="D90" s="176"/>
      <c r="F90" s="45"/>
    </row>
    <row r="91" spans="1:6" ht="15" x14ac:dyDescent="0.2">
      <c r="A91" s="45" t="s">
        <v>108</v>
      </c>
      <c r="B91" s="176">
        <f>(((B86*B87)*B88)*B89)*B90</f>
        <v>219431.37699680234</v>
      </c>
      <c r="C91" s="176">
        <f>(((B86*B87)*B88)*C89)*B90</f>
        <v>385202.28573142295</v>
      </c>
      <c r="D91" s="176">
        <f>(((B86*B87)*B88)*D89)*B90</f>
        <v>359635.57514494611</v>
      </c>
      <c r="F91" s="34"/>
    </row>
    <row r="92" spans="1:6" ht="15" x14ac:dyDescent="0.2">
      <c r="A92" s="45" t="s">
        <v>109</v>
      </c>
      <c r="B92" s="176">
        <f>((((B86*B87)*B88)*B89)*B90)*(1+Inputs!B3)</f>
        <v>219431.37699680234</v>
      </c>
      <c r="C92" s="176"/>
      <c r="D92" s="176"/>
      <c r="F92" s="34"/>
    </row>
    <row r="93" spans="1:6" ht="15" x14ac:dyDescent="0.2">
      <c r="A93" s="45" t="s">
        <v>110</v>
      </c>
      <c r="B93" s="176">
        <f>((((B86*B87)*B88)*B89)*B90)*(1+Inputs!B4)</f>
        <v>219431.37699680234</v>
      </c>
      <c r="C93" s="176"/>
      <c r="D93" s="176"/>
      <c r="F93" s="34"/>
    </row>
    <row r="94" spans="1:6" ht="15" x14ac:dyDescent="0.2">
      <c r="A94" s="45" t="s">
        <v>111</v>
      </c>
      <c r="B94" s="176">
        <f>(((((B86*B87)*B88)*B89)*B90)*(1+Inputs!B3))*(1+Inputs!B4)</f>
        <v>219431.37699680234</v>
      </c>
      <c r="C94" s="176"/>
      <c r="D94" s="176"/>
      <c r="F94" s="34"/>
    </row>
    <row r="95" spans="1:6" ht="15" x14ac:dyDescent="0.2">
      <c r="A95" s="74"/>
      <c r="B95" s="34"/>
      <c r="C95" s="34"/>
      <c r="D95" s="34"/>
      <c r="F95" s="34"/>
    </row>
    <row r="96" spans="1:6" ht="15" x14ac:dyDescent="0.2">
      <c r="A96" s="7" t="s">
        <v>112</v>
      </c>
      <c r="B96" s="29">
        <f>(Inputs!G29+Inputs!G32)+Inputs!D35</f>
        <v>15844.832468481767</v>
      </c>
      <c r="C96" s="33"/>
      <c r="D96" s="33"/>
      <c r="F96" s="34"/>
    </row>
    <row r="97" spans="1:6" ht="15" x14ac:dyDescent="0.2">
      <c r="A97" s="40"/>
      <c r="B97" s="176"/>
      <c r="C97" s="34"/>
      <c r="D97" s="34"/>
      <c r="F97" s="34"/>
    </row>
    <row r="98" spans="1:6" ht="15" x14ac:dyDescent="0.2">
      <c r="A98" s="191"/>
      <c r="B98" s="34"/>
      <c r="C98" s="34"/>
      <c r="D98" s="34"/>
      <c r="F98" s="34"/>
    </row>
  </sheetData>
  <sheetProtection selectLockedCells="1"/>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How To Use</vt:lpstr>
      <vt:lpstr>Inputs</vt:lpstr>
      <vt:lpstr>Buffs</vt:lpstr>
      <vt:lpstr>Summary</vt:lpstr>
      <vt:lpstr> Spirit Calc</vt:lpstr>
      <vt:lpstr>Stat Compare</vt:lpstr>
      <vt:lpstr>Damage Reduction </vt:lpstr>
      <vt:lpstr>Various</vt:lpstr>
      <vt:lpstr>Calculations &amp; Constants</vt:lpstr>
      <vt:lpstr>Updates</vt:lpstr>
      <vt:lpstr>Sheet1</vt:lpstr>
      <vt:lpstr>DoNotEdit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Edward T CIV NAVSEA KPWA, 43</dc:creator>
  <cp:lastModifiedBy>toshi</cp:lastModifiedBy>
  <dcterms:created xsi:type="dcterms:W3CDTF">2013-02-22T20:59:04Z</dcterms:created>
  <dcterms:modified xsi:type="dcterms:W3CDTF">2013-06-29T15:29:05Z</dcterms:modified>
</cp:coreProperties>
</file>