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\Бизнес и право\ЛР3_Гурина_ФИТ_4\"/>
    </mc:Choice>
  </mc:AlternateContent>
  <xr:revisionPtr revIDLastSave="0" documentId="13_ncr:1_{AA6708AE-E5E1-45D9-91F1-47C0B930F72E}" xr6:coauthVersionLast="47" xr6:coauthVersionMax="47" xr10:uidLastSave="{00000000-0000-0000-0000-000000000000}"/>
  <bookViews>
    <workbookView xWindow="-108" yWindow="-108" windowWidth="23256" windowHeight="12576" xr2:uid="{FC0A44AD-186C-45F0-8AEE-BDC50FE7152E}"/>
  </bookViews>
  <sheets>
    <sheet name="Задание_исх_данные,_решение_1" sheetId="1" r:id="rId1"/>
    <sheet name="Задание_порядок_работы" sheetId="2" r:id="rId2"/>
  </sheets>
  <calcPr calcId="191029"/>
</workbook>
</file>

<file path=xl/calcChain.xml><?xml version="1.0" encoding="utf-8"?>
<calcChain xmlns="http://schemas.openxmlformats.org/spreadsheetml/2006/main">
  <c r="B42" i="1" l="1"/>
  <c r="D49" i="1"/>
  <c r="D48" i="1"/>
  <c r="C49" i="1"/>
  <c r="C48" i="1"/>
  <c r="B33" i="1"/>
  <c r="C33" i="1"/>
  <c r="B61" i="1" l="1"/>
  <c r="B60" i="1"/>
  <c r="F54" i="1"/>
  <c r="C42" i="1"/>
  <c r="B66" i="1"/>
  <c r="E55" i="1"/>
  <c r="D55" i="1"/>
  <c r="C55" i="1"/>
  <c r="B55" i="1"/>
  <c r="F55" i="1" s="1"/>
  <c r="F56" i="1" s="1"/>
  <c r="E54" i="1"/>
  <c r="D54" i="1"/>
  <c r="C54" i="1"/>
  <c r="B54" i="1"/>
  <c r="E49" i="1"/>
  <c r="B49" i="1"/>
  <c r="B48" i="1"/>
  <c r="B50" i="1" s="1"/>
  <c r="C41" i="1"/>
  <c r="B41" i="1"/>
  <c r="C29" i="1"/>
  <c r="B29" i="1"/>
  <c r="C28" i="1"/>
  <c r="B28" i="1"/>
  <c r="C27" i="1"/>
  <c r="C31" i="1" s="1"/>
  <c r="B27" i="1"/>
  <c r="B31" i="1" s="1"/>
  <c r="B19" i="1"/>
  <c r="B18" i="1"/>
  <c r="B17" i="1"/>
  <c r="B16" i="1"/>
  <c r="B15" i="1"/>
  <c r="B14" i="1"/>
  <c r="B12" i="1"/>
  <c r="B13" i="1" s="1"/>
  <c r="B20" i="1" s="1"/>
  <c r="C5" i="1"/>
  <c r="D5" i="1" s="1"/>
  <c r="D6" i="1" s="1"/>
  <c r="B5" i="1"/>
  <c r="C4" i="1"/>
  <c r="B4" i="1"/>
  <c r="D4" i="1" s="1"/>
  <c r="B21" i="1" l="1"/>
  <c r="B22" i="1" s="1"/>
  <c r="B30" i="1"/>
  <c r="B32" i="1" s="1"/>
  <c r="C30" i="1"/>
  <c r="C32" i="1" s="1"/>
  <c r="C34" i="1" s="1"/>
  <c r="C38" i="1" s="1"/>
  <c r="E48" i="1" l="1"/>
  <c r="E50" i="1" s="1"/>
  <c r="B65" i="1" s="1"/>
  <c r="B34" i="1"/>
  <c r="B38" i="1" s="1"/>
  <c r="C39" i="1"/>
  <c r="C40" i="1" s="1"/>
  <c r="C43" i="1" s="1"/>
  <c r="B39" i="1"/>
  <c r="B40" i="1" l="1"/>
  <c r="B43" i="1" s="1"/>
  <c r="B62" i="1" s="1"/>
  <c r="B63" i="1" l="1"/>
  <c r="B64" i="1"/>
  <c r="B67" i="1" l="1"/>
  <c r="B68" i="1"/>
  <c r="C60" i="1" l="1"/>
  <c r="C61" i="1"/>
  <c r="C62" i="1"/>
  <c r="C66" i="1"/>
  <c r="C65" i="1"/>
  <c r="C63" i="1"/>
  <c r="C64" i="1"/>
  <c r="C67" i="1"/>
</calcChain>
</file>

<file path=xl/sharedStrings.xml><?xml version="1.0" encoding="utf-8"?>
<sst xmlns="http://schemas.openxmlformats.org/spreadsheetml/2006/main" count="145" uniqueCount="129">
  <si>
    <t>Рассчитать затраты на разработку проект-дизайна</t>
  </si>
  <si>
    <t>1. Расчет затрат на материалы</t>
  </si>
  <si>
    <t>Исходные данные</t>
  </si>
  <si>
    <t>Наименование материала</t>
  </si>
  <si>
    <t>Расход на разработку проекта</t>
  </si>
  <si>
    <t>Цена за единицу материалов, руб.</t>
  </si>
  <si>
    <t>Затраты, руб.</t>
  </si>
  <si>
    <t>Показатели</t>
  </si>
  <si>
    <t>Варианты</t>
  </si>
  <si>
    <t>Бумага Xerox Performer, уп.</t>
  </si>
  <si>
    <t>Тонер черный для принтеров Canon, шт.</t>
  </si>
  <si>
    <t>Расход материалов</t>
  </si>
  <si>
    <t>Всего</t>
  </si>
  <si>
    <t>2 Расчёт затрат на оплату труда</t>
  </si>
  <si>
    <t>Цена материалов, руб.</t>
  </si>
  <si>
    <t>Эффективный фонд рабочего времени одного работника</t>
  </si>
  <si>
    <t>Наименование показателей, ед. изм.</t>
  </si>
  <si>
    <t>Значение</t>
  </si>
  <si>
    <t>1 Календарный фонд рабочего времени, дней</t>
  </si>
  <si>
    <t>Выходные и праздничные дни</t>
  </si>
  <si>
    <t>2 Выходные и праздничные дни</t>
  </si>
  <si>
    <t>Планируемые невыходы на работу, всего, дней:</t>
  </si>
  <si>
    <t>3 Номинальный фонд рабочего времени (п.1-п.2)</t>
  </si>
  <si>
    <t>основные, дополнительные отпуска</t>
  </si>
  <si>
    <t>4 Планируемые невыходы на работу, всего, дней:</t>
  </si>
  <si>
    <t>отпуска по беременности и родам</t>
  </si>
  <si>
    <t>- основные, дополнительные и учебные отпуска</t>
  </si>
  <si>
    <t>невыходы по болезни</t>
  </si>
  <si>
    <t>- отпуска по беременности и родам, дней</t>
  </si>
  <si>
    <t>выполнение государственных и общественных обязанностей</t>
  </si>
  <si>
    <t>- невыходы по болезни, дней</t>
  </si>
  <si>
    <t>невыходы по разрешению администрации</t>
  </si>
  <si>
    <t>- выполнение государственных и общественных обязанностей</t>
  </si>
  <si>
    <t>Продолжительность смены, ч</t>
  </si>
  <si>
    <t>- невыходы по разрешению администрации</t>
  </si>
  <si>
    <t>Должностной оклад, руб./месяц</t>
  </si>
  <si>
    <t>5 Эффективный фонд времени в днях (п.3-п.4)</t>
  </si>
  <si>
    <t>сотрудник 1</t>
  </si>
  <si>
    <t>6 Эффективный фонд времени в часах (п.5*Тсм)</t>
  </si>
  <si>
    <t>сотрудник 2</t>
  </si>
  <si>
    <t>7 Эффективный фонд рабочего времени  в месяц, ч (п.6/12)</t>
  </si>
  <si>
    <t>Премия, %</t>
  </si>
  <si>
    <t>Надбавка за стаж, %</t>
  </si>
  <si>
    <t>3 Расчёт месячного фонда оплаты труда, руб.</t>
  </si>
  <si>
    <t>Доплаты за ночное время, %</t>
  </si>
  <si>
    <t>Наименование затрат</t>
  </si>
  <si>
    <t>Фонд оплаты труда</t>
  </si>
  <si>
    <t>Работа в ночное время, ч</t>
  </si>
  <si>
    <t>Сотрудник 1</t>
  </si>
  <si>
    <t>Сотрудник 2</t>
  </si>
  <si>
    <t>Должностной оклад</t>
  </si>
  <si>
    <t>Премия</t>
  </si>
  <si>
    <t>Доплаты за вредность, руб. за 1 руб. должностного оклада</t>
  </si>
  <si>
    <t xml:space="preserve">Надбавка за стаж           </t>
  </si>
  <si>
    <t>Продолжительность работ над документом в день, ч</t>
  </si>
  <si>
    <t>Доплаты за выходы в ночное время</t>
  </si>
  <si>
    <t>Доплаты за вредность</t>
  </si>
  <si>
    <t>Основная заработная плата</t>
  </si>
  <si>
    <t>Стоимость оборудования, руб.</t>
  </si>
  <si>
    <t>Дополнительная заработная плата</t>
  </si>
  <si>
    <t>Компьютер         HP 460-p233</t>
  </si>
  <si>
    <t>Итого</t>
  </si>
  <si>
    <t>Принтер Canon    i-Sensys LBP113w</t>
  </si>
  <si>
    <t>Нормативное количество лет работы оборудования, лет</t>
  </si>
  <si>
    <t>4 Расчёт затрат на заработную плату при разработке проекта</t>
  </si>
  <si>
    <t>Наименование показателя, ед. измерения</t>
  </si>
  <si>
    <t>Значение показателя (вед. научн. сотрудник)</t>
  </si>
  <si>
    <t>Значение показателя (ст. научн. сотрудник)</t>
  </si>
  <si>
    <t>Заработная плата в месяц, руб. (табл. 3)</t>
  </si>
  <si>
    <t>Установленная электрическая мощность, кВт</t>
  </si>
  <si>
    <t>Эффективный фонд рабочего времени  в месяц, ч</t>
  </si>
  <si>
    <t>Часовая тарифная ставка, руб.</t>
  </si>
  <si>
    <t>Продолжительность работ над документами в день, ч</t>
  </si>
  <si>
    <t>Время работы оборудования, ч/месяц</t>
  </si>
  <si>
    <t>Продолжительность работ по проекту, ч</t>
  </si>
  <si>
    <t>Затраты на оплату труда при разработке проекта, руб.</t>
  </si>
  <si>
    <t>Коэффициент использования электрической мощности</t>
  </si>
  <si>
    <t>Цена электроэнергии, руб./кВт∙ч</t>
  </si>
  <si>
    <t>5 Расчёт затрат на амортизационные отчисления</t>
  </si>
  <si>
    <t>Период проекта, месяцев</t>
  </si>
  <si>
    <t>Наименование оборудования</t>
  </si>
  <si>
    <t>Стоимость оборудования, тыс. руб.</t>
  </si>
  <si>
    <t>Норма амортизации, %</t>
  </si>
  <si>
    <t>Амортизационные отчисления в год, руб.</t>
  </si>
  <si>
    <t>Амортизационные отчисления на период проекта, руб.</t>
  </si>
  <si>
    <t>Затраты на аттестацию, обучение и пр., руб.</t>
  </si>
  <si>
    <t>Компьютер         HP 460-p235</t>
  </si>
  <si>
    <t>Всего:</t>
  </si>
  <si>
    <t>6 Расчет энергозатрат на проведение проекта</t>
  </si>
  <si>
    <t>Тип оборудования</t>
  </si>
  <si>
    <t>Установленная мощность, кВт</t>
  </si>
  <si>
    <t>Время работы, ч/месяц</t>
  </si>
  <si>
    <t>Коэффициент использования мощности</t>
  </si>
  <si>
    <t>Цена, руб./кВт∙ч</t>
  </si>
  <si>
    <t>Сумма затрат, руб.</t>
  </si>
  <si>
    <t>Принтер Canon i-Sensys LBP113w</t>
  </si>
  <si>
    <t>Итого:</t>
  </si>
  <si>
    <t>7 Расчет затрат на разработку проекта</t>
  </si>
  <si>
    <t>Наименование статьи затрат</t>
  </si>
  <si>
    <t>Сумма, руб.</t>
  </si>
  <si>
    <t>% к итогу</t>
  </si>
  <si>
    <t>1 Материалы</t>
  </si>
  <si>
    <t>2 Энергозатраты</t>
  </si>
  <si>
    <t>3 Затраты на оплату труда персонала</t>
  </si>
  <si>
    <t>4 Страховые взносы в фонд социальной защиты населения (34% от п.3)</t>
  </si>
  <si>
    <t>5 Обязательное государственное страхование (0,5% от п.3)</t>
  </si>
  <si>
    <t>6 Амортизационные отчисления</t>
  </si>
  <si>
    <t>7 Затраты на аттестацию, обучение и пр.</t>
  </si>
  <si>
    <t>8 Накладные расходы (50% от (п. 3+п.4+п.5))</t>
  </si>
  <si>
    <t>Затраты на разработку проекта</t>
  </si>
  <si>
    <t>Методические указания</t>
  </si>
  <si>
    <t>1. На основании таблицы с исходными данными, заполнить последовательно все таблицы (1-6), рассчитатав сумму затрат на разработку дизайн-проекта (таблица 7)</t>
  </si>
  <si>
    <t>2. Рассчитываются материальные затраты на проект как произведение нормы расхода на цену материала</t>
  </si>
  <si>
    <t>3. Рассчитывается эффективный фонд времени одного среднесписочного работника в соответствии с указаниями таблицы "Баланс рабочего времени среднесписочного работника"</t>
  </si>
  <si>
    <t>4. Исходя из заданного должностного оклада определяется фонд оплаты труда работников проекта за месяц.</t>
  </si>
  <si>
    <t>Премия и надбавка за стаж рассчитывается от должностного оклада</t>
  </si>
  <si>
    <t>Доплаты за выход в ночное время определяются исходя из заданного процента доплат и времени выхода сотрудников в ночное время</t>
  </si>
  <si>
    <t>Доплаты за вредность рассчитываются от должностного оклада</t>
  </si>
  <si>
    <t>Основная заработная плата включает оклад плюс премию за выполнение установленных показателей, доплат за стаж и ночное время</t>
  </si>
  <si>
    <t>Процент дополнительной заработной платы (α) может быть определен укрупненно на основании баланса рабочего времени одного среднесписочного рабочего путем деления количества дней планируемых невыходов на работу за исключением невыходов по болезни и декретным отпускам (Тневых) на эффективный фонд времени в днях (Траб) и умножением на 100%.</t>
  </si>
  <si>
    <t>5. Часовая тарифная ставка рассчитывается делением месячного фонда оплаты труда на эффективный фонд времени в часах</t>
  </si>
  <si>
    <t>6. Продолжительность работ по проекту в часах:</t>
  </si>
  <si>
    <t>Тэф(дней)/12*Продолжительность работ над документами*Количество месяцев проекта</t>
  </si>
  <si>
    <t>7. Затраты на оплату труда при разработке проекта:</t>
  </si>
  <si>
    <t>Продолжительность работ по проекту*Часовая тарифная ставка</t>
  </si>
  <si>
    <t>8. При расчете амортизированных отчислений учесть количество месяцев проекта</t>
  </si>
  <si>
    <t>9. Сумма энергозатрат на проведение проекта опрелеляется</t>
  </si>
  <si>
    <t>мощности *время работы оборудования * коэффициент использования по мощности * тариф</t>
  </si>
  <si>
    <t>10. На основании предыдущих расчетов заполняется таблица 7, определяется структура затрат на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</si>
</sst>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1"/>
      <color rgb="FFCC0000"/>
      <name val="Calibri"/>
      <family val="2"/>
      <charset val="204"/>
    </font>
    <font>
      <i/>
      <sz val="11"/>
      <color rgb="FF808080"/>
      <name val="Calibri"/>
      <family val="2"/>
      <charset val="204"/>
    </font>
    <font>
      <sz val="11"/>
      <color rgb="FF006600"/>
      <name val="Calibri"/>
      <family val="2"/>
      <charset val="204"/>
    </font>
    <font>
      <b/>
      <sz val="24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u/>
      <sz val="11"/>
      <color rgb="FF0000EE"/>
      <name val="Calibri"/>
      <family val="2"/>
      <charset val="204"/>
    </font>
    <font>
      <sz val="11"/>
      <color rgb="FF996600"/>
      <name val="Calibri"/>
      <family val="2"/>
      <charset val="204"/>
    </font>
    <font>
      <sz val="11"/>
      <color rgb="FF333333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b/>
      <i/>
      <sz val="16"/>
      <color rgb="FFC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4"/>
      <color rgb="FFC00000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AE3F3"/>
        <bgColor rgb="FFDAE3F3"/>
      </patternFill>
    </fill>
    <fill>
      <patternFill patternType="solid">
        <fgColor rgb="FFFFCCFF"/>
        <bgColor rgb="FFFFCCFF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55">
    <xf numFmtId="0" fontId="0" fillId="0" borderId="0" xfId="0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justify" vertical="center"/>
    </xf>
    <xf numFmtId="0" fontId="16" fillId="0" borderId="0" xfId="0" applyFont="1"/>
    <xf numFmtId="0" fontId="0" fillId="9" borderId="2" xfId="0" applyFill="1" applyBorder="1" applyAlignment="1">
      <alignment vertical="center" wrapText="1"/>
    </xf>
    <xf numFmtId="0" fontId="0" fillId="9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7" fillId="9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9" borderId="2" xfId="0" applyFont="1" applyFill="1" applyBorder="1" applyAlignment="1">
      <alignment horizontal="left" vertical="center" wrapText="1"/>
    </xf>
    <xf numFmtId="0" fontId="0" fillId="11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0" borderId="2" xfId="0" applyFill="1" applyBorder="1" applyAlignment="1">
      <alignment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left" vertical="center" wrapText="1"/>
    </xf>
    <xf numFmtId="0" fontId="20" fillId="9" borderId="2" xfId="0" applyFont="1" applyFill="1" applyBorder="1" applyAlignment="1">
      <alignment horizontal="left"/>
    </xf>
    <xf numFmtId="164" fontId="0" fillId="10" borderId="2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13" borderId="2" xfId="0" applyNumberFormat="1" applyFill="1" applyBorder="1" applyAlignment="1">
      <alignment horizontal="center" vertical="center" wrapText="1"/>
    </xf>
    <xf numFmtId="0" fontId="21" fillId="9" borderId="2" xfId="0" applyFont="1" applyFill="1" applyBorder="1" applyAlignment="1">
      <alignment horizontal="left" vertical="center" wrapText="1"/>
    </xf>
    <xf numFmtId="0" fontId="0" fillId="9" borderId="2" xfId="0" applyFill="1" applyBorder="1" applyAlignment="1">
      <alignment horizontal="left"/>
    </xf>
    <xf numFmtId="164" fontId="2" fillId="13" borderId="2" xfId="0" applyNumberFormat="1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0" fontId="21" fillId="9" borderId="2" xfId="0" applyFont="1" applyFill="1" applyBorder="1" applyAlignment="1">
      <alignment vertical="center" wrapText="1"/>
    </xf>
    <xf numFmtId="164" fontId="2" fillId="13" borderId="2" xfId="0" applyNumberFormat="1" applyFont="1" applyFill="1" applyBorder="1" applyAlignment="1">
      <alignment vertical="center" wrapText="1"/>
    </xf>
    <xf numFmtId="0" fontId="21" fillId="9" borderId="2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2" xfId="0" applyFont="1" applyBorder="1" applyAlignment="1">
      <alignment horizontal="center" vertical="center" wrapText="1"/>
    </xf>
    <xf numFmtId="2" fontId="21" fillId="13" borderId="2" xfId="0" applyNumberFormat="1" applyFont="1" applyFill="1" applyBorder="1" applyAlignment="1">
      <alignment horizontal="center" vertical="center" wrapText="1"/>
    </xf>
    <xf numFmtId="2" fontId="9" fillId="13" borderId="2" xfId="0" applyNumberFormat="1" applyFont="1" applyFill="1" applyBorder="1" applyAlignment="1">
      <alignment horizontal="center" vertical="center" wrapText="1"/>
    </xf>
    <xf numFmtId="164" fontId="21" fillId="13" borderId="2" xfId="0" applyNumberFormat="1" applyFont="1" applyFill="1" applyBorder="1" applyAlignment="1">
      <alignment horizontal="center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164" fontId="16" fillId="13" borderId="2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0" fillId="9" borderId="0" xfId="0" applyFill="1" applyAlignment="1">
      <alignment wrapText="1"/>
    </xf>
    <xf numFmtId="0" fontId="0" fillId="0" borderId="0" xfId="0" applyAlignment="1">
      <alignment wrapText="1"/>
    </xf>
    <xf numFmtId="0" fontId="0" fillId="13" borderId="0" xfId="0" applyFill="1" applyAlignment="1">
      <alignment wrapText="1"/>
    </xf>
    <xf numFmtId="0" fontId="16" fillId="0" borderId="3" xfId="0" applyFont="1" applyBorder="1" applyAlignment="1">
      <alignment horizontal="left" vertical="center"/>
    </xf>
    <xf numFmtId="0" fontId="21" fillId="0" borderId="2" xfId="0" applyFont="1" applyBorder="1" applyAlignment="1">
      <alignment vertical="center" wrapText="1"/>
    </xf>
    <xf numFmtId="0" fontId="17" fillId="9" borderId="2" xfId="0" applyFont="1" applyFill="1" applyBorder="1" applyAlignment="1">
      <alignment horizontal="center" vertical="top" wrapText="1"/>
    </xf>
    <xf numFmtId="0" fontId="18" fillId="9" borderId="2" xfId="0" applyFont="1" applyFill="1" applyBorder="1" applyAlignment="1">
      <alignment horizontal="center" vertical="top" wrapText="1"/>
    </xf>
    <xf numFmtId="0" fontId="21" fillId="0" borderId="3" xfId="0" applyFont="1" applyBorder="1" applyAlignment="1">
      <alignment horizontal="center" vertical="center"/>
    </xf>
    <xf numFmtId="0" fontId="0" fillId="9" borderId="2" xfId="0" applyFill="1" applyBorder="1" applyAlignment="1">
      <alignment vertical="center" wrapText="1"/>
    </xf>
    <xf numFmtId="0" fontId="0" fillId="9" borderId="2" xfId="0" applyFill="1" applyBorder="1" applyAlignment="1">
      <alignment horizontal="center" vertical="center" wrapText="1"/>
    </xf>
  </cellXfs>
  <cellStyles count="19">
    <cellStyle name="Accent" xfId="1" xr:uid="{CCCC5ED0-9271-4FA7-8B6C-61E15DEA99AA}"/>
    <cellStyle name="Accent 1" xfId="2" xr:uid="{A7F6B280-B276-42A1-AA07-B49CAA006B46}"/>
    <cellStyle name="Accent 2" xfId="3" xr:uid="{0A53CC9C-D9FB-4495-B26A-EBD8DB8F8A80}"/>
    <cellStyle name="Accent 3" xfId="4" xr:uid="{B0BA559F-6763-4DA0-BC22-A8F2B40448D4}"/>
    <cellStyle name="Bad" xfId="5" xr:uid="{7532D0C7-FFBA-4271-BEFE-68B29C55EE08}"/>
    <cellStyle name="Error" xfId="6" xr:uid="{A4FA4F31-4268-4F7E-AB48-755AED5220C3}"/>
    <cellStyle name="Footnote" xfId="7" xr:uid="{4BD34633-D7C4-49CB-9673-C43B0BB6AD43}"/>
    <cellStyle name="Good" xfId="8" xr:uid="{E3A50D76-5043-4217-B712-F432A691E01A}"/>
    <cellStyle name="Heading" xfId="9" xr:uid="{9D50A83A-9F9B-48FC-AEEC-4AB045B77BAD}"/>
    <cellStyle name="Heading 1" xfId="10" xr:uid="{8EBFEBC2-835E-4F0A-AEA5-6C2BA935BFA0}"/>
    <cellStyle name="Heading 2" xfId="11" xr:uid="{70E960A9-7603-4CF1-887C-29E9FF46DFD4}"/>
    <cellStyle name="Hyperlink" xfId="12" xr:uid="{60E3AA0A-3DB3-400C-9902-CFE06B0EFAD0}"/>
    <cellStyle name="Neutral" xfId="13" xr:uid="{D06245F3-B209-4F36-AF60-DED968352B05}"/>
    <cellStyle name="Note" xfId="14" xr:uid="{40D635A3-95FF-45F4-818F-4587893D0D4C}"/>
    <cellStyle name="Result" xfId="15" xr:uid="{464B2523-45D3-407D-AF3F-3197A992E9A2}"/>
    <cellStyle name="Status" xfId="16" xr:uid="{84BDADFC-AE7A-4377-BBD9-4C4BD418323C}"/>
    <cellStyle name="Text" xfId="17" xr:uid="{25E052B2-21B2-412B-B0C3-2BCFD735C3E8}"/>
    <cellStyle name="Warning" xfId="18" xr:uid="{AE4FDD57-CB2B-4BAF-87D2-29453C51759D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1F40-7E64-4301-BECD-3177975D2C4C}">
  <dimension ref="A1:R68"/>
  <sheetViews>
    <sheetView tabSelected="1" topLeftCell="A28" zoomScale="91" workbookViewId="0">
      <selection activeCell="B42" sqref="B42"/>
    </sheetView>
  </sheetViews>
  <sheetFormatPr defaultRowHeight="14.4" x14ac:dyDescent="0.3"/>
  <cols>
    <col min="1" max="1" width="61.44140625" customWidth="1"/>
    <col min="2" max="2" width="18.109375" customWidth="1"/>
    <col min="3" max="3" width="21.21875" customWidth="1"/>
    <col min="4" max="4" width="23.21875" customWidth="1"/>
    <col min="5" max="5" width="17.109375" customWidth="1"/>
    <col min="6" max="6" width="16.6640625" customWidth="1"/>
    <col min="7" max="7" width="11.44140625" customWidth="1"/>
    <col min="8" max="8" width="48.88671875" customWidth="1"/>
    <col min="9" max="1024" width="11.44140625" customWidth="1"/>
    <col min="1025" max="1025" width="8.88671875" customWidth="1"/>
  </cols>
  <sheetData>
    <row r="1" spans="1:18" ht="21" x14ac:dyDescent="0.4">
      <c r="A1" s="1" t="s">
        <v>0</v>
      </c>
      <c r="B1" s="2"/>
      <c r="C1" s="2"/>
    </row>
    <row r="2" spans="1:18" ht="18" x14ac:dyDescent="0.35">
      <c r="A2" s="3" t="s">
        <v>1</v>
      </c>
      <c r="H2" s="4" t="s">
        <v>2</v>
      </c>
    </row>
    <row r="3" spans="1:18" ht="52.5" customHeight="1" x14ac:dyDescent="0.3">
      <c r="A3" s="5" t="s">
        <v>3</v>
      </c>
      <c r="B3" s="6" t="s">
        <v>4</v>
      </c>
      <c r="C3" s="6" t="s">
        <v>5</v>
      </c>
      <c r="D3" s="6" t="s">
        <v>6</v>
      </c>
      <c r="E3" s="7"/>
      <c r="H3" s="50" t="s">
        <v>7</v>
      </c>
      <c r="I3" s="51" t="s">
        <v>8</v>
      </c>
      <c r="J3" s="51"/>
      <c r="K3" s="51"/>
      <c r="L3" s="51"/>
      <c r="M3" s="51"/>
      <c r="N3" s="51"/>
      <c r="O3" s="51"/>
      <c r="P3" s="51"/>
      <c r="Q3" s="51"/>
      <c r="R3" s="51"/>
    </row>
    <row r="4" spans="1:18" x14ac:dyDescent="0.3">
      <c r="A4" s="9" t="s">
        <v>9</v>
      </c>
      <c r="B4" s="10">
        <f>N6</f>
        <v>2.5</v>
      </c>
      <c r="C4" s="10">
        <f>N9</f>
        <v>19.8</v>
      </c>
      <c r="D4" s="11">
        <f>B4*C4</f>
        <v>49.5</v>
      </c>
      <c r="E4" s="12"/>
      <c r="H4" s="50"/>
      <c r="I4" s="8">
        <v>1</v>
      </c>
      <c r="J4" s="8">
        <v>2</v>
      </c>
      <c r="K4" s="8">
        <v>3</v>
      </c>
      <c r="L4" s="8">
        <v>4</v>
      </c>
      <c r="M4" s="8">
        <v>5</v>
      </c>
      <c r="N4" s="8">
        <v>6</v>
      </c>
      <c r="O4" s="8">
        <v>7</v>
      </c>
      <c r="P4" s="8">
        <v>8</v>
      </c>
      <c r="Q4" s="8">
        <v>9</v>
      </c>
      <c r="R4" s="8">
        <v>10</v>
      </c>
    </row>
    <row r="5" spans="1:18" x14ac:dyDescent="0.3">
      <c r="A5" s="9" t="s">
        <v>10</v>
      </c>
      <c r="B5" s="10">
        <f>N7</f>
        <v>1</v>
      </c>
      <c r="C5" s="10">
        <f>N10</f>
        <v>13.1</v>
      </c>
      <c r="D5" s="11">
        <f>B5*C5</f>
        <v>13.1</v>
      </c>
      <c r="E5" s="12"/>
      <c r="H5" s="13" t="s">
        <v>11</v>
      </c>
      <c r="I5" s="14"/>
      <c r="J5" s="15"/>
      <c r="K5" s="15"/>
      <c r="L5" s="15"/>
      <c r="M5" s="15"/>
      <c r="N5" s="16"/>
      <c r="O5" s="15"/>
      <c r="P5" s="15"/>
      <c r="Q5" s="15"/>
      <c r="R5" s="15"/>
    </row>
    <row r="6" spans="1:18" x14ac:dyDescent="0.3">
      <c r="A6" s="17" t="s">
        <v>12</v>
      </c>
      <c r="B6" s="11"/>
      <c r="C6" s="11"/>
      <c r="D6" s="18">
        <f>D5+D4</f>
        <v>62.6</v>
      </c>
      <c r="E6" s="12"/>
      <c r="H6" s="19" t="s">
        <v>9</v>
      </c>
      <c r="I6" s="14">
        <v>2</v>
      </c>
      <c r="J6" s="15">
        <v>3.5</v>
      </c>
      <c r="K6" s="15">
        <v>2.5</v>
      </c>
      <c r="L6" s="15">
        <v>3</v>
      </c>
      <c r="M6" s="15">
        <v>4</v>
      </c>
      <c r="N6" s="16">
        <v>2.5</v>
      </c>
      <c r="O6" s="15">
        <v>3</v>
      </c>
      <c r="P6" s="15">
        <v>3.5</v>
      </c>
      <c r="Q6" s="15">
        <v>4</v>
      </c>
      <c r="R6" s="15">
        <v>4.5</v>
      </c>
    </row>
    <row r="7" spans="1:18" ht="18.75" customHeight="1" x14ac:dyDescent="0.3">
      <c r="H7" s="19" t="s">
        <v>10</v>
      </c>
      <c r="I7" s="14">
        <v>1</v>
      </c>
      <c r="J7" s="15">
        <v>1</v>
      </c>
      <c r="K7" s="15">
        <v>1.5</v>
      </c>
      <c r="L7" s="15">
        <v>1</v>
      </c>
      <c r="M7" s="15">
        <v>1.5</v>
      </c>
      <c r="N7" s="16">
        <v>1</v>
      </c>
      <c r="O7" s="15">
        <v>1.5</v>
      </c>
      <c r="P7" s="15">
        <v>1</v>
      </c>
      <c r="Q7" s="15">
        <v>2</v>
      </c>
      <c r="R7" s="15">
        <v>1.5</v>
      </c>
    </row>
    <row r="8" spans="1:18" ht="18" x14ac:dyDescent="0.3">
      <c r="A8" s="3" t="s">
        <v>13</v>
      </c>
      <c r="H8" s="20" t="s">
        <v>14</v>
      </c>
      <c r="I8" s="14"/>
      <c r="J8" s="15"/>
      <c r="K8" s="15"/>
      <c r="L8" s="15"/>
      <c r="M8" s="15"/>
      <c r="N8" s="16"/>
      <c r="O8" s="15"/>
      <c r="P8" s="15"/>
      <c r="Q8" s="15"/>
      <c r="R8" s="15"/>
    </row>
    <row r="9" spans="1:18" ht="15.6" x14ac:dyDescent="0.3">
      <c r="A9" s="52" t="s">
        <v>15</v>
      </c>
      <c r="B9" s="52"/>
      <c r="H9" s="19" t="s">
        <v>9</v>
      </c>
      <c r="I9" s="14">
        <v>17.899999999999999</v>
      </c>
      <c r="J9" s="15">
        <v>20</v>
      </c>
      <c r="K9" s="15">
        <v>19.600000000000001</v>
      </c>
      <c r="L9" s="15">
        <v>18</v>
      </c>
      <c r="M9" s="15">
        <v>20.5</v>
      </c>
      <c r="N9" s="16">
        <v>19.8</v>
      </c>
      <c r="O9" s="15">
        <v>22</v>
      </c>
      <c r="P9" s="15">
        <v>21.3</v>
      </c>
      <c r="Q9" s="15">
        <v>18.7</v>
      </c>
      <c r="R9" s="15">
        <v>19.100000000000001</v>
      </c>
    </row>
    <row r="10" spans="1:18" ht="18.75" customHeight="1" x14ac:dyDescent="0.3">
      <c r="A10" s="6" t="s">
        <v>16</v>
      </c>
      <c r="B10" s="6" t="s">
        <v>17</v>
      </c>
      <c r="H10" s="19" t="s">
        <v>10</v>
      </c>
      <c r="I10" s="14">
        <v>10.1</v>
      </c>
      <c r="J10" s="15">
        <v>12.3</v>
      </c>
      <c r="K10" s="15">
        <v>14.5</v>
      </c>
      <c r="L10" s="15">
        <v>13.4</v>
      </c>
      <c r="M10" s="15">
        <v>14</v>
      </c>
      <c r="N10" s="16">
        <v>13.1</v>
      </c>
      <c r="O10" s="15">
        <v>11.5</v>
      </c>
      <c r="P10" s="15">
        <v>12.3</v>
      </c>
      <c r="Q10" s="15">
        <v>13.5</v>
      </c>
      <c r="R10" s="15">
        <v>12.4</v>
      </c>
    </row>
    <row r="11" spans="1:18" x14ac:dyDescent="0.3">
      <c r="A11" s="9" t="s">
        <v>18</v>
      </c>
      <c r="B11" s="10">
        <v>365</v>
      </c>
      <c r="H11" s="19" t="s">
        <v>19</v>
      </c>
      <c r="I11" s="14">
        <v>110</v>
      </c>
      <c r="J11" s="15">
        <v>109</v>
      </c>
      <c r="K11" s="15">
        <v>112</v>
      </c>
      <c r="L11" s="15">
        <v>108</v>
      </c>
      <c r="M11" s="15">
        <v>113</v>
      </c>
      <c r="N11" s="16">
        <v>109</v>
      </c>
      <c r="O11" s="15">
        <v>111</v>
      </c>
      <c r="P11" s="15">
        <v>108</v>
      </c>
      <c r="Q11" s="15">
        <v>110</v>
      </c>
      <c r="R11" s="15">
        <v>112</v>
      </c>
    </row>
    <row r="12" spans="1:18" x14ac:dyDescent="0.3">
      <c r="A12" s="9" t="s">
        <v>20</v>
      </c>
      <c r="B12" s="10">
        <f>N11</f>
        <v>109</v>
      </c>
      <c r="H12" s="13" t="s">
        <v>21</v>
      </c>
      <c r="I12" s="14"/>
      <c r="J12" s="15"/>
      <c r="K12" s="15"/>
      <c r="L12" s="15"/>
      <c r="M12" s="15"/>
      <c r="N12" s="16"/>
      <c r="O12" s="15"/>
      <c r="P12" s="15"/>
      <c r="Q12" s="15"/>
      <c r="R12" s="15"/>
    </row>
    <row r="13" spans="1:18" x14ac:dyDescent="0.3">
      <c r="A13" s="9" t="s">
        <v>22</v>
      </c>
      <c r="B13" s="11">
        <f>B11-B12</f>
        <v>256</v>
      </c>
      <c r="H13" s="19" t="s">
        <v>23</v>
      </c>
      <c r="I13" s="14">
        <v>28</v>
      </c>
      <c r="J13" s="15">
        <v>26</v>
      </c>
      <c r="K13" s="15">
        <v>29</v>
      </c>
      <c r="L13" s="15">
        <v>30</v>
      </c>
      <c r="M13" s="15">
        <v>28</v>
      </c>
      <c r="N13" s="16">
        <v>30</v>
      </c>
      <c r="O13" s="15">
        <v>26</v>
      </c>
      <c r="P13" s="15">
        <v>27</v>
      </c>
      <c r="Q13" s="15">
        <v>28</v>
      </c>
      <c r="R13" s="15">
        <v>30</v>
      </c>
    </row>
    <row r="14" spans="1:18" x14ac:dyDescent="0.3">
      <c r="A14" s="9" t="s">
        <v>24</v>
      </c>
      <c r="B14" s="11">
        <f>N13+N14+N15+N16+N17</f>
        <v>35</v>
      </c>
      <c r="H14" s="19" t="s">
        <v>25</v>
      </c>
      <c r="I14" s="14">
        <v>1</v>
      </c>
      <c r="J14" s="15">
        <v>1.5</v>
      </c>
      <c r="K14" s="15">
        <v>2</v>
      </c>
      <c r="L14" s="15">
        <v>0</v>
      </c>
      <c r="M14" s="15">
        <v>1</v>
      </c>
      <c r="N14" s="16">
        <v>1.5</v>
      </c>
      <c r="O14" s="15">
        <v>2</v>
      </c>
      <c r="P14" s="15">
        <v>1.5</v>
      </c>
      <c r="Q14" s="15">
        <v>1</v>
      </c>
      <c r="R14" s="15">
        <v>0</v>
      </c>
    </row>
    <row r="15" spans="1:18" x14ac:dyDescent="0.3">
      <c r="A15" s="9" t="s">
        <v>26</v>
      </c>
      <c r="B15" s="10">
        <f>N13</f>
        <v>30</v>
      </c>
      <c r="H15" s="19" t="s">
        <v>27</v>
      </c>
      <c r="I15" s="14">
        <v>3</v>
      </c>
      <c r="J15" s="15">
        <v>2</v>
      </c>
      <c r="K15" s="15">
        <v>1.5</v>
      </c>
      <c r="L15" s="15">
        <v>1</v>
      </c>
      <c r="M15" s="15">
        <v>1</v>
      </c>
      <c r="N15" s="16">
        <v>1.5</v>
      </c>
      <c r="O15" s="15">
        <v>1</v>
      </c>
      <c r="P15" s="15">
        <v>2</v>
      </c>
      <c r="Q15" s="15">
        <v>2.5</v>
      </c>
      <c r="R15" s="15">
        <v>1</v>
      </c>
    </row>
    <row r="16" spans="1:18" ht="28.8" x14ac:dyDescent="0.3">
      <c r="A16" s="9" t="s">
        <v>28</v>
      </c>
      <c r="B16" s="10">
        <f>N14</f>
        <v>1.5</v>
      </c>
      <c r="H16" s="19" t="s">
        <v>29</v>
      </c>
      <c r="I16" s="14">
        <v>1</v>
      </c>
      <c r="J16" s="15">
        <v>0</v>
      </c>
      <c r="K16" s="15">
        <v>1</v>
      </c>
      <c r="L16" s="15">
        <v>1</v>
      </c>
      <c r="M16" s="15">
        <v>1</v>
      </c>
      <c r="N16" s="16">
        <v>1.5</v>
      </c>
      <c r="O16" s="15">
        <v>0</v>
      </c>
      <c r="P16" s="15">
        <v>1</v>
      </c>
      <c r="Q16" s="15">
        <v>1.5</v>
      </c>
      <c r="R16" s="15">
        <v>1</v>
      </c>
    </row>
    <row r="17" spans="1:18" x14ac:dyDescent="0.3">
      <c r="A17" s="9" t="s">
        <v>30</v>
      </c>
      <c r="B17" s="10">
        <f>N15</f>
        <v>1.5</v>
      </c>
      <c r="H17" s="19" t="s">
        <v>31</v>
      </c>
      <c r="I17" s="14">
        <v>1</v>
      </c>
      <c r="J17" s="15">
        <v>1</v>
      </c>
      <c r="K17" s="15">
        <v>0.5</v>
      </c>
      <c r="L17" s="15">
        <v>1</v>
      </c>
      <c r="M17" s="15">
        <v>0</v>
      </c>
      <c r="N17" s="16">
        <v>0.5</v>
      </c>
      <c r="O17" s="15">
        <v>1.5</v>
      </c>
      <c r="P17" s="15">
        <v>1</v>
      </c>
      <c r="Q17" s="15">
        <v>1</v>
      </c>
      <c r="R17" s="15">
        <v>0.5</v>
      </c>
    </row>
    <row r="18" spans="1:18" x14ac:dyDescent="0.3">
      <c r="A18" s="9" t="s">
        <v>32</v>
      </c>
      <c r="B18" s="10">
        <f>N16</f>
        <v>1.5</v>
      </c>
      <c r="H18" s="19" t="s">
        <v>33</v>
      </c>
      <c r="I18" s="14">
        <v>8</v>
      </c>
      <c r="J18" s="15">
        <v>8</v>
      </c>
      <c r="K18" s="15">
        <v>7.8</v>
      </c>
      <c r="L18" s="15">
        <v>7.9</v>
      </c>
      <c r="M18" s="15">
        <v>8</v>
      </c>
      <c r="N18" s="16">
        <v>8</v>
      </c>
      <c r="O18" s="15">
        <v>7.9</v>
      </c>
      <c r="P18" s="15">
        <v>7.8</v>
      </c>
      <c r="Q18" s="15">
        <v>8</v>
      </c>
      <c r="R18" s="15">
        <v>7.9</v>
      </c>
    </row>
    <row r="19" spans="1:18" x14ac:dyDescent="0.3">
      <c r="A19" s="9" t="s">
        <v>34</v>
      </c>
      <c r="B19" s="10">
        <f>N17</f>
        <v>0.5</v>
      </c>
      <c r="H19" s="19" t="s">
        <v>35</v>
      </c>
      <c r="I19" s="14"/>
      <c r="J19" s="15"/>
      <c r="K19" s="15"/>
      <c r="L19" s="15"/>
      <c r="M19" s="15"/>
      <c r="N19" s="16"/>
      <c r="O19" s="15"/>
      <c r="P19" s="15"/>
      <c r="Q19" s="15"/>
      <c r="R19" s="15"/>
    </row>
    <row r="20" spans="1:18" x14ac:dyDescent="0.3">
      <c r="A20" s="9" t="s">
        <v>36</v>
      </c>
      <c r="B20" s="11">
        <f>B13-B14</f>
        <v>221</v>
      </c>
      <c r="H20" s="19" t="s">
        <v>37</v>
      </c>
      <c r="I20" s="14">
        <v>1076.5999999999999</v>
      </c>
      <c r="J20" s="15">
        <v>1200.5999999999999</v>
      </c>
      <c r="K20" s="15">
        <v>1340</v>
      </c>
      <c r="L20" s="15">
        <v>1600</v>
      </c>
      <c r="M20" s="15">
        <v>1350</v>
      </c>
      <c r="N20" s="16">
        <v>1540</v>
      </c>
      <c r="O20" s="15">
        <v>1610.3</v>
      </c>
      <c r="P20" s="15">
        <v>1420.8</v>
      </c>
      <c r="Q20" s="15">
        <v>1300.7</v>
      </c>
      <c r="R20" s="15">
        <v>1270.5</v>
      </c>
    </row>
    <row r="21" spans="1:18" x14ac:dyDescent="0.3">
      <c r="A21" s="9" t="s">
        <v>38</v>
      </c>
      <c r="B21" s="11">
        <f>B20*M18</f>
        <v>1768</v>
      </c>
      <c r="H21" s="19" t="s">
        <v>39</v>
      </c>
      <c r="I21" s="14">
        <v>914.5</v>
      </c>
      <c r="J21" s="15">
        <v>1140.7</v>
      </c>
      <c r="K21" s="15">
        <v>1063.5</v>
      </c>
      <c r="L21" s="15">
        <v>1240.8</v>
      </c>
      <c r="M21" s="15">
        <v>1140.4000000000001</v>
      </c>
      <c r="N21" s="16">
        <v>1370.9</v>
      </c>
      <c r="O21" s="15">
        <v>1450.3</v>
      </c>
      <c r="P21" s="15">
        <v>1200.7</v>
      </c>
      <c r="Q21" s="15">
        <v>1240.5</v>
      </c>
      <c r="R21" s="15">
        <v>1180.9000000000001</v>
      </c>
    </row>
    <row r="22" spans="1:18" x14ac:dyDescent="0.3">
      <c r="A22" s="9" t="s">
        <v>40</v>
      </c>
      <c r="B22" s="21">
        <f>B21/12</f>
        <v>147.33333333333334</v>
      </c>
      <c r="H22" s="19" t="s">
        <v>41</v>
      </c>
      <c r="I22" s="14">
        <v>45</v>
      </c>
      <c r="J22" s="15">
        <v>50</v>
      </c>
      <c r="K22" s="15">
        <v>35</v>
      </c>
      <c r="L22" s="15">
        <v>40</v>
      </c>
      <c r="M22" s="15">
        <v>50</v>
      </c>
      <c r="N22" s="16">
        <v>60</v>
      </c>
      <c r="O22" s="15">
        <v>35</v>
      </c>
      <c r="P22" s="15">
        <v>45</v>
      </c>
      <c r="Q22" s="15">
        <v>50</v>
      </c>
      <c r="R22" s="15">
        <v>55</v>
      </c>
    </row>
    <row r="23" spans="1:18" x14ac:dyDescent="0.3">
      <c r="A23" s="22"/>
      <c r="B23" s="7"/>
      <c r="H23" s="19" t="s">
        <v>42</v>
      </c>
      <c r="I23" s="14">
        <v>15</v>
      </c>
      <c r="J23" s="15">
        <v>10</v>
      </c>
      <c r="K23" s="15">
        <v>13</v>
      </c>
      <c r="L23" s="15">
        <v>11</v>
      </c>
      <c r="M23" s="15">
        <v>10</v>
      </c>
      <c r="N23" s="16">
        <v>9.5</v>
      </c>
      <c r="O23" s="15">
        <v>11</v>
      </c>
      <c r="P23" s="15">
        <v>12</v>
      </c>
      <c r="Q23" s="15">
        <v>12.5</v>
      </c>
      <c r="R23" s="15">
        <v>14</v>
      </c>
    </row>
    <row r="24" spans="1:18" ht="18" x14ac:dyDescent="0.3">
      <c r="A24" s="48" t="s">
        <v>43</v>
      </c>
      <c r="B24" s="48"/>
      <c r="C24" s="48"/>
      <c r="H24" s="19" t="s">
        <v>44</v>
      </c>
      <c r="I24" s="14">
        <v>40</v>
      </c>
      <c r="J24" s="15">
        <v>40</v>
      </c>
      <c r="K24" s="15">
        <v>35</v>
      </c>
      <c r="L24" s="15">
        <v>35</v>
      </c>
      <c r="M24" s="15">
        <v>40</v>
      </c>
      <c r="N24" s="16">
        <v>35</v>
      </c>
      <c r="O24" s="15">
        <v>40</v>
      </c>
      <c r="P24" s="15">
        <v>35</v>
      </c>
      <c r="Q24" s="15">
        <v>40</v>
      </c>
      <c r="R24" s="15">
        <v>40</v>
      </c>
    </row>
    <row r="25" spans="1:18" x14ac:dyDescent="0.3">
      <c r="A25" s="53" t="s">
        <v>45</v>
      </c>
      <c r="B25" s="54" t="s">
        <v>46</v>
      </c>
      <c r="C25" s="54"/>
      <c r="H25" s="19" t="s">
        <v>47</v>
      </c>
      <c r="I25" s="14"/>
      <c r="J25" s="15"/>
      <c r="K25" s="15"/>
      <c r="L25" s="15"/>
      <c r="M25" s="15"/>
      <c r="N25" s="16"/>
      <c r="O25" s="15"/>
      <c r="P25" s="15"/>
      <c r="Q25" s="15"/>
      <c r="R25" s="15"/>
    </row>
    <row r="26" spans="1:18" x14ac:dyDescent="0.3">
      <c r="A26" s="53"/>
      <c r="B26" s="6" t="s">
        <v>48</v>
      </c>
      <c r="C26" s="6" t="s">
        <v>49</v>
      </c>
      <c r="H26" s="19" t="s">
        <v>37</v>
      </c>
      <c r="I26" s="14">
        <v>5</v>
      </c>
      <c r="J26" s="15">
        <v>10</v>
      </c>
      <c r="K26" s="15">
        <v>9</v>
      </c>
      <c r="L26" s="15">
        <v>8</v>
      </c>
      <c r="M26" s="15">
        <v>24</v>
      </c>
      <c r="N26" s="16">
        <v>6</v>
      </c>
      <c r="O26" s="15">
        <v>14</v>
      </c>
      <c r="P26" s="15">
        <v>12</v>
      </c>
      <c r="Q26" s="15">
        <v>26</v>
      </c>
      <c r="R26" s="15">
        <v>18</v>
      </c>
    </row>
    <row r="27" spans="1:18" x14ac:dyDescent="0.3">
      <c r="A27" s="9" t="s">
        <v>50</v>
      </c>
      <c r="B27" s="23">
        <f>N20</f>
        <v>1540</v>
      </c>
      <c r="C27" s="23">
        <f>N21</f>
        <v>1370.9</v>
      </c>
      <c r="H27" s="19" t="s">
        <v>39</v>
      </c>
      <c r="I27" s="14">
        <v>6</v>
      </c>
      <c r="J27" s="15">
        <v>8</v>
      </c>
      <c r="K27" s="15">
        <v>12</v>
      </c>
      <c r="L27" s="15">
        <v>5</v>
      </c>
      <c r="M27" s="15">
        <v>17</v>
      </c>
      <c r="N27" s="16">
        <v>5</v>
      </c>
      <c r="O27" s="15">
        <v>12</v>
      </c>
      <c r="P27" s="15">
        <v>17</v>
      </c>
      <c r="Q27" s="15">
        <v>20</v>
      </c>
      <c r="R27" s="15">
        <v>27</v>
      </c>
    </row>
    <row r="28" spans="1:18" ht="28.8" x14ac:dyDescent="0.3">
      <c r="A28" s="9" t="s">
        <v>51</v>
      </c>
      <c r="B28" s="21">
        <f>B27*N22/100</f>
        <v>924</v>
      </c>
      <c r="C28" s="21">
        <f>N22/100*C27</f>
        <v>822.54000000000008</v>
      </c>
      <c r="H28" s="19" t="s">
        <v>52</v>
      </c>
      <c r="I28" s="14">
        <v>0.05</v>
      </c>
      <c r="J28" s="15">
        <v>7.0000000000000007E-2</v>
      </c>
      <c r="K28" s="15">
        <v>0.06</v>
      </c>
      <c r="L28" s="15">
        <v>0.09</v>
      </c>
      <c r="M28" s="15">
        <v>0.05</v>
      </c>
      <c r="N28" s="16">
        <v>0.06</v>
      </c>
      <c r="O28" s="15">
        <v>7.0000000000000007E-2</v>
      </c>
      <c r="P28" s="15">
        <v>0.04</v>
      </c>
      <c r="Q28" s="15">
        <v>0.08</v>
      </c>
      <c r="R28" s="15">
        <v>7.0000000000000007E-2</v>
      </c>
    </row>
    <row r="29" spans="1:18" x14ac:dyDescent="0.3">
      <c r="A29" s="9" t="s">
        <v>53</v>
      </c>
      <c r="B29" s="21">
        <f>B27*N23/100</f>
        <v>146.30000000000001</v>
      </c>
      <c r="C29" s="21">
        <f>C27*N23/100</f>
        <v>130.2355</v>
      </c>
      <c r="H29" s="19" t="s">
        <v>54</v>
      </c>
      <c r="I29" s="14"/>
      <c r="J29" s="15"/>
      <c r="K29" s="15"/>
      <c r="L29" s="15"/>
      <c r="M29" s="15"/>
      <c r="N29" s="16"/>
      <c r="O29" s="15"/>
      <c r="P29" s="15"/>
      <c r="Q29" s="15"/>
      <c r="R29" s="15"/>
    </row>
    <row r="30" spans="1:18" ht="13.5" customHeight="1" x14ac:dyDescent="0.3">
      <c r="A30" s="9" t="s">
        <v>55</v>
      </c>
      <c r="B30" s="21">
        <f>N26*N24/100*B27/B22</f>
        <v>21.950226244343892</v>
      </c>
      <c r="C30" s="21">
        <f>N27*N24*C27/B22/100</f>
        <v>16.283314479638012</v>
      </c>
      <c r="H30" s="19" t="s">
        <v>37</v>
      </c>
      <c r="I30" s="14">
        <v>4</v>
      </c>
      <c r="J30" s="15">
        <v>5</v>
      </c>
      <c r="K30" s="15">
        <v>6</v>
      </c>
      <c r="L30" s="15">
        <v>4</v>
      </c>
      <c r="M30" s="15">
        <v>4.5</v>
      </c>
      <c r="N30" s="16">
        <v>5</v>
      </c>
      <c r="O30" s="15">
        <v>3.5</v>
      </c>
      <c r="P30" s="15">
        <v>2.5</v>
      </c>
      <c r="Q30" s="15">
        <v>5</v>
      </c>
      <c r="R30" s="15">
        <v>4</v>
      </c>
    </row>
    <row r="31" spans="1:18" ht="24" customHeight="1" x14ac:dyDescent="0.3">
      <c r="A31" s="9" t="s">
        <v>56</v>
      </c>
      <c r="B31" s="21">
        <f>B27*N28</f>
        <v>92.399999999999991</v>
      </c>
      <c r="C31" s="21">
        <f>C27*N28</f>
        <v>82.254000000000005</v>
      </c>
      <c r="H31" s="19" t="s">
        <v>39</v>
      </c>
      <c r="I31" s="14">
        <v>2</v>
      </c>
      <c r="J31" s="15">
        <v>3.5</v>
      </c>
      <c r="K31" s="15">
        <v>4</v>
      </c>
      <c r="L31" s="15">
        <v>5.5</v>
      </c>
      <c r="M31" s="15">
        <v>4</v>
      </c>
      <c r="N31" s="16">
        <v>4.5</v>
      </c>
      <c r="O31" s="15">
        <v>3</v>
      </c>
      <c r="P31" s="15">
        <v>3.5</v>
      </c>
      <c r="Q31" s="15">
        <v>5</v>
      </c>
      <c r="R31" s="15">
        <v>2.5</v>
      </c>
    </row>
    <row r="32" spans="1:18" x14ac:dyDescent="0.3">
      <c r="A32" s="9" t="s">
        <v>57</v>
      </c>
      <c r="B32" s="21">
        <f>SUM(B27:B31)</f>
        <v>2724.6502262443441</v>
      </c>
      <c r="C32" s="21">
        <f>SUM(C27:C31)</f>
        <v>2422.2128144796384</v>
      </c>
      <c r="H32" s="19" t="s">
        <v>58</v>
      </c>
      <c r="I32" s="14"/>
      <c r="J32" s="15"/>
      <c r="K32" s="15"/>
      <c r="L32" s="15"/>
      <c r="M32" s="15"/>
      <c r="N32" s="16"/>
      <c r="O32" s="15"/>
      <c r="P32" s="15"/>
      <c r="Q32" s="15"/>
      <c r="R32" s="15"/>
    </row>
    <row r="33" spans="1:18" x14ac:dyDescent="0.3">
      <c r="A33" s="9" t="s">
        <v>59</v>
      </c>
      <c r="B33" s="21">
        <f>(B15+B18+B19)/B20*B27</f>
        <v>222.98642533936655</v>
      </c>
      <c r="C33" s="21">
        <f>(B15+B18+B19)/B20*C27</f>
        <v>198.50135746606338</v>
      </c>
      <c r="H33" s="19" t="s">
        <v>60</v>
      </c>
      <c r="I33" s="14">
        <v>1090</v>
      </c>
      <c r="J33" s="15">
        <v>1300</v>
      </c>
      <c r="K33" s="15">
        <v>1470</v>
      </c>
      <c r="L33" s="15">
        <v>1460</v>
      </c>
      <c r="M33" s="15">
        <v>1800</v>
      </c>
      <c r="N33" s="16">
        <v>1750</v>
      </c>
      <c r="O33" s="15">
        <v>1640</v>
      </c>
      <c r="P33" s="15">
        <v>1520</v>
      </c>
      <c r="Q33" s="15">
        <v>1466</v>
      </c>
      <c r="R33" s="15">
        <v>1370</v>
      </c>
    </row>
    <row r="34" spans="1:18" x14ac:dyDescent="0.3">
      <c r="A34" s="9" t="s">
        <v>61</v>
      </c>
      <c r="B34" s="21">
        <f>B32+B33</f>
        <v>2947.6366515837108</v>
      </c>
      <c r="C34" s="21">
        <f>C32+C33</f>
        <v>2620.7141719457018</v>
      </c>
      <c r="H34" s="19" t="s">
        <v>62</v>
      </c>
      <c r="I34" s="14">
        <v>624.5</v>
      </c>
      <c r="J34" s="15">
        <v>870</v>
      </c>
      <c r="K34" s="15">
        <v>900</v>
      </c>
      <c r="L34" s="15">
        <v>885</v>
      </c>
      <c r="M34" s="15">
        <v>970</v>
      </c>
      <c r="N34" s="16">
        <v>1020.3</v>
      </c>
      <c r="O34" s="15">
        <v>1000.8</v>
      </c>
      <c r="P34" s="15">
        <v>987</v>
      </c>
      <c r="Q34" s="15">
        <v>1055.4000000000001</v>
      </c>
      <c r="R34" s="15">
        <v>988</v>
      </c>
    </row>
    <row r="35" spans="1:18" ht="28.8" x14ac:dyDescent="0.3">
      <c r="A35" s="22"/>
      <c r="B35" s="24"/>
      <c r="C35" s="24"/>
      <c r="H35" s="19" t="s">
        <v>63</v>
      </c>
      <c r="I35" s="14"/>
      <c r="J35" s="15"/>
      <c r="K35" s="15"/>
      <c r="L35" s="15"/>
      <c r="M35" s="15"/>
      <c r="N35" s="16"/>
      <c r="O35" s="15"/>
      <c r="P35" s="15"/>
      <c r="Q35" s="15"/>
      <c r="R35" s="15"/>
    </row>
    <row r="36" spans="1:18" ht="18" x14ac:dyDescent="0.3">
      <c r="A36" s="48" t="s">
        <v>64</v>
      </c>
      <c r="B36" s="48"/>
      <c r="C36" s="48"/>
      <c r="H36" s="19" t="s">
        <v>60</v>
      </c>
      <c r="I36" s="14">
        <v>5</v>
      </c>
      <c r="J36" s="15">
        <v>6</v>
      </c>
      <c r="K36" s="15">
        <v>5</v>
      </c>
      <c r="L36" s="15">
        <v>6</v>
      </c>
      <c r="M36" s="15">
        <v>5</v>
      </c>
      <c r="N36" s="16">
        <v>6</v>
      </c>
      <c r="O36" s="15">
        <v>7</v>
      </c>
      <c r="P36" s="15">
        <v>5</v>
      </c>
      <c r="Q36" s="15">
        <v>6</v>
      </c>
      <c r="R36" s="15">
        <v>7</v>
      </c>
    </row>
    <row r="37" spans="1:18" ht="43.2" x14ac:dyDescent="0.3">
      <c r="A37" s="6" t="s">
        <v>65</v>
      </c>
      <c r="B37" s="6" t="s">
        <v>66</v>
      </c>
      <c r="C37" s="6" t="s">
        <v>67</v>
      </c>
      <c r="H37" s="19" t="s">
        <v>62</v>
      </c>
      <c r="I37" s="14">
        <v>8</v>
      </c>
      <c r="J37" s="15">
        <v>7</v>
      </c>
      <c r="K37" s="15">
        <v>6</v>
      </c>
      <c r="L37" s="15">
        <v>8</v>
      </c>
      <c r="M37" s="15">
        <v>9</v>
      </c>
      <c r="N37" s="16">
        <v>8</v>
      </c>
      <c r="O37" s="15">
        <v>7</v>
      </c>
      <c r="P37" s="15">
        <v>6</v>
      </c>
      <c r="Q37" s="15">
        <v>5</v>
      </c>
      <c r="R37" s="15">
        <v>6</v>
      </c>
    </row>
    <row r="38" spans="1:18" ht="15.6" x14ac:dyDescent="0.3">
      <c r="A38" s="9" t="s">
        <v>68</v>
      </c>
      <c r="B38" s="25">
        <f>B34</f>
        <v>2947.6366515837108</v>
      </c>
      <c r="C38" s="25">
        <f>C34</f>
        <v>2620.7141719457018</v>
      </c>
      <c r="H38" s="26" t="s">
        <v>69</v>
      </c>
      <c r="I38" s="14"/>
      <c r="J38" s="15"/>
      <c r="K38" s="15"/>
      <c r="L38" s="15"/>
      <c r="M38" s="15"/>
      <c r="N38" s="16"/>
      <c r="O38" s="15"/>
      <c r="P38" s="15"/>
      <c r="Q38" s="15"/>
      <c r="R38" s="15"/>
    </row>
    <row r="39" spans="1:18" x14ac:dyDescent="0.3">
      <c r="A39" s="9" t="s">
        <v>70</v>
      </c>
      <c r="B39" s="25">
        <f>B22</f>
        <v>147.33333333333334</v>
      </c>
      <c r="C39" s="25">
        <f>B22</f>
        <v>147.33333333333334</v>
      </c>
      <c r="H39" s="19" t="s">
        <v>60</v>
      </c>
      <c r="I39" s="14">
        <v>0.5</v>
      </c>
      <c r="J39" s="15">
        <v>0.6</v>
      </c>
      <c r="K39" s="15">
        <v>0.7</v>
      </c>
      <c r="L39" s="15">
        <v>0.55000000000000004</v>
      </c>
      <c r="M39" s="15">
        <v>0.6</v>
      </c>
      <c r="N39" s="16">
        <v>0.7</v>
      </c>
      <c r="O39" s="15">
        <v>0.85</v>
      </c>
      <c r="P39" s="15">
        <v>0.8</v>
      </c>
      <c r="Q39" s="15">
        <v>0.65</v>
      </c>
      <c r="R39" s="15">
        <v>0.55000000000000004</v>
      </c>
    </row>
    <row r="40" spans="1:18" x14ac:dyDescent="0.3">
      <c r="A40" s="9" t="s">
        <v>71</v>
      </c>
      <c r="B40" s="25">
        <f>B38/B39</f>
        <v>20.006583608034234</v>
      </c>
      <c r="C40" s="25">
        <f>C38/C39</f>
        <v>17.787652750762682</v>
      </c>
      <c r="H40" s="19" t="s">
        <v>62</v>
      </c>
      <c r="I40" s="14">
        <v>0.2</v>
      </c>
      <c r="J40" s="15">
        <v>0.3</v>
      </c>
      <c r="K40" s="15">
        <v>0.35</v>
      </c>
      <c r="L40" s="15">
        <v>0.4</v>
      </c>
      <c r="M40" s="15">
        <v>0.3</v>
      </c>
      <c r="N40" s="16">
        <v>0.35</v>
      </c>
      <c r="O40" s="15">
        <v>0.4</v>
      </c>
      <c r="P40" s="15">
        <v>0.5</v>
      </c>
      <c r="Q40" s="15">
        <v>0.3</v>
      </c>
      <c r="R40" s="15">
        <v>0.4</v>
      </c>
    </row>
    <row r="41" spans="1:18" x14ac:dyDescent="0.3">
      <c r="A41" s="9" t="s">
        <v>72</v>
      </c>
      <c r="B41" s="10">
        <f>N30</f>
        <v>5</v>
      </c>
      <c r="C41" s="10">
        <f>N31</f>
        <v>4.5</v>
      </c>
      <c r="H41" s="27" t="s">
        <v>73</v>
      </c>
      <c r="I41" s="14"/>
      <c r="J41" s="15"/>
      <c r="K41" s="15"/>
      <c r="L41" s="15"/>
      <c r="M41" s="15"/>
      <c r="N41" s="16"/>
      <c r="O41" s="15"/>
      <c r="P41" s="15"/>
      <c r="Q41" s="15"/>
      <c r="R41" s="15"/>
    </row>
    <row r="42" spans="1:18" x14ac:dyDescent="0.3">
      <c r="A42" s="9" t="s">
        <v>74</v>
      </c>
      <c r="B42" s="25">
        <f>B20/12*N18*N46*B41/N18</f>
        <v>92.083333333333343</v>
      </c>
      <c r="C42" s="25">
        <f>B20/12*N18*N46*C41/N18</f>
        <v>82.875</v>
      </c>
      <c r="H42" s="19" t="s">
        <v>60</v>
      </c>
      <c r="I42" s="14">
        <v>102</v>
      </c>
      <c r="J42" s="15">
        <v>98</v>
      </c>
      <c r="K42" s="15">
        <v>88</v>
      </c>
      <c r="L42" s="15">
        <v>103</v>
      </c>
      <c r="M42" s="15">
        <v>89</v>
      </c>
      <c r="N42" s="16">
        <v>100</v>
      </c>
      <c r="O42" s="15">
        <v>96</v>
      </c>
      <c r="P42" s="15">
        <v>85</v>
      </c>
      <c r="Q42" s="15">
        <v>103</v>
      </c>
      <c r="R42" s="15">
        <v>104</v>
      </c>
    </row>
    <row r="43" spans="1:18" x14ac:dyDescent="0.3">
      <c r="A43" s="9" t="s">
        <v>75</v>
      </c>
      <c r="B43" s="28">
        <f>B42*B40</f>
        <v>1842.2729072398192</v>
      </c>
      <c r="C43" s="28">
        <f>C42*C40</f>
        <v>1474.1517217194573</v>
      </c>
      <c r="H43" s="19" t="s">
        <v>62</v>
      </c>
      <c r="I43" s="14">
        <v>10</v>
      </c>
      <c r="J43" s="15">
        <v>19</v>
      </c>
      <c r="K43" s="15">
        <v>14</v>
      </c>
      <c r="L43" s="15">
        <v>16</v>
      </c>
      <c r="M43" s="15">
        <v>12</v>
      </c>
      <c r="N43" s="16">
        <v>11</v>
      </c>
      <c r="O43" s="15">
        <v>14</v>
      </c>
      <c r="P43" s="15">
        <v>15</v>
      </c>
      <c r="Q43" s="15">
        <v>16</v>
      </c>
      <c r="R43" s="15">
        <v>12</v>
      </c>
    </row>
    <row r="44" spans="1:18" ht="31.2" x14ac:dyDescent="0.3">
      <c r="A44" s="22"/>
      <c r="B44" s="7"/>
      <c r="C44" s="7"/>
      <c r="H44" s="26" t="s">
        <v>76</v>
      </c>
      <c r="I44" s="29">
        <v>0.85</v>
      </c>
      <c r="J44" s="30">
        <v>0.99</v>
      </c>
      <c r="K44" s="30">
        <v>0.9</v>
      </c>
      <c r="L44" s="30">
        <v>0.88</v>
      </c>
      <c r="M44" s="30">
        <v>0.96</v>
      </c>
      <c r="N44" s="31">
        <v>0.94</v>
      </c>
      <c r="O44" s="30">
        <v>0.95</v>
      </c>
      <c r="P44" s="30">
        <v>0.86</v>
      </c>
      <c r="Q44" s="30">
        <v>0.88</v>
      </c>
      <c r="R44" s="30">
        <v>0.9</v>
      </c>
    </row>
    <row r="45" spans="1:18" ht="15.6" x14ac:dyDescent="0.3">
      <c r="A45" s="22"/>
      <c r="B45" s="12"/>
      <c r="C45" s="12"/>
      <c r="H45" s="26" t="s">
        <v>77</v>
      </c>
      <c r="I45" s="29">
        <v>0.33</v>
      </c>
      <c r="J45" s="30">
        <v>0.34</v>
      </c>
      <c r="K45" s="30">
        <v>0.35</v>
      </c>
      <c r="L45" s="30">
        <v>0.36</v>
      </c>
      <c r="M45" s="30">
        <v>0.33</v>
      </c>
      <c r="N45" s="31">
        <v>0.35</v>
      </c>
      <c r="O45" s="30">
        <v>0.36</v>
      </c>
      <c r="P45" s="30">
        <v>0.36</v>
      </c>
      <c r="Q45" s="30">
        <v>0.35</v>
      </c>
      <c r="R45" s="30">
        <v>0.33</v>
      </c>
    </row>
    <row r="46" spans="1:18" ht="18" x14ac:dyDescent="0.3">
      <c r="A46" s="48" t="s">
        <v>78</v>
      </c>
      <c r="B46" s="48"/>
      <c r="H46" s="5" t="s">
        <v>79</v>
      </c>
      <c r="I46" s="32">
        <v>1</v>
      </c>
      <c r="J46" s="10">
        <v>2</v>
      </c>
      <c r="K46" s="30">
        <v>3</v>
      </c>
      <c r="L46" s="30">
        <v>4</v>
      </c>
      <c r="M46" s="30">
        <v>5</v>
      </c>
      <c r="N46" s="31">
        <v>1</v>
      </c>
      <c r="O46" s="30">
        <v>2</v>
      </c>
      <c r="P46" s="30">
        <v>3</v>
      </c>
      <c r="Q46" s="30">
        <v>4</v>
      </c>
      <c r="R46" s="30">
        <v>5</v>
      </c>
    </row>
    <row r="47" spans="1:18" ht="66.75" customHeight="1" x14ac:dyDescent="0.3">
      <c r="A47" s="6" t="s">
        <v>80</v>
      </c>
      <c r="B47" s="6" t="s">
        <v>81</v>
      </c>
      <c r="C47" s="6" t="s">
        <v>82</v>
      </c>
      <c r="D47" s="6" t="s">
        <v>83</v>
      </c>
      <c r="E47" s="6" t="s">
        <v>84</v>
      </c>
      <c r="F47" s="7"/>
      <c r="H47" s="33" t="s">
        <v>85</v>
      </c>
      <c r="I47" s="32">
        <v>670</v>
      </c>
      <c r="J47" s="10">
        <v>890</v>
      </c>
      <c r="K47" s="30">
        <v>1000</v>
      </c>
      <c r="L47" s="30">
        <v>450</v>
      </c>
      <c r="M47" s="30">
        <v>560</v>
      </c>
      <c r="N47" s="31">
        <v>700</v>
      </c>
      <c r="O47" s="30">
        <v>830</v>
      </c>
      <c r="P47" s="30">
        <v>1100</v>
      </c>
      <c r="Q47" s="30">
        <v>740</v>
      </c>
      <c r="R47" s="30">
        <v>520</v>
      </c>
    </row>
    <row r="48" spans="1:18" x14ac:dyDescent="0.3">
      <c r="A48" s="9" t="s">
        <v>86</v>
      </c>
      <c r="B48" s="10">
        <f>N33</f>
        <v>1750</v>
      </c>
      <c r="C48" s="25">
        <f>1/N36*100</f>
        <v>16.666666666666664</v>
      </c>
      <c r="D48" s="25">
        <f>B48*C48/100</f>
        <v>291.66666666666663</v>
      </c>
      <c r="E48" s="25">
        <f>D48*N46/12</f>
        <v>24.305555555555554</v>
      </c>
      <c r="F48" s="24"/>
    </row>
    <row r="49" spans="1:6" x14ac:dyDescent="0.3">
      <c r="A49" s="9" t="s">
        <v>62</v>
      </c>
      <c r="B49" s="10">
        <f>N34</f>
        <v>1020.3</v>
      </c>
      <c r="C49" s="25">
        <f>1/N37*100</f>
        <v>12.5</v>
      </c>
      <c r="D49" s="25">
        <f>B49*C49/100</f>
        <v>127.53749999999999</v>
      </c>
      <c r="E49" s="25">
        <f>D49*N46/12</f>
        <v>10.628124999999999</v>
      </c>
      <c r="F49" s="24"/>
    </row>
    <row r="50" spans="1:6" x14ac:dyDescent="0.3">
      <c r="A50" s="9" t="s">
        <v>87</v>
      </c>
      <c r="B50" s="9">
        <f>SUM(B48:B49)</f>
        <v>2770.3</v>
      </c>
      <c r="C50" s="9"/>
      <c r="D50" s="9"/>
      <c r="E50" s="34">
        <f>E49+E48</f>
        <v>34.933680555555554</v>
      </c>
      <c r="F50" s="7"/>
    </row>
    <row r="52" spans="1:6" ht="18" x14ac:dyDescent="0.3">
      <c r="A52" s="48" t="s">
        <v>88</v>
      </c>
      <c r="B52" s="48"/>
      <c r="C52" s="48"/>
    </row>
    <row r="53" spans="1:6" ht="59.25" customHeight="1" x14ac:dyDescent="0.3">
      <c r="A53" s="33" t="s">
        <v>89</v>
      </c>
      <c r="B53" s="35" t="s">
        <v>90</v>
      </c>
      <c r="C53" s="35" t="s">
        <v>91</v>
      </c>
      <c r="D53" s="35" t="s">
        <v>92</v>
      </c>
      <c r="E53" s="35" t="s">
        <v>93</v>
      </c>
      <c r="F53" s="35" t="s">
        <v>94</v>
      </c>
    </row>
    <row r="54" spans="1:6" ht="15.6" x14ac:dyDescent="0.3">
      <c r="A54" s="36" t="s">
        <v>86</v>
      </c>
      <c r="B54" s="37">
        <f>N39</f>
        <v>0.7</v>
      </c>
      <c r="C54" s="37">
        <f>N42</f>
        <v>100</v>
      </c>
      <c r="D54" s="37">
        <f>N44</f>
        <v>0.94</v>
      </c>
      <c r="E54" s="37">
        <f>N45</f>
        <v>0.35</v>
      </c>
      <c r="F54" s="38">
        <f>B54*C54*D54*E54*N46</f>
        <v>23.029999999999998</v>
      </c>
    </row>
    <row r="55" spans="1:6" ht="15.6" x14ac:dyDescent="0.3">
      <c r="A55" s="36" t="s">
        <v>95</v>
      </c>
      <c r="B55" s="37">
        <f>N40</f>
        <v>0.35</v>
      </c>
      <c r="C55" s="37">
        <f>N43</f>
        <v>11</v>
      </c>
      <c r="D55" s="37">
        <f>N44</f>
        <v>0.94</v>
      </c>
      <c r="E55" s="37">
        <f>N45</f>
        <v>0.35</v>
      </c>
      <c r="F55" s="38">
        <f>B55*C55*D55*E55*N46</f>
        <v>1.2666499999999996</v>
      </c>
    </row>
    <row r="56" spans="1:6" ht="15.6" x14ac:dyDescent="0.3">
      <c r="A56" s="49" t="s">
        <v>96</v>
      </c>
      <c r="B56" s="49"/>
      <c r="C56" s="49"/>
      <c r="D56" s="49"/>
      <c r="E56" s="49"/>
      <c r="F56" s="39">
        <f>F55+F54</f>
        <v>24.296649999999996</v>
      </c>
    </row>
    <row r="58" spans="1:6" ht="18" x14ac:dyDescent="0.3">
      <c r="A58" s="48" t="s">
        <v>97</v>
      </c>
      <c r="B58" s="48"/>
      <c r="C58" s="48"/>
    </row>
    <row r="59" spans="1:6" ht="15.6" x14ac:dyDescent="0.3">
      <c r="A59" s="35" t="s">
        <v>98</v>
      </c>
      <c r="B59" s="35" t="s">
        <v>99</v>
      </c>
      <c r="C59" s="35" t="s">
        <v>100</v>
      </c>
    </row>
    <row r="60" spans="1:6" ht="15.6" x14ac:dyDescent="0.3">
      <c r="A60" s="36" t="s">
        <v>101</v>
      </c>
      <c r="B60" s="40">
        <f>D6</f>
        <v>62.6</v>
      </c>
      <c r="C60" s="40">
        <f>B60/B68*C68</f>
        <v>0.83325379936013411</v>
      </c>
    </row>
    <row r="61" spans="1:6" ht="15.6" x14ac:dyDescent="0.3">
      <c r="A61" s="36" t="s">
        <v>102</v>
      </c>
      <c r="B61" s="40">
        <f>F56</f>
        <v>24.296649999999996</v>
      </c>
      <c r="C61" s="40">
        <f>B61/B68*C68</f>
        <v>0.32340696364574117</v>
      </c>
    </row>
    <row r="62" spans="1:6" ht="15.6" x14ac:dyDescent="0.3">
      <c r="A62" s="36" t="s">
        <v>103</v>
      </c>
      <c r="B62" s="40">
        <f>B43+C43</f>
        <v>3316.4246289592766</v>
      </c>
      <c r="C62" s="40">
        <f>B62/B68*C68</f>
        <v>44.14414412734569</v>
      </c>
    </row>
    <row r="63" spans="1:6" ht="31.2" x14ac:dyDescent="0.3">
      <c r="A63" s="36" t="s">
        <v>104</v>
      </c>
      <c r="B63" s="40">
        <f>B62*34/100</f>
        <v>1127.584373846154</v>
      </c>
      <c r="C63" s="40">
        <f t="shared" ref="C63:C67" si="0">B63/$B$68*$C$68</f>
        <v>15.009009003297535</v>
      </c>
    </row>
    <row r="64" spans="1:6" ht="15.6" x14ac:dyDescent="0.3">
      <c r="A64" s="36" t="s">
        <v>105</v>
      </c>
      <c r="B64" s="40">
        <f>B62/200</f>
        <v>16.582123144796384</v>
      </c>
      <c r="C64" s="40">
        <f t="shared" si="0"/>
        <v>0.22072072063672848</v>
      </c>
    </row>
    <row r="65" spans="1:3" ht="15.6" x14ac:dyDescent="0.3">
      <c r="A65" s="36" t="s">
        <v>106</v>
      </c>
      <c r="B65" s="40">
        <f>E50</f>
        <v>34.933680555555554</v>
      </c>
      <c r="C65" s="40">
        <f t="shared" si="0"/>
        <v>0.46499396243689944</v>
      </c>
    </row>
    <row r="66" spans="1:3" ht="15.6" x14ac:dyDescent="0.3">
      <c r="A66" s="36" t="s">
        <v>107</v>
      </c>
      <c r="B66" s="41">
        <f>N47</f>
        <v>700</v>
      </c>
      <c r="C66" s="40">
        <f t="shared" si="0"/>
        <v>9.3175344976372827</v>
      </c>
    </row>
    <row r="67" spans="1:3" ht="15.6" x14ac:dyDescent="0.3">
      <c r="A67" s="36" t="s">
        <v>108</v>
      </c>
      <c r="B67" s="40">
        <f>SUM(B62:B64)/2</f>
        <v>2230.2955629751136</v>
      </c>
      <c r="C67" s="40">
        <f t="shared" si="0"/>
        <v>29.68693692563998</v>
      </c>
    </row>
    <row r="68" spans="1:3" ht="18" x14ac:dyDescent="0.3">
      <c r="A68" s="42" t="s">
        <v>109</v>
      </c>
      <c r="B68" s="43">
        <f>SUM(B60:B67)</f>
        <v>7512.7170194808969</v>
      </c>
      <c r="C68" s="43">
        <v>100</v>
      </c>
    </row>
  </sheetData>
  <mergeCells count="11">
    <mergeCell ref="H3:H4"/>
    <mergeCell ref="I3:R3"/>
    <mergeCell ref="A9:B9"/>
    <mergeCell ref="A24:C24"/>
    <mergeCell ref="A25:A26"/>
    <mergeCell ref="B25:C25"/>
    <mergeCell ref="A36:C36"/>
    <mergeCell ref="A46:B46"/>
    <mergeCell ref="A52:C52"/>
    <mergeCell ref="A56:E56"/>
    <mergeCell ref="A58:C58"/>
  </mergeCell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D983-1CAF-42D7-BB0B-A75B0D1E9983}">
  <dimension ref="A1:A30"/>
  <sheetViews>
    <sheetView topLeftCell="A6" workbookViewId="0"/>
  </sheetViews>
  <sheetFormatPr defaultRowHeight="14.4" x14ac:dyDescent="0.3"/>
  <cols>
    <col min="1" max="1" width="102.77734375" customWidth="1"/>
    <col min="2" max="1024" width="10.88671875" customWidth="1"/>
    <col min="1025" max="1025" width="8.88671875" customWidth="1"/>
  </cols>
  <sheetData>
    <row r="1" spans="1:1" ht="18" x14ac:dyDescent="0.35">
      <c r="A1" s="44" t="s">
        <v>110</v>
      </c>
    </row>
    <row r="3" spans="1:1" ht="28.8" x14ac:dyDescent="0.3">
      <c r="A3" s="45" t="s">
        <v>111</v>
      </c>
    </row>
    <row r="4" spans="1:1" x14ac:dyDescent="0.3">
      <c r="A4" s="46"/>
    </row>
    <row r="5" spans="1:1" x14ac:dyDescent="0.3">
      <c r="A5" s="47" t="s">
        <v>112</v>
      </c>
    </row>
    <row r="6" spans="1:1" x14ac:dyDescent="0.3">
      <c r="A6" s="46"/>
    </row>
    <row r="7" spans="1:1" ht="28.8" x14ac:dyDescent="0.3">
      <c r="A7" s="45" t="s">
        <v>113</v>
      </c>
    </row>
    <row r="8" spans="1:1" x14ac:dyDescent="0.3">
      <c r="A8" s="46"/>
    </row>
    <row r="9" spans="1:1" x14ac:dyDescent="0.3">
      <c r="A9" s="47" t="s">
        <v>114</v>
      </c>
    </row>
    <row r="10" spans="1:1" x14ac:dyDescent="0.3">
      <c r="A10" s="47" t="s">
        <v>115</v>
      </c>
    </row>
    <row r="11" spans="1:1" ht="29.25" customHeight="1" x14ac:dyDescent="0.3">
      <c r="A11" s="47" t="s">
        <v>116</v>
      </c>
    </row>
    <row r="12" spans="1:1" ht="16.5" customHeight="1" x14ac:dyDescent="0.3">
      <c r="A12" s="47" t="s">
        <v>117</v>
      </c>
    </row>
    <row r="13" spans="1:1" ht="28.8" x14ac:dyDescent="0.3">
      <c r="A13" s="47" t="s">
        <v>118</v>
      </c>
    </row>
    <row r="14" spans="1:1" ht="68.25" customHeight="1" x14ac:dyDescent="0.3">
      <c r="A14" s="47" t="s">
        <v>119</v>
      </c>
    </row>
    <row r="15" spans="1:1" x14ac:dyDescent="0.3">
      <c r="A15" s="46"/>
    </row>
    <row r="16" spans="1:1" ht="28.8" x14ac:dyDescent="0.3">
      <c r="A16" s="45" t="s">
        <v>120</v>
      </c>
    </row>
    <row r="17" spans="1:1" x14ac:dyDescent="0.3">
      <c r="A17" s="46"/>
    </row>
    <row r="18" spans="1:1" x14ac:dyDescent="0.3">
      <c r="A18" s="47" t="s">
        <v>121</v>
      </c>
    </row>
    <row r="19" spans="1:1" ht="16.5" customHeight="1" x14ac:dyDescent="0.3">
      <c r="A19" s="47" t="s">
        <v>122</v>
      </c>
    </row>
    <row r="20" spans="1:1" x14ac:dyDescent="0.3">
      <c r="A20" s="46"/>
    </row>
    <row r="21" spans="1:1" x14ac:dyDescent="0.3">
      <c r="A21" s="45" t="s">
        <v>123</v>
      </c>
    </row>
    <row r="22" spans="1:1" x14ac:dyDescent="0.3">
      <c r="A22" s="45" t="s">
        <v>124</v>
      </c>
    </row>
    <row r="23" spans="1:1" x14ac:dyDescent="0.3">
      <c r="A23" s="46"/>
    </row>
    <row r="24" spans="1:1" x14ac:dyDescent="0.3">
      <c r="A24" s="47" t="s">
        <v>125</v>
      </c>
    </row>
    <row r="25" spans="1:1" x14ac:dyDescent="0.3">
      <c r="A25" s="46"/>
    </row>
    <row r="26" spans="1:1" x14ac:dyDescent="0.3">
      <c r="A26" s="45" t="s">
        <v>126</v>
      </c>
    </row>
    <row r="27" spans="1:1" x14ac:dyDescent="0.3">
      <c r="A27" s="45" t="s">
        <v>127</v>
      </c>
    </row>
    <row r="28" spans="1:1" x14ac:dyDescent="0.3">
      <c r="A28" s="46"/>
    </row>
    <row r="29" spans="1:1" x14ac:dyDescent="0.3">
      <c r="A29" s="47" t="s">
        <v>128</v>
      </c>
    </row>
    <row r="30" spans="1:1" x14ac:dyDescent="0.3">
      <c r="A30" s="46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Задание_исх_данные,_решение_1</vt:lpstr>
      <vt:lpstr>Задание_порядок_работы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Kristina Gurina</cp:lastModifiedBy>
  <cp:revision>11</cp:revision>
  <dcterms:created xsi:type="dcterms:W3CDTF">2024-03-07T05:53:03Z</dcterms:created>
  <dcterms:modified xsi:type="dcterms:W3CDTF">2024-10-30T09:42:22Z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