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GTU\4k\sem1\приколы всякие\пз проекты ластовое\"/>
    </mc:Choice>
  </mc:AlternateContent>
  <bookViews>
    <workbookView xWindow="0" yWindow="0" windowWidth="24975" windowHeight="10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C43" i="1"/>
  <c r="C42" i="1"/>
  <c r="C40" i="1"/>
  <c r="C34" i="1"/>
  <c r="C39" i="1"/>
  <c r="M4" i="1"/>
  <c r="M5" i="1"/>
  <c r="M6" i="1"/>
  <c r="M7" i="1"/>
  <c r="M8" i="1"/>
  <c r="M3" i="1"/>
  <c r="L4" i="1"/>
  <c r="L5" i="1"/>
  <c r="L6" i="1"/>
  <c r="L7" i="1"/>
  <c r="L8" i="1"/>
  <c r="L3" i="1"/>
  <c r="K3" i="1"/>
  <c r="J3" i="1"/>
  <c r="I3" i="1"/>
  <c r="H5" i="1"/>
  <c r="H4" i="1"/>
  <c r="H3" i="1"/>
  <c r="C36" i="1"/>
  <c r="C38" i="1" l="1"/>
  <c r="C37" i="1"/>
  <c r="C41" i="1" s="1"/>
  <c r="C35" i="1"/>
  <c r="G5" i="1"/>
  <c r="G9" i="1" s="1"/>
  <c r="G4" i="1"/>
  <c r="G3" i="1"/>
  <c r="C33" i="1"/>
  <c r="G8" i="1"/>
  <c r="G7" i="1"/>
  <c r="G6" i="1"/>
  <c r="N4" i="1"/>
  <c r="N7" i="1"/>
  <c r="N8" i="1"/>
  <c r="K8" i="1"/>
  <c r="K7" i="1"/>
  <c r="K4" i="1"/>
  <c r="J4" i="1"/>
  <c r="J7" i="1"/>
  <c r="J8" i="1"/>
  <c r="I4" i="1"/>
  <c r="I7" i="1"/>
  <c r="I8" i="1"/>
  <c r="H8" i="1"/>
  <c r="H7" i="1"/>
  <c r="H6" i="1"/>
  <c r="E43" i="1" l="1"/>
  <c r="C44" i="1"/>
  <c r="I5" i="1"/>
  <c r="I6" i="1"/>
  <c r="C45" i="1" l="1"/>
  <c r="J5" i="1"/>
  <c r="K5" i="1" s="1"/>
  <c r="N3" i="1"/>
  <c r="J6" i="1"/>
  <c r="N5" i="1" l="1"/>
  <c r="K6" i="1"/>
  <c r="N6" i="1" l="1"/>
  <c r="N9" i="1" s="1"/>
  <c r="O9" i="1" s="1"/>
</calcChain>
</file>

<file path=xl/sharedStrings.xml><?xml version="1.0" encoding="utf-8"?>
<sst xmlns="http://schemas.openxmlformats.org/spreadsheetml/2006/main" count="106" uniqueCount="86">
  <si>
    <t xml:space="preserve">Содержание работ </t>
  </si>
  <si>
    <t>Исполнитель</t>
  </si>
  <si>
    <t xml:space="preserve">Трудозатраты, часов </t>
  </si>
  <si>
    <t>Зарплата основная</t>
  </si>
  <si>
    <t>Сбор требований и ожиданий от заказчика</t>
  </si>
  <si>
    <t>Анализ бизнес-требований и определение ключевых функций</t>
  </si>
  <si>
    <t>Подготовка и утверждение документа SRS с заказчиком</t>
  </si>
  <si>
    <t>Выбор и утверждение технического стека</t>
  </si>
  <si>
    <t>Проектирование общей структуры приложения и базы данных</t>
  </si>
  <si>
    <t>Документирование архитектурных решений</t>
  </si>
  <si>
    <t>Создание макетов для основных страницы приложения</t>
  </si>
  <si>
    <t>Внесение правок и согласование дизайна с заказчиком</t>
  </si>
  <si>
    <t>Утверждение финального дизайна и UI-гайда</t>
  </si>
  <si>
    <t>Разработка REST API для клиентского приложения</t>
  </si>
  <si>
    <t>Внедрение авторизации и аутентификации</t>
  </si>
  <si>
    <t>Настройка базы данных и системы управления данными</t>
  </si>
  <si>
    <t>Разработка основных компонентов интерфейса</t>
  </si>
  <si>
    <t>Интеграция с API и настройка навигации</t>
  </si>
  <si>
    <t>Тестирование кросс-браузерности и адаптивности</t>
  </si>
  <si>
    <t>Создание тест-кейсов для проверки функций</t>
  </si>
  <si>
    <t>Юнит-тестирование компонентов и API</t>
  </si>
  <si>
    <t>Интеграционное тестирование всей системы</t>
  </si>
  <si>
    <t>Подготовка демонстрации для заказчика</t>
  </si>
  <si>
    <t>Презентация функциональности и UX</t>
  </si>
  <si>
    <t>Сбор обратной связи и доработка по результатам</t>
  </si>
  <si>
    <t>Настройка продакшен-среды для запуска приложения</t>
  </si>
  <si>
    <t>Настройка CI/CD для автоматического деплоя</t>
  </si>
  <si>
    <t>Публикация и финальная проверка работоспособности</t>
  </si>
  <si>
    <t>Мониторинг работы приложения и сбор статистики</t>
  </si>
  <si>
    <t>Обработка отзывов и жалоб пользователей</t>
  </si>
  <si>
    <t>Выпуск исправлений и обновлений</t>
  </si>
  <si>
    <t>PM, BA</t>
  </si>
  <si>
    <t>BD1, BD2</t>
  </si>
  <si>
    <t>BD2, FD2</t>
  </si>
  <si>
    <t>BD1, FD2</t>
  </si>
  <si>
    <t>FD1, FD2</t>
  </si>
  <si>
    <t>BA, BD1, BD2, FD1, FD2</t>
  </si>
  <si>
    <t>BD1, FD1</t>
  </si>
  <si>
    <t>UI, FD1</t>
  </si>
  <si>
    <t>UI, FD1, FD2</t>
  </si>
  <si>
    <t>QA, BD1, BD2, FD1, FD2</t>
  </si>
  <si>
    <t>UI, QA, BD1, BD2, FD1, FD2</t>
  </si>
  <si>
    <t>UI, FD2, PM</t>
  </si>
  <si>
    <t>PM, BD1, BD2</t>
  </si>
  <si>
    <t>PM, BA, UI, BD1, BD2, FD1, FD2</t>
  </si>
  <si>
    <t>Прочие прямые (20-30%)</t>
  </si>
  <si>
    <t>Накладные расходы     (40-60%)</t>
  </si>
  <si>
    <t>Итого</t>
  </si>
  <si>
    <t>рса</t>
  </si>
  <si>
    <t>BA</t>
  </si>
  <si>
    <t>PM</t>
  </si>
  <si>
    <t>UI/UX</t>
  </si>
  <si>
    <t>Backend-dev</t>
  </si>
  <si>
    <t>Frontend-dev</t>
  </si>
  <si>
    <t>QA</t>
  </si>
  <si>
    <t>Трудозатраты</t>
  </si>
  <si>
    <t>Ставка руб/час</t>
  </si>
  <si>
    <t>ЗП осн</t>
  </si>
  <si>
    <t>ЗП доп</t>
  </si>
  <si>
    <t>Должность</t>
  </si>
  <si>
    <t>Норматив дополнительной заработной платы</t>
  </si>
  <si>
    <t>норматив прочих затрат в целом по организации Нп</t>
  </si>
  <si>
    <t>Норматив накладных расходов, %</t>
  </si>
  <si>
    <t xml:space="preserve">Норматив расходов на сопровождение и адаптацию, % </t>
  </si>
  <si>
    <t>уровень рентабельности</t>
  </si>
  <si>
    <t>ставка НДС</t>
  </si>
  <si>
    <t xml:space="preserve">Налог на прибыль, % </t>
  </si>
  <si>
    <t>Ставка отчислений в Фонд социальной защиты населения, Ставка отчислений по обязательному страхованию в БРУСП «Белгосстрах»</t>
  </si>
  <si>
    <t>Наименование показателя</t>
  </si>
  <si>
    <t>Значение</t>
  </si>
  <si>
    <t>Время разработки, ч.</t>
  </si>
  <si>
    <t>Основная заработная плата, руб.</t>
  </si>
  <si>
    <t>Дополнительная заработная плата, руб.</t>
  </si>
  <si>
    <t>Отчисления в Фонд социальной защиты населения и БРУСП</t>
  </si>
  <si>
    <t>Прочие прямые затраты, руб.</t>
  </si>
  <si>
    <t>Накладные расходы, руб.</t>
  </si>
  <si>
    <t>Себестоимость разработки программного средства, руб.</t>
  </si>
  <si>
    <t>Полная себестоимость, руб.</t>
  </si>
  <si>
    <t>Прибыль от реализации</t>
  </si>
  <si>
    <t>Цена разработки</t>
  </si>
  <si>
    <t>НДС</t>
  </si>
  <si>
    <t xml:space="preserve">Планируемая отпускная цена с НДС </t>
  </si>
  <si>
    <t>Прибыль чистая</t>
  </si>
  <si>
    <t>Рентабельность</t>
  </si>
  <si>
    <t>ФСЗН+Белгосстрах</t>
  </si>
  <si>
    <t>Расходы на сопров и адаптац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</si>
</sst>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2"/>
      <color rgb="FF3F3F3F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Arial"/>
      <family val="2"/>
      <charset val="204"/>
    </font>
    <font>
      <sz val="12"/>
      <color rgb="FF0061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6" fillId="4" borderId="0" applyNumberFormat="0" applyBorder="0" applyAlignment="0" applyProtection="0"/>
    <xf numFmtId="0" fontId="7" fillId="5" borderId="5" applyNumberFormat="0" applyAlignment="0" applyProtection="0"/>
  </cellStyleXfs>
  <cellXfs count="1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3" borderId="1" xfId="1" applyFont="1" applyFill="1"/>
    <xf numFmtId="0" fontId="3" fillId="3" borderId="2" xfId="1" applyFont="1" applyFill="1" applyBorder="1"/>
    <xf numFmtId="0" fontId="3" fillId="3" borderId="2" xfId="1" applyFont="1" applyFill="1" applyBorder="1" applyAlignment="1">
      <alignment wrapText="1"/>
    </xf>
    <xf numFmtId="0" fontId="2" fillId="0" borderId="0" xfId="0" applyFont="1"/>
    <xf numFmtId="0" fontId="2" fillId="0" borderId="0" xfId="0" applyFont="1" applyBorder="1" applyAlignment="1">
      <alignment horizontal="justify" vertical="center" wrapText="1"/>
    </xf>
    <xf numFmtId="0" fontId="2" fillId="0" borderId="2" xfId="0" applyFont="1" applyBorder="1"/>
    <xf numFmtId="0" fontId="4" fillId="0" borderId="2" xfId="0" applyFont="1" applyBorder="1"/>
    <xf numFmtId="0" fontId="5" fillId="3" borderId="1" xfId="1" applyFont="1" applyFill="1" applyAlignment="1">
      <alignment vertical="center" wrapText="1"/>
    </xf>
    <xf numFmtId="0" fontId="5" fillId="3" borderId="3" xfId="1" applyFont="1" applyFill="1" applyBorder="1" applyAlignment="1">
      <alignment vertical="center" wrapText="1"/>
    </xf>
    <xf numFmtId="0" fontId="5" fillId="3" borderId="4" xfId="1" applyFont="1" applyFill="1" applyBorder="1" applyAlignment="1">
      <alignment vertical="center" wrapText="1"/>
    </xf>
    <xf numFmtId="0" fontId="9" fillId="4" borderId="2" xfId="2" applyFont="1" applyBorder="1" applyAlignment="1">
      <alignment vertical="center" wrapText="1"/>
    </xf>
    <xf numFmtId="0" fontId="8" fillId="6" borderId="5" xfId="3" applyFont="1" applyFill="1" applyAlignment="1">
      <alignment horizontal="center" vertical="center" wrapText="1"/>
    </xf>
    <xf numFmtId="0" fontId="8" fillId="6" borderId="5" xfId="3" applyFont="1" applyFill="1" applyAlignment="1">
      <alignment horizontal="center" vertical="center"/>
    </xf>
    <xf numFmtId="0" fontId="4" fillId="0" borderId="6" xfId="0" applyFont="1" applyFill="1" applyBorder="1"/>
  </cellXfs>
  <cellStyles count="4">
    <cellStyle name="Вывод" xfId="1" builtinId="21"/>
    <cellStyle name="Контрольная ячейка" xfId="3" builtinId="23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5"/>
  <sheetViews>
    <sheetView tabSelected="1" topLeftCell="A21" workbookViewId="0">
      <selection activeCell="F43" sqref="F43"/>
    </sheetView>
  </sheetViews>
  <sheetFormatPr defaultRowHeight="15" x14ac:dyDescent="0.25"/>
  <cols>
    <col min="2" max="2" width="59" customWidth="1"/>
    <col min="3" max="3" width="35.42578125" customWidth="1"/>
    <col min="4" max="4" width="31.42578125" customWidth="1"/>
    <col min="5" max="5" width="28.140625" customWidth="1"/>
    <col min="6" max="6" width="27" customWidth="1"/>
    <col min="7" max="7" width="18.140625" customWidth="1"/>
    <col min="8" max="8" width="15" customWidth="1"/>
    <col min="9" max="9" width="9.7109375" customWidth="1"/>
    <col min="10" max="10" width="9.42578125" customWidth="1"/>
    <col min="11" max="11" width="22.28515625" customWidth="1"/>
    <col min="12" max="12" width="19.7109375" customWidth="1"/>
    <col min="13" max="13" width="24.140625" customWidth="1"/>
    <col min="17" max="17" width="142.7109375" customWidth="1"/>
  </cols>
  <sheetData>
    <row r="1" spans="2:20" ht="15.75" thickBot="1" x14ac:dyDescent="0.3"/>
    <row r="2" spans="2:20" ht="32.25" customHeight="1" thickTop="1" thickBot="1" x14ac:dyDescent="0.3">
      <c r="B2" s="13" t="s">
        <v>0</v>
      </c>
      <c r="C2" s="13" t="s">
        <v>1</v>
      </c>
      <c r="D2" s="13" t="s">
        <v>2</v>
      </c>
      <c r="F2" s="14" t="s">
        <v>59</v>
      </c>
      <c r="G2" s="13" t="s">
        <v>55</v>
      </c>
      <c r="H2" s="13" t="s">
        <v>56</v>
      </c>
      <c r="I2" s="13" t="s">
        <v>57</v>
      </c>
      <c r="J2" s="13" t="s">
        <v>58</v>
      </c>
      <c r="K2" s="13" t="s">
        <v>84</v>
      </c>
      <c r="L2" s="13" t="s">
        <v>45</v>
      </c>
      <c r="M2" s="13" t="s">
        <v>46</v>
      </c>
      <c r="N2" s="13" t="s">
        <v>47</v>
      </c>
      <c r="O2" s="13" t="s">
        <v>48</v>
      </c>
      <c r="Q2" s="5" t="s">
        <v>60</v>
      </c>
      <c r="R2" s="5"/>
      <c r="S2" s="5">
        <v>10</v>
      </c>
      <c r="T2" s="5"/>
    </row>
    <row r="3" spans="2:20" ht="21.75" customHeight="1" thickTop="1" x14ac:dyDescent="0.25">
      <c r="B3" s="7" t="s">
        <v>4</v>
      </c>
      <c r="C3" s="7" t="s">
        <v>31</v>
      </c>
      <c r="D3" s="7">
        <v>64</v>
      </c>
      <c r="F3" s="1" t="s">
        <v>49</v>
      </c>
      <c r="G3" s="4">
        <f>(D3+D4+D5)/2+D22/7+D21/5</f>
        <v>152</v>
      </c>
      <c r="H3" s="3">
        <f>G18/159</f>
        <v>13.20754716981132</v>
      </c>
      <c r="I3" s="3">
        <f>G3*H3</f>
        <v>2007.5471698113206</v>
      </c>
      <c r="J3" s="3">
        <f>I3*0.1</f>
        <v>200.75471698113208</v>
      </c>
      <c r="K3" s="3">
        <f>(I3+J3)*S3/100</f>
        <v>764.07245283018858</v>
      </c>
      <c r="L3" s="3">
        <f>I3*S4/100</f>
        <v>501.88679245283015</v>
      </c>
      <c r="M3" s="3">
        <f>I3*$S$5/100</f>
        <v>1003.7735849056603</v>
      </c>
      <c r="N3" s="8">
        <f>SUM(I3:M3)</f>
        <v>4478.0347169811321</v>
      </c>
      <c r="O3" s="7"/>
      <c r="Q3" s="5" t="s">
        <v>67</v>
      </c>
      <c r="R3" s="5"/>
      <c r="S3" s="5">
        <v>34.6</v>
      </c>
      <c r="T3" s="5"/>
    </row>
    <row r="4" spans="2:20" ht="15.75" x14ac:dyDescent="0.25">
      <c r="B4" s="7" t="s">
        <v>5</v>
      </c>
      <c r="C4" s="7" t="s">
        <v>31</v>
      </c>
      <c r="D4" s="7">
        <v>80</v>
      </c>
      <c r="F4" s="1" t="s">
        <v>50</v>
      </c>
      <c r="G4" s="3">
        <f>(D3+D4+D5)/2+(D6+D7)/3+D10/3+D22/7</f>
        <v>208</v>
      </c>
      <c r="H4" s="3">
        <f>G19/159</f>
        <v>14.465408805031446</v>
      </c>
      <c r="I4" s="3">
        <f t="shared" ref="I4:I8" si="0">G4*H4</f>
        <v>3008.8050314465409</v>
      </c>
      <c r="J4" s="3">
        <f t="shared" ref="J4:J8" si="1">I4*0.1</f>
        <v>300.88050314465409</v>
      </c>
      <c r="K4" s="3">
        <f>(I4+J4)*S3/100</f>
        <v>1145.1511949685535</v>
      </c>
      <c r="L4" s="3">
        <f t="shared" ref="L4:L8" si="2">I4*S5/100</f>
        <v>1504.4025157232704</v>
      </c>
      <c r="M4" s="3">
        <f t="shared" ref="M4:M8" si="3">I4*$S$5/100</f>
        <v>1504.4025157232704</v>
      </c>
      <c r="N4" s="8">
        <f t="shared" ref="N4:N8" si="4">SUM(I4:M4)</f>
        <v>7463.641761006289</v>
      </c>
      <c r="O4" s="7"/>
      <c r="Q4" s="5" t="s">
        <v>61</v>
      </c>
      <c r="R4" s="5"/>
      <c r="S4" s="5">
        <v>25</v>
      </c>
      <c r="T4" s="5"/>
    </row>
    <row r="5" spans="2:20" ht="15.75" x14ac:dyDescent="0.25">
      <c r="B5" s="7" t="s">
        <v>6</v>
      </c>
      <c r="C5" s="7" t="s">
        <v>31</v>
      </c>
      <c r="D5" s="7">
        <v>80</v>
      </c>
      <c r="F5" s="1" t="s">
        <v>51</v>
      </c>
      <c r="G5" s="3">
        <f>(D10+D11)/3+D9/2+D23/6+D22/7</f>
        <v>133</v>
      </c>
      <c r="H5" s="3">
        <f>G20/159</f>
        <v>10.062893081761006</v>
      </c>
      <c r="I5" s="3">
        <f t="shared" si="0"/>
        <v>1338.3647798742138</v>
      </c>
      <c r="J5" s="3">
        <f t="shared" si="1"/>
        <v>133.83647798742138</v>
      </c>
      <c r="K5" s="3">
        <f>(I5+J5)*S3/100</f>
        <v>509.38163522012582</v>
      </c>
      <c r="L5" s="3">
        <f t="shared" si="2"/>
        <v>133.83647798742138</v>
      </c>
      <c r="M5" s="3">
        <f t="shared" si="3"/>
        <v>669.1823899371069</v>
      </c>
      <c r="N5" s="8">
        <f t="shared" si="4"/>
        <v>2784.6017610062895</v>
      </c>
      <c r="O5" s="7"/>
      <c r="Q5" s="5" t="s">
        <v>62</v>
      </c>
      <c r="R5" s="5"/>
      <c r="S5" s="5">
        <v>50</v>
      </c>
      <c r="T5" s="5"/>
    </row>
    <row r="6" spans="2:20" ht="15.75" x14ac:dyDescent="0.25">
      <c r="B6" s="7" t="s">
        <v>7</v>
      </c>
      <c r="C6" s="7" t="s">
        <v>43</v>
      </c>
      <c r="D6" s="7">
        <v>60</v>
      </c>
      <c r="F6" s="1" t="s">
        <v>52</v>
      </c>
      <c r="G6" s="3">
        <f>(D6+D7)/3*2+D8+D12+D13+D14+(D18+D19+D20+D21+D26)/5*2+D25+D24+D22/7*2+(D27+D28+D29)/2+D23/6*2</f>
        <v>1231</v>
      </c>
      <c r="H6" s="3">
        <f t="shared" ref="H3:H8" si="5">G21/159</f>
        <v>15.723270440251572</v>
      </c>
      <c r="I6" s="3">
        <f t="shared" si="0"/>
        <v>19355.345911949684</v>
      </c>
      <c r="J6" s="3">
        <f t="shared" si="1"/>
        <v>1935.5345911949685</v>
      </c>
      <c r="K6" s="3">
        <f>(I6+J6)*S3/100</f>
        <v>7366.6446540880506</v>
      </c>
      <c r="L6" s="3">
        <f t="shared" si="2"/>
        <v>3871.0691823899369</v>
      </c>
      <c r="M6" s="3">
        <f t="shared" si="3"/>
        <v>9677.6729559748419</v>
      </c>
      <c r="N6" s="8">
        <f t="shared" si="4"/>
        <v>42206.267295597485</v>
      </c>
      <c r="O6" s="7"/>
      <c r="Q6" s="5" t="s">
        <v>63</v>
      </c>
      <c r="R6" s="5"/>
      <c r="S6" s="5">
        <v>10</v>
      </c>
      <c r="T6" s="5"/>
    </row>
    <row r="7" spans="2:20" ht="15.75" x14ac:dyDescent="0.25">
      <c r="B7" s="7" t="s">
        <v>8</v>
      </c>
      <c r="C7" s="7" t="s">
        <v>43</v>
      </c>
      <c r="D7" s="7">
        <v>96</v>
      </c>
      <c r="F7" s="1" t="s">
        <v>53</v>
      </c>
      <c r="G7" s="3">
        <f>(D9+D27+D28+D29)/2+D10/3+D11/3*2+D15+D16+D17+(D18+D19+D20+D21)/5*2+D22/7*2+D23/6*2+D26/5*2</f>
        <v>1209</v>
      </c>
      <c r="H7" s="3">
        <f t="shared" si="5"/>
        <v>13.522012578616351</v>
      </c>
      <c r="I7" s="3">
        <f t="shared" si="0"/>
        <v>16348.113207547169</v>
      </c>
      <c r="J7" s="3">
        <f t="shared" si="1"/>
        <v>1634.8113207547169</v>
      </c>
      <c r="K7" s="3">
        <f>(I7+J7)*S3/100</f>
        <v>6222.0918867924529</v>
      </c>
      <c r="L7" s="3">
        <f t="shared" si="2"/>
        <v>3269.6226415094338</v>
      </c>
      <c r="M7" s="3">
        <f t="shared" si="3"/>
        <v>8174.0566037735844</v>
      </c>
      <c r="N7" s="8">
        <f t="shared" si="4"/>
        <v>35648.695660377358</v>
      </c>
      <c r="O7" s="7"/>
      <c r="Q7" s="5" t="s">
        <v>64</v>
      </c>
      <c r="R7" s="5"/>
      <c r="S7" s="5">
        <v>20</v>
      </c>
      <c r="T7" s="5"/>
    </row>
    <row r="8" spans="2:20" ht="15.75" x14ac:dyDescent="0.25">
      <c r="B8" s="7" t="s">
        <v>9</v>
      </c>
      <c r="C8" s="7" t="s">
        <v>32</v>
      </c>
      <c r="D8" s="7">
        <v>48</v>
      </c>
      <c r="F8" s="1" t="s">
        <v>54</v>
      </c>
      <c r="G8" s="3">
        <f>(D18+D19+D20+D26)/5+D23/6</f>
        <v>101</v>
      </c>
      <c r="H8" s="3">
        <f t="shared" si="5"/>
        <v>10.691823899371069</v>
      </c>
      <c r="I8" s="3">
        <f t="shared" si="0"/>
        <v>1079.874213836478</v>
      </c>
      <c r="J8" s="3">
        <f t="shared" si="1"/>
        <v>107.98742138364781</v>
      </c>
      <c r="K8" s="3">
        <f>(I8+J8)*S3/100</f>
        <v>411.00012578616355</v>
      </c>
      <c r="L8" s="3">
        <f t="shared" si="2"/>
        <v>215.9748427672956</v>
      </c>
      <c r="M8" s="3">
        <f t="shared" si="3"/>
        <v>539.93710691823901</v>
      </c>
      <c r="N8" s="8">
        <f t="shared" si="4"/>
        <v>2354.7737106918239</v>
      </c>
      <c r="O8" s="7"/>
      <c r="Q8" s="5" t="s">
        <v>65</v>
      </c>
      <c r="R8" s="5"/>
      <c r="S8" s="5">
        <v>20</v>
      </c>
      <c r="T8" s="5"/>
    </row>
    <row r="9" spans="2:20" ht="21" customHeight="1" x14ac:dyDescent="0.25">
      <c r="B9" s="7" t="s">
        <v>10</v>
      </c>
      <c r="C9" s="7" t="s">
        <v>38</v>
      </c>
      <c r="D9" s="7">
        <v>80</v>
      </c>
      <c r="G9">
        <f>SUM(G3:G8)</f>
        <v>3034</v>
      </c>
      <c r="N9" s="15">
        <f>SUM(N3:N8)</f>
        <v>94936.01490566037</v>
      </c>
      <c r="O9" s="5">
        <f>N9*S6/100</f>
        <v>9493.6014905660359</v>
      </c>
      <c r="Q9" s="6" t="s">
        <v>66</v>
      </c>
      <c r="R9" s="5"/>
      <c r="S9" s="5">
        <v>20</v>
      </c>
      <c r="T9" s="5"/>
    </row>
    <row r="10" spans="2:20" ht="15.75" x14ac:dyDescent="0.25">
      <c r="B10" s="7" t="s">
        <v>11</v>
      </c>
      <c r="C10" s="7" t="s">
        <v>42</v>
      </c>
      <c r="D10" s="7">
        <v>72</v>
      </c>
    </row>
    <row r="11" spans="2:20" ht="15.75" x14ac:dyDescent="0.25">
      <c r="B11" s="7" t="s">
        <v>12</v>
      </c>
      <c r="C11" s="7" t="s">
        <v>39</v>
      </c>
      <c r="D11" s="7">
        <v>72</v>
      </c>
    </row>
    <row r="12" spans="2:20" ht="15.75" x14ac:dyDescent="0.25">
      <c r="B12" s="7" t="s">
        <v>13</v>
      </c>
      <c r="C12" s="7" t="s">
        <v>32</v>
      </c>
      <c r="D12" s="7">
        <v>280</v>
      </c>
    </row>
    <row r="13" spans="2:20" ht="15.75" x14ac:dyDescent="0.25">
      <c r="B13" s="7" t="s">
        <v>14</v>
      </c>
      <c r="C13" s="7" t="s">
        <v>32</v>
      </c>
      <c r="D13" s="7">
        <v>80</v>
      </c>
    </row>
    <row r="14" spans="2:20" ht="15.75" x14ac:dyDescent="0.25">
      <c r="B14" s="7" t="s">
        <v>15</v>
      </c>
      <c r="C14" s="7" t="s">
        <v>32</v>
      </c>
      <c r="D14" s="7">
        <v>120</v>
      </c>
    </row>
    <row r="15" spans="2:20" ht="15.75" x14ac:dyDescent="0.25">
      <c r="B15" s="7" t="s">
        <v>16</v>
      </c>
      <c r="C15" s="7" t="s">
        <v>35</v>
      </c>
      <c r="D15" s="7">
        <v>240</v>
      </c>
    </row>
    <row r="16" spans="2:20" ht="16.5" thickBot="1" x14ac:dyDescent="0.3">
      <c r="B16" s="7" t="s">
        <v>17</v>
      </c>
      <c r="C16" s="7" t="s">
        <v>35</v>
      </c>
      <c r="D16" s="7">
        <v>260</v>
      </c>
    </row>
    <row r="17" spans="2:7" ht="33" thickTop="1" thickBot="1" x14ac:dyDescent="0.3">
      <c r="B17" s="7" t="s">
        <v>18</v>
      </c>
      <c r="C17" s="7" t="s">
        <v>35</v>
      </c>
      <c r="D17" s="7">
        <v>190</v>
      </c>
      <c r="F17" s="14" t="s">
        <v>59</v>
      </c>
      <c r="G17" s="13" t="s">
        <v>3</v>
      </c>
    </row>
    <row r="18" spans="2:7" ht="16.5" thickTop="1" x14ac:dyDescent="0.25">
      <c r="B18" s="7" t="s">
        <v>19</v>
      </c>
      <c r="C18" s="7" t="s">
        <v>40</v>
      </c>
      <c r="D18" s="7">
        <v>50</v>
      </c>
      <c r="F18" s="1" t="s">
        <v>49</v>
      </c>
      <c r="G18" s="2">
        <v>2100</v>
      </c>
    </row>
    <row r="19" spans="2:7" ht="15.75" x14ac:dyDescent="0.25">
      <c r="B19" s="7" t="s">
        <v>20</v>
      </c>
      <c r="C19" s="7" t="s">
        <v>40</v>
      </c>
      <c r="D19" s="7">
        <v>70</v>
      </c>
      <c r="F19" s="1" t="s">
        <v>50</v>
      </c>
      <c r="G19" s="2">
        <v>2300</v>
      </c>
    </row>
    <row r="20" spans="2:7" ht="15.75" x14ac:dyDescent="0.25">
      <c r="B20" s="7" t="s">
        <v>21</v>
      </c>
      <c r="C20" s="7" t="s">
        <v>40</v>
      </c>
      <c r="D20" s="7">
        <v>200</v>
      </c>
      <c r="F20" s="1" t="s">
        <v>51</v>
      </c>
      <c r="G20" s="2">
        <v>1600</v>
      </c>
    </row>
    <row r="21" spans="2:7" ht="15.75" x14ac:dyDescent="0.25">
      <c r="B21" s="7" t="s">
        <v>22</v>
      </c>
      <c r="C21" s="7" t="s">
        <v>36</v>
      </c>
      <c r="D21" s="7">
        <v>100</v>
      </c>
      <c r="F21" s="1" t="s">
        <v>52</v>
      </c>
      <c r="G21" s="2">
        <v>2500</v>
      </c>
    </row>
    <row r="22" spans="2:7" ht="15.75" x14ac:dyDescent="0.25">
      <c r="B22" s="7" t="s">
        <v>23</v>
      </c>
      <c r="C22" s="7" t="s">
        <v>44</v>
      </c>
      <c r="D22" s="7">
        <v>140</v>
      </c>
      <c r="F22" s="1" t="s">
        <v>53</v>
      </c>
      <c r="G22" s="2">
        <v>2150</v>
      </c>
    </row>
    <row r="23" spans="2:7" ht="15.75" x14ac:dyDescent="0.25">
      <c r="B23" s="7" t="s">
        <v>24</v>
      </c>
      <c r="C23" s="7" t="s">
        <v>41</v>
      </c>
      <c r="D23" s="7">
        <v>150</v>
      </c>
      <c r="F23" s="1" t="s">
        <v>54</v>
      </c>
      <c r="G23" s="2">
        <v>1700</v>
      </c>
    </row>
    <row r="24" spans="2:7" ht="15.75" x14ac:dyDescent="0.25">
      <c r="B24" s="7" t="s">
        <v>25</v>
      </c>
      <c r="C24" s="7" t="s">
        <v>32</v>
      </c>
      <c r="D24" s="7">
        <v>112</v>
      </c>
    </row>
    <row r="25" spans="2:7" ht="15.75" x14ac:dyDescent="0.25">
      <c r="B25" s="7" t="s">
        <v>26</v>
      </c>
      <c r="C25" s="7" t="s">
        <v>32</v>
      </c>
      <c r="D25" s="7">
        <v>80</v>
      </c>
    </row>
    <row r="26" spans="2:7" ht="15.75" x14ac:dyDescent="0.25">
      <c r="B26" s="7" t="s">
        <v>27</v>
      </c>
      <c r="C26" s="7" t="s">
        <v>40</v>
      </c>
      <c r="D26" s="7">
        <v>60</v>
      </c>
    </row>
    <row r="27" spans="2:7" ht="15.75" x14ac:dyDescent="0.25">
      <c r="B27" s="7" t="s">
        <v>28</v>
      </c>
      <c r="C27" s="7" t="s">
        <v>33</v>
      </c>
      <c r="D27" s="7">
        <v>30</v>
      </c>
    </row>
    <row r="28" spans="2:7" ht="15.75" x14ac:dyDescent="0.25">
      <c r="B28" s="7" t="s">
        <v>29</v>
      </c>
      <c r="C28" s="7" t="s">
        <v>34</v>
      </c>
      <c r="D28" s="7">
        <v>110</v>
      </c>
    </row>
    <row r="29" spans="2:7" ht="15.75" x14ac:dyDescent="0.25">
      <c r="B29" s="7" t="s">
        <v>30</v>
      </c>
      <c r="C29" s="7" t="s">
        <v>37</v>
      </c>
      <c r="D29" s="7">
        <v>110</v>
      </c>
    </row>
    <row r="31" spans="2:7" ht="15.75" thickBot="1" x14ac:dyDescent="0.3"/>
    <row r="32" spans="2:7" ht="17.25" thickTop="1" thickBot="1" x14ac:dyDescent="0.3">
      <c r="B32" s="13" t="s">
        <v>68</v>
      </c>
      <c r="C32" s="13" t="s">
        <v>69</v>
      </c>
      <c r="D32" s="5"/>
      <c r="E32" s="5"/>
    </row>
    <row r="33" spans="2:5" ht="16.5" thickTop="1" x14ac:dyDescent="0.25">
      <c r="B33" s="9" t="s">
        <v>70</v>
      </c>
      <c r="C33" s="9">
        <f>SUM(D3:D29)</f>
        <v>3034</v>
      </c>
      <c r="D33" s="5"/>
      <c r="E33" s="5"/>
    </row>
    <row r="34" spans="2:5" ht="15.75" x14ac:dyDescent="0.25">
      <c r="B34" s="9" t="s">
        <v>71</v>
      </c>
      <c r="C34" s="9">
        <f>SUM(I3:I8)</f>
        <v>43138.050314465407</v>
      </c>
      <c r="D34" s="5"/>
      <c r="E34" s="5"/>
    </row>
    <row r="35" spans="2:5" ht="15.75" x14ac:dyDescent="0.25">
      <c r="B35" s="9" t="s">
        <v>72</v>
      </c>
      <c r="C35" s="9">
        <f>SUM(J3:J8)</f>
        <v>4313.8050314465399</v>
      </c>
      <c r="D35" s="5"/>
      <c r="E35" s="5"/>
    </row>
    <row r="36" spans="2:5" ht="30" x14ac:dyDescent="0.25">
      <c r="B36" s="9" t="s">
        <v>73</v>
      </c>
      <c r="C36" s="9">
        <f>SUM(K3:K8)</f>
        <v>16418.341949685535</v>
      </c>
      <c r="D36" s="5"/>
      <c r="E36" s="5"/>
    </row>
    <row r="37" spans="2:5" ht="15.75" x14ac:dyDescent="0.25">
      <c r="B37" s="9" t="s">
        <v>74</v>
      </c>
      <c r="C37" s="9">
        <f>SUM(L3:L8)</f>
        <v>9496.7924528301864</v>
      </c>
      <c r="D37" s="5"/>
      <c r="E37" s="5"/>
    </row>
    <row r="38" spans="2:5" ht="15.75" x14ac:dyDescent="0.25">
      <c r="B38" s="9" t="s">
        <v>75</v>
      </c>
      <c r="C38" s="9">
        <f>SUM(M3:M8)</f>
        <v>21569.025157232703</v>
      </c>
      <c r="D38" s="5"/>
      <c r="E38" s="5"/>
    </row>
    <row r="39" spans="2:5" ht="30" x14ac:dyDescent="0.25">
      <c r="B39" s="9" t="s">
        <v>76</v>
      </c>
      <c r="C39" s="9">
        <f>SUM(C34:C38)</f>
        <v>94936.014905660355</v>
      </c>
      <c r="D39" s="5"/>
      <c r="E39" s="5"/>
    </row>
    <row r="40" spans="2:5" ht="15.75" x14ac:dyDescent="0.25">
      <c r="B40" s="9" t="s">
        <v>85</v>
      </c>
      <c r="C40" s="9">
        <f>O9</f>
        <v>9493.6014905660359</v>
      </c>
      <c r="D40" s="5"/>
      <c r="E40" s="5"/>
    </row>
    <row r="41" spans="2:5" ht="15.75" x14ac:dyDescent="0.25">
      <c r="B41" s="9" t="s">
        <v>77</v>
      </c>
      <c r="C41" s="9">
        <f>C39+C40</f>
        <v>104429.6163962264</v>
      </c>
      <c r="D41" s="5"/>
      <c r="E41" s="5"/>
    </row>
    <row r="42" spans="2:5" ht="15.75" x14ac:dyDescent="0.25">
      <c r="B42" s="5" t="s">
        <v>78</v>
      </c>
      <c r="C42" s="11">
        <f>C41*S7/100</f>
        <v>20885.923279245279</v>
      </c>
      <c r="D42" s="7" t="s">
        <v>82</v>
      </c>
      <c r="E42" s="7">
        <f>C42*(1-S9/100)</f>
        <v>16708.738623396224</v>
      </c>
    </row>
    <row r="43" spans="2:5" ht="15.75" x14ac:dyDescent="0.25">
      <c r="B43" s="9" t="s">
        <v>79</v>
      </c>
      <c r="C43" s="11">
        <f>C41+C42</f>
        <v>125315.53967547168</v>
      </c>
      <c r="D43" s="7" t="s">
        <v>83</v>
      </c>
      <c r="E43" s="7">
        <f>E42/C41*100</f>
        <v>16</v>
      </c>
    </row>
    <row r="44" spans="2:5" ht="15.75" x14ac:dyDescent="0.25">
      <c r="B44" s="10" t="s">
        <v>80</v>
      </c>
      <c r="C44" s="10">
        <f>C43*S8/100</f>
        <v>25063.107935094336</v>
      </c>
      <c r="D44" s="5"/>
      <c r="E44" s="5"/>
    </row>
    <row r="45" spans="2:5" ht="15.75" x14ac:dyDescent="0.25">
      <c r="B45" s="12" t="s">
        <v>81</v>
      </c>
      <c r="C45" s="12">
        <f>C43+C44</f>
        <v>150378.64761056603</v>
      </c>
      <c r="D45" s="5"/>
      <c r="E4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Перкович</dc:creator>
  <cp:lastModifiedBy>Артем Перкович</cp:lastModifiedBy>
  <dcterms:created xsi:type="dcterms:W3CDTF">2024-12-10T18:29:32Z</dcterms:created>
  <dcterms:modified xsi:type="dcterms:W3CDTF">2024-12-11T07:02:13Z</dcterms:modified>
</cp:coreProperties>
</file>