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tijntjedijk/Desktop/R output May 10 - 10000 2/R code - cumulative/data/"/>
    </mc:Choice>
  </mc:AlternateContent>
  <xr:revisionPtr revIDLastSave="0" documentId="13_ncr:1_{0643E7F3-1B62-7049-8BEA-F2FB82F3C0B8}" xr6:coauthVersionLast="47" xr6:coauthVersionMax="47" xr10:uidLastSave="{00000000-0000-0000-0000-000000000000}"/>
  <bookViews>
    <workbookView xWindow="140" yWindow="940" windowWidth="33640" windowHeight="21120" activeTab="4" xr2:uid="{00000000-000D-0000-FFFF-FFFF00000000}"/>
  </bookViews>
  <sheets>
    <sheet name="cohort" sheetId="2" r:id="rId1"/>
    <sheet name="Rx" sheetId="11" r:id="rId2"/>
    <sheet name="transition probabilities" sheetId="7" r:id="rId3"/>
    <sheet name="conversion USD" sheetId="3" r:id="rId4"/>
    <sheet name="policy_notes" sheetId="12" r:id="rId5"/>
    <sheet name="cumulative-ma" sheetId="16" r:id="rId6"/>
    <sheet name="MA_input" sheetId="25" r:id="rId7"/>
    <sheet name="FDA_MA_input" sheetId="23" r:id="rId8"/>
    <sheet name="severity" sheetId="19" r:id="rId9"/>
    <sheet name="ma-sr-paper-overview" sheetId="17"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1" l="1"/>
  <c r="G17" i="11"/>
  <c r="H16" i="11"/>
  <c r="G16" i="11"/>
  <c r="H10" i="11"/>
  <c r="G10" i="11"/>
  <c r="F10" i="11"/>
  <c r="H9" i="11"/>
  <c r="G9" i="11"/>
  <c r="F9" i="11"/>
  <c r="H8" i="11"/>
  <c r="F8" i="11"/>
  <c r="H3" i="11"/>
  <c r="G3" i="11"/>
  <c r="F3" i="11"/>
  <c r="H2" i="11"/>
  <c r="G2" i="11"/>
  <c r="F2" i="11"/>
  <c r="T17" i="25"/>
  <c r="T22" i="25"/>
  <c r="S22" i="25"/>
  <c r="T21" i="25"/>
  <c r="S21" i="25"/>
  <c r="T9" i="25"/>
  <c r="S9" i="25"/>
  <c r="T8" i="25"/>
  <c r="S8" i="25"/>
  <c r="P5" i="23" l="1"/>
  <c r="G3" i="19" l="1"/>
  <c r="G4" i="19"/>
  <c r="G5" i="19"/>
  <c r="G6" i="19"/>
  <c r="G7" i="19"/>
  <c r="G8" i="19"/>
  <c r="G9" i="19"/>
  <c r="G10" i="19"/>
  <c r="G11" i="19"/>
  <c r="G12" i="19"/>
  <c r="G13" i="19"/>
  <c r="G14" i="19"/>
  <c r="G15" i="19"/>
  <c r="G16" i="19"/>
  <c r="G17" i="19"/>
  <c r="G18" i="19"/>
  <c r="G19" i="19"/>
  <c r="G20" i="19"/>
  <c r="G21" i="19"/>
  <c r="G22" i="19"/>
  <c r="G23" i="19"/>
  <c r="G2" i="19"/>
  <c r="F5" i="19"/>
  <c r="F6" i="19"/>
  <c r="F7" i="19" s="1"/>
  <c r="F8" i="19" s="1"/>
  <c r="F9" i="19" s="1"/>
  <c r="F10" i="19" s="1"/>
  <c r="F11" i="19" s="1"/>
  <c r="F12" i="19" s="1"/>
  <c r="F13" i="19" s="1"/>
  <c r="F14" i="19" s="1"/>
  <c r="F15" i="19" s="1"/>
  <c r="F16" i="19" s="1"/>
  <c r="F17" i="19" s="1"/>
  <c r="F18" i="19" s="1"/>
  <c r="F19" i="19" s="1"/>
  <c r="F20" i="19" s="1"/>
  <c r="F21" i="19" s="1"/>
  <c r="F22" i="19" s="1"/>
  <c r="F23" i="19" s="1"/>
  <c r="F4" i="19"/>
  <c r="F3" i="19"/>
  <c r="F2" i="19"/>
  <c r="D10" i="19"/>
  <c r="E5" i="19"/>
  <c r="E6" i="19" s="1"/>
  <c r="E7" i="19" s="1"/>
  <c r="E8" i="19" s="1"/>
  <c r="E9" i="19" s="1"/>
  <c r="E10" i="19" s="1"/>
  <c r="E11" i="19" s="1"/>
  <c r="E12" i="19" s="1"/>
  <c r="E13" i="19" s="1"/>
  <c r="E14" i="19" s="1"/>
  <c r="E15" i="19" s="1"/>
  <c r="E16" i="19" s="1"/>
  <c r="E17" i="19" s="1"/>
  <c r="E18" i="19" s="1"/>
  <c r="E19" i="19" s="1"/>
  <c r="E20" i="19" s="1"/>
  <c r="E21" i="19" s="1"/>
  <c r="E22" i="19" s="1"/>
  <c r="E23" i="19" s="1"/>
  <c r="E4" i="19"/>
  <c r="E3" i="19"/>
  <c r="E2" i="19"/>
  <c r="D3" i="19"/>
  <c r="D4" i="19"/>
  <c r="D5" i="19"/>
  <c r="D6" i="19"/>
  <c r="D7" i="19"/>
  <c r="D8" i="19"/>
  <c r="D9" i="19"/>
  <c r="D11" i="19"/>
  <c r="D12" i="19"/>
  <c r="D13" i="19"/>
  <c r="D14" i="19"/>
  <c r="D15" i="19"/>
  <c r="D16" i="19"/>
  <c r="D17" i="19"/>
  <c r="D18" i="19"/>
  <c r="D19" i="19"/>
  <c r="D20" i="19"/>
  <c r="D21" i="19"/>
  <c r="D22" i="19"/>
  <c r="D23" i="19"/>
  <c r="D2" i="19"/>
  <c r="H14" i="2" l="1"/>
  <c r="H13" i="2"/>
  <c r="H12" i="2"/>
  <c r="H11" i="2"/>
  <c r="B24" i="7"/>
  <c r="G21" i="7"/>
  <c r="D21" i="7"/>
  <c r="B18" i="7"/>
  <c r="G15" i="7"/>
  <c r="D15" i="7"/>
  <c r="B6" i="7"/>
  <c r="B12" i="7"/>
  <c r="G9" i="7"/>
  <c r="D9" i="7"/>
  <c r="G3" i="7"/>
  <c r="D3" i="7"/>
  <c r="D6" i="7" l="1"/>
  <c r="D24" i="7"/>
  <c r="G24" i="7"/>
  <c r="G18" i="7"/>
  <c r="D18" i="7"/>
  <c r="D12" i="7"/>
  <c r="G12" i="7"/>
  <c r="G6" i="7"/>
  <c r="F27" i="2" l="1"/>
  <c r="G6" i="2" l="1"/>
  <c r="H6" i="2"/>
  <c r="H5" i="2"/>
  <c r="G5" i="2"/>
  <c r="H26" i="2" l="1"/>
  <c r="G26" i="2"/>
  <c r="H8" i="2"/>
  <c r="G8" i="2"/>
  <c r="H7" i="2"/>
  <c r="G7" i="2"/>
  <c r="F9" i="2" l="1"/>
  <c r="G9" i="2"/>
  <c r="H10" i="2"/>
  <c r="F10" i="2"/>
  <c r="F16" i="2" l="1"/>
  <c r="H16" i="2"/>
  <c r="H15" i="2" l="1"/>
  <c r="F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tc={CDB3FF95-C463-2041-A013-15EAC0DB5B1D}</author>
  </authors>
  <commentList>
    <comment ref="F21" authorId="0" shapeId="0" xr:uid="{CDB3FF95-C463-2041-A013-15EAC0DB5B1D}">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SD 0.301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tc={7971CD1F-7BA4-E542-AEF3-C66747487D01}</author>
  </authors>
  <commentList>
    <comment ref="K2" authorId="0" shapeId="0" xr:uid="{7971CD1F-7BA4-E542-AEF3-C66747487D01}">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 think we head taken this link, not the one currently in thte excel: https://pubmed.ncbi.nlm.nih.gov/30264133/, wht 19.000 million c RCT fixed and 43924*930/45) pp inclding fixed
</t>
      </text>
    </comment>
  </commentList>
</comments>
</file>

<file path=xl/sharedStrings.xml><?xml version="1.0" encoding="utf-8"?>
<sst xmlns="http://schemas.openxmlformats.org/spreadsheetml/2006/main" count="1238" uniqueCount="474">
  <si>
    <t>Treatment</t>
  </si>
  <si>
    <t>Param</t>
  </si>
  <si>
    <t>source</t>
  </si>
  <si>
    <t>Distribution</t>
  </si>
  <si>
    <t xml:space="preserve">https://www.kff.org/health-costs/state-indicator/expenses-per-inpatient-day/?currentTimeframe=0&amp;sortModel=%7B%22colId%22:%22Location%22,%22sort%22:%22asc%22%7D </t>
  </si>
  <si>
    <t>c_D</t>
  </si>
  <si>
    <t>c_RCT_fixed</t>
  </si>
  <si>
    <t>c_RCT_ppo</t>
  </si>
  <si>
    <t>Med</t>
  </si>
  <si>
    <t>Unit</t>
  </si>
  <si>
    <t>Beta</t>
  </si>
  <si>
    <t>Lognormal</t>
  </si>
  <si>
    <t>Uniform</t>
  </si>
  <si>
    <t>Assumption</t>
  </si>
  <si>
    <t>Assum 20% uniform distribution</t>
  </si>
  <si>
    <t>years</t>
  </si>
  <si>
    <t>Lo_alpha</t>
  </si>
  <si>
    <t>Hi_beta</t>
  </si>
  <si>
    <t>Triangular</t>
  </si>
  <si>
    <t>Country</t>
  </si>
  <si>
    <t>USA</t>
  </si>
  <si>
    <t>Unit_amount</t>
  </si>
  <si>
    <t>utility</t>
  </si>
  <si>
    <t>usual care</t>
  </si>
  <si>
    <t>u_H</t>
  </si>
  <si>
    <t>NA</t>
  </si>
  <si>
    <t>u_D</t>
  </si>
  <si>
    <t>probability</t>
  </si>
  <si>
    <t>p_vent</t>
  </si>
  <si>
    <t>https://www.bmj.com/content/bmj/369/bmj.m1985.full.pdf</t>
  </si>
  <si>
    <t>number</t>
  </si>
  <si>
    <t>c_recovery</t>
  </si>
  <si>
    <t>c_I_vent</t>
  </si>
  <si>
    <t>c_I_noVent</t>
  </si>
  <si>
    <t>72.0</t>
  </si>
  <si>
    <t xml:space="preserve">No cost associated with dying </t>
  </si>
  <si>
    <t>dollars</t>
  </si>
  <si>
    <t>description</t>
  </si>
  <si>
    <t>c_Healthcare</t>
  </si>
  <si>
    <t>Assume 20% uniform distribution</t>
  </si>
  <si>
    <t>Mean age of the population upon which transition probabilities are based. Based on a Multicenter observational cohort in the UK.</t>
  </si>
  <si>
    <t>N/A</t>
  </si>
  <si>
    <t>Empirical study calculating mean costs after stabilization, estimated from 253 US hospitals with 51009 patients, 2005</t>
  </si>
  <si>
    <t>https://law.vanderbilt.edu/files/archive/279_Adjusting-VSL-for-Age-and-Cohort-Effects.pdf</t>
  </si>
  <si>
    <t>Costs estimated based on mean expected recovery needs (Dutch National Health Authority: 30 sessions physiotherapy, 5 hours occupational therapy, 4 hours dietician) and US estimated prices (Physical therapy $75/h, Occupational therapy $225/h, Dietician $70/h)</t>
  </si>
  <si>
    <t>https://www.zorginstituutnederland.nl/actueel/nieuws/2020/07/13/zorginstituut-adviseert-tijdelijk-ruimere-vergoeding-paramedische-herstelzorg-voor-patienten-met-ernstige-covid-19</t>
  </si>
  <si>
    <t>https://journals.lww.com/ccmjournal/Abstract/2005/06000/Daily_cost_of_an_intensive_care_unit_day__The.13.aspx</t>
  </si>
  <si>
    <t>https://meps.ahrq.gov/mepstrends/hc_use/</t>
  </si>
  <si>
    <t>Mean healthcare expenditure per person per year for people aged 65+. Based on the US Medical Expenditure Panel Survey 1996-2017</t>
  </si>
  <si>
    <t>p_Private_insurance</t>
  </si>
  <si>
    <t>https://www.census.gov/library/publications/2019/demo/p60-267.html</t>
  </si>
  <si>
    <t>Probability someone in the ICU requires mechanical ventilation. Based on a Multicenter observational cohort study from the UK.</t>
  </si>
  <si>
    <t>Proportion of population that is male, in study upon which transition probabilities are based. Based on a Multicenter observational cohort study.</t>
  </si>
  <si>
    <t>Probability someone has private health insurance, conditional on having health insurance. As reported by the United States Census Bureau, November 2018, based on information collected in the Current Population Survey Annual Social and Economic Supplement and the American Community Survey.</t>
  </si>
  <si>
    <t>https://journals.sagepub.com/doi/abs/10.1177/1740774520907609</t>
  </si>
  <si>
    <t>u_R_H</t>
  </si>
  <si>
    <t>https://ccforum.biomedcentral.com/articles/10.1186/cc8848</t>
  </si>
  <si>
    <t>n_age</t>
  </si>
  <si>
    <t>p_men</t>
  </si>
  <si>
    <t>u_R_IC</t>
  </si>
  <si>
    <t>u_I</t>
  </si>
  <si>
    <t>All</t>
  </si>
  <si>
    <t>2020USD, per day</t>
  </si>
  <si>
    <t>2020USD, per year</t>
  </si>
  <si>
    <t>2020USD, per person, per 6 months</t>
  </si>
  <si>
    <t>Conversion to 2020 USD</t>
  </si>
  <si>
    <t xml:space="preserve">https://www.usinflationcalculator.com </t>
  </si>
  <si>
    <t>2020USD, lifeyears</t>
  </si>
  <si>
    <t>c_Hospital</t>
  </si>
  <si>
    <t>2020USD</t>
  </si>
  <si>
    <t>p_H</t>
  </si>
  <si>
    <t>p_IC</t>
  </si>
  <si>
    <t>Probability to be admitted only to the hospital ward, but not the ICU. Based on a multicenter observational cohort from the UK</t>
  </si>
  <si>
    <t>Probability to be admitted to the ICU. Based on a multicenter observational cohort from the UK</t>
  </si>
  <si>
    <t>number of days</t>
  </si>
  <si>
    <t>per dose</t>
  </si>
  <si>
    <t>c_LY_2020</t>
  </si>
  <si>
    <t>Used beta_param function Dampack to calculate shape1 and shape 2</t>
  </si>
  <si>
    <t>e_H</t>
  </si>
  <si>
    <t>e_D</t>
  </si>
  <si>
    <t>effect</t>
  </si>
  <si>
    <t>p_R_IC_D</t>
  </si>
  <si>
    <t>Conditional on complete follow up, died while being on the ICU during hospital stay study. Used to calculated together with the deaths from the hospital admission the deads during the using.</t>
  </si>
  <si>
    <t>p_R_H_D</t>
  </si>
  <si>
    <t>Conditional on complete follow up, died while being in the hospital ward during hospital stay study.</t>
  </si>
  <si>
    <t>e_R_H</t>
  </si>
  <si>
    <t>e_R_IC</t>
  </si>
  <si>
    <t>wtp</t>
  </si>
  <si>
    <t>https://pdfs.semanticscholar.org/ca63/720f6a0148d0b4d869831823d2fc5c98de62.pdf</t>
  </si>
  <si>
    <t>Willingness to pay level for the US. Based on Neumann et al 2014.</t>
  </si>
  <si>
    <t xml:space="preserve">We do not include uninsured patients as we have a elderly population. 0.673 reported in tabel 1 but we exlcudde the uninsured </t>
  </si>
  <si>
    <t>Hospital adjusted expenses per inpatient day in the US, with mean cost as mean, and most and least expensive states as minimum and maximum</t>
  </si>
  <si>
    <t>No costs are assigned to the dead state</t>
  </si>
  <si>
    <t>Utility of being dead is 0</t>
  </si>
  <si>
    <t>Utility of being alive is 1</t>
  </si>
  <si>
    <t>Utility of being in the hospital ward</t>
  </si>
  <si>
    <t>Utility after recovery from the ICU, assessed using the EuroQOL-5D tool. Based on a prospective study on utility 5 years post intensive care treatment. Mean = 0.677 and SD = 0.301. Our assumption is that COVID-19 post-ICU patients experience the same quality of life as the general post-ICU population</t>
  </si>
  <si>
    <t>https://papers.ssrn.com/sol3/papers.cfm?abstract_id=3586694</t>
  </si>
  <si>
    <t xml:space="preserve">Utility of being in the ICU; Based EQ-5D Index Scores collected from the U.S. Medical Expenditure Panel Survey (MEPS). </t>
  </si>
  <si>
    <t>https://www.ncbi.nlm.nih.gov/pmc/articles/PMC2634296/</t>
  </si>
  <si>
    <t>remarks_and_questions</t>
  </si>
  <si>
    <t>Utility of having recovered from the hospital ward. Reverts back to the utility of the general population. We assumed the U.S. population average was 0.88 QALYs</t>
  </si>
  <si>
    <t>t_Die_mj</t>
  </si>
  <si>
    <t>days</t>
  </si>
  <si>
    <t>Number of days in which the majority of patients dies, based on the cohort study by Docherty et al.</t>
  </si>
  <si>
    <t>p_Die_1</t>
  </si>
  <si>
    <t>p_Die_2</t>
  </si>
  <si>
    <t>proportion</t>
  </si>
  <si>
    <t>Proportion of patients that dies in the first timeperiod (majority), based on the cohort study</t>
  </si>
  <si>
    <t>p_R_IC_D_vent</t>
  </si>
  <si>
    <t>p_R_IC_D_novent</t>
  </si>
  <si>
    <t>Conditional on complete follow up, died while being on the ICU during hospital stay study, for the group receiving mechanical ventilation</t>
  </si>
  <si>
    <t>Conditional on complete follow up, died while being on the ICU during hospital stay study, for the group receiving no mechanical ventilation</t>
  </si>
  <si>
    <t>LOS_Trt</t>
  </si>
  <si>
    <t>LOS_noTrt</t>
  </si>
  <si>
    <t>n_Trt</t>
  </si>
  <si>
    <t>c_Trt_public</t>
  </si>
  <si>
    <t>c_Trt_private</t>
  </si>
  <si>
    <t>n_days_timespan2</t>
  </si>
  <si>
    <t>n_days_timespan1</t>
  </si>
  <si>
    <t>t_hr_D_Trt</t>
  </si>
  <si>
    <t>p_IC_notrt</t>
  </si>
  <si>
    <t>RR</t>
  </si>
  <si>
    <t>rr_D_Trt_timespan2</t>
  </si>
  <si>
    <t>usual_care</t>
  </si>
  <si>
    <t>dollar</t>
  </si>
  <si>
    <t>RECOVERY</t>
  </si>
  <si>
    <t>https://www.drugs.com/price-guide/actemra</t>
  </si>
  <si>
    <t>ICU</t>
  </si>
  <si>
    <t>Alive</t>
  </si>
  <si>
    <t xml:space="preserve">Dead </t>
  </si>
  <si>
    <t>Hospital</t>
  </si>
  <si>
    <t>Dead with censoring</t>
  </si>
  <si>
    <t>Dead without censoring, assume if still in hospital after 2 cycles = alive</t>
  </si>
  <si>
    <t>Calculating transition probabilities</t>
  </si>
  <si>
    <t>Total</t>
  </si>
  <si>
    <t>ICU - Vent</t>
  </si>
  <si>
    <t>ICU - no Vent</t>
  </si>
  <si>
    <t>NB: Currently not used. Value of a statistical life in USD.</t>
  </si>
  <si>
    <t>This value is copied to the Rx sheet and has the parameters name p_IC. However, we need to give it a different name here to ensure no issues in the PSA code</t>
  </si>
  <si>
    <t>21-73 days</t>
  </si>
  <si>
    <t>Estimated per patient cost of running a new RCT, based on the mean cost per person included in both government and industry funded trials across 21 sites, converted to 2020 USD</t>
  </si>
  <si>
    <t>Estimated cost of running a new RCT. Based on a review of 59 novel therapeutic drugs using annual summary reports from the FDA Center for Drug Evaluation and Research, 2016. The median cost of these trials was 19 Million USD (10.3 in 2020USD). Considering that  this was the median cost for trials up to 26 weeks, and our RCT is much shorter (3 months), we adjust the fixed cost to a 0.5 proportion of the costs reported in this paper.</t>
  </si>
  <si>
    <t>doi:10.1001/jamainternmed.2018.3931</t>
  </si>
  <si>
    <t>https://www-nejm-org.eur.idm.oclc.org/doi/full/10.1056/NEJMoa2100433</t>
  </si>
  <si>
    <t>source-label</t>
  </si>
  <si>
    <t>date</t>
  </si>
  <si>
    <t>decision</t>
  </si>
  <si>
    <t>link</t>
  </si>
  <si>
    <t>FDA</t>
  </si>
  <si>
    <t>https://www.fda.gov/news-events/press-announcements/coronavirus-covid-19-update-fda-authorizes-monoclonal-antibodies-treatment-covid-19</t>
  </si>
  <si>
    <t>EUA</t>
  </si>
  <si>
    <t>treatment</t>
  </si>
  <si>
    <t>casirivimab and imdevimab</t>
  </si>
  <si>
    <t>comment</t>
  </si>
  <si>
    <t>bebtelovimab</t>
  </si>
  <si>
    <t xml:space="preserve">https://www.fda.gov/news-events/press-announcements/coronavirus-covid-19-update-fda-authorizes-new-monoclonal-antibody-treatment-covid-19-retains </t>
  </si>
  <si>
    <t>bamlanivimab</t>
  </si>
  <si>
    <t xml:space="preserve">https://www.fda.gov/news-events/press-announcements/coronavirus-covid-19-update-fda-authorizes-monoclonal-antibody-treatment-covid-19 </t>
  </si>
  <si>
    <t>population: at risk for hospitalization, exclude. NOT authorized for hospitalized patients</t>
  </si>
  <si>
    <t>2020_11_21</t>
  </si>
  <si>
    <t>2022_02_11</t>
  </si>
  <si>
    <t>2020_11_09</t>
  </si>
  <si>
    <t>2021_02_09</t>
  </si>
  <si>
    <t xml:space="preserve">https://www.fda.gov/news-events/press-announcements/coronavirus-covid-19-update-fda-authorizes-monoclonal-antibodies-treatment-covid-19-0 </t>
  </si>
  <si>
    <t>bamlanivimab and etesivimab</t>
  </si>
  <si>
    <t>Limit use</t>
  </si>
  <si>
    <t>2022_01_24</t>
  </si>
  <si>
    <t>https://www.fda.gov/news-events/press-announcements/coronavirus-covid-19-update-fda-limits-use-certain-monoclonal-antibodies-treat-covid-19-due-omicron</t>
  </si>
  <si>
    <t>bamlanivimab and etesivimab; casirivimab and imdevimab</t>
  </si>
  <si>
    <t>revised authorization to limit their use to only patients likely to have been infected with a varient susceptible to these treatments</t>
  </si>
  <si>
    <t>2021_05_2021</t>
  </si>
  <si>
    <t>https://www.fda.gov/news-events/press-announcements/coronavirus-covid-19-update-fda-authorizes-additional-monoclonal-antibody-treatment-covid-19</t>
  </si>
  <si>
    <t>sotrovimab</t>
  </si>
  <si>
    <t>2021_08_10</t>
  </si>
  <si>
    <t>Expand EUA</t>
  </si>
  <si>
    <t>https://www.fda.gov/drugs/drug-safety-and-availability/fda-authorizes-regen-cov-monoclonal-antibody-therapy-post-exposure-prophylaxis-prevention-covid-19</t>
  </si>
  <si>
    <t>population: expanding to risk for hospitalization hospitalized patients</t>
  </si>
  <si>
    <t>2021_04_16</t>
  </si>
  <si>
    <t>EUA revoked</t>
  </si>
  <si>
    <t>https://www.fda.gov/news-events/press-announcements/coronavirus-covid-19-update-fda-revokes-emergency-use-authorization-monoclonal-antibody-bamlanivimab</t>
  </si>
  <si>
    <t>population: at risk for hospitalization, exclude.</t>
  </si>
  <si>
    <t>https://www.fda.gov/drugs/drug-safety-and-availability/fda-updates-sotrovimab-emergency-use-authorization</t>
  </si>
  <si>
    <t>2022_05_04</t>
  </si>
  <si>
    <t>EUA limited</t>
  </si>
  <si>
    <t>limited to specific areas due to omicron BA.2 variant</t>
  </si>
  <si>
    <t>2022_03_25</t>
  </si>
  <si>
    <t>2022_02_25</t>
  </si>
  <si>
    <t>revoked for all areas due to BA.2 variant</t>
  </si>
  <si>
    <t>population</t>
  </si>
  <si>
    <t>outpatient</t>
  </si>
  <si>
    <t>https://www.accessdata.fda.gov/scripts/cder/daf/index.cfm?event=reportsSearch.process</t>
  </si>
  <si>
    <t>2021_06_24</t>
  </si>
  <si>
    <t>https://www.fda.gov/news-events/press-announcements/coronavirus-covid-19-update-fda-authorizes-drug-treatment-covid-19</t>
  </si>
  <si>
    <t>tocilizumab</t>
  </si>
  <si>
    <t>The data supporting this EUA for Actemra are based on four clinical trials. These included one randomized, controlled, open-label, platform trial [Randomised Evaluation of COVID-19 Therapy (RECOVERY)] and three randomized, double-blind, placebo-controlled trials (EMPACTA, COVACTA and REMDACTA). While all four clinical trials contribute to the FDA’s understanding of Actemra for the treatment of COVID-19, the most important scientific evidence on the potential benefit of Actemra for its authorized use came from the RECOVERY and EMPACTA trials.</t>
  </si>
  <si>
    <t>hospitalized</t>
  </si>
  <si>
    <t>2022_12_21</t>
  </si>
  <si>
    <t>Approval</t>
  </si>
  <si>
    <t>https://www.fda.gov/media/150345/download</t>
  </si>
  <si>
    <t>2022_05_10</t>
  </si>
  <si>
    <t>https://www.fda.gov/media/143825/download</t>
  </si>
  <si>
    <t>baricitinib</t>
  </si>
  <si>
    <t xml:space="preserve">The approval of Olumiant for adults on May 10, 2022, was supported by data from two phase 3,
randomized, double-blind, placebo-controlled clinical trials (COVID I and COVID II). Approval was also
supported by a substudy in mechanically ventilated patients and top-line results from an open-label
pragmatic study, Randomised Evaluation of COVID-19 Therapy (RECOVERY). </t>
  </si>
  <si>
    <t>2022_08_02</t>
  </si>
  <si>
    <t>Revised EUA</t>
  </si>
  <si>
    <t>https://www.fdanews.com/articles/203766-fda-revises-olumiant-eua-for-treating-covid-19</t>
  </si>
  <si>
    <t>previously only if given together with remdesivir; now approved alone</t>
  </si>
  <si>
    <t>2020_11_19</t>
  </si>
  <si>
    <t>approval if given together with Remdesivir</t>
  </si>
  <si>
    <t>Authors</t>
  </si>
  <si>
    <t>Trial ID</t>
  </si>
  <si>
    <t>Acronym</t>
  </si>
  <si>
    <t>Location</t>
  </si>
  <si>
    <r>
      <t>Severity of disease at baseline</t>
    </r>
    <r>
      <rPr>
        <sz val="8"/>
        <color rgb="FF000000"/>
        <rFont val="Calibri"/>
        <family val="2"/>
        <scheme val="minor"/>
      </rPr>
      <t> </t>
    </r>
  </si>
  <si>
    <t>% severe patients</t>
  </si>
  <si>
    <t>Start date</t>
  </si>
  <si>
    <t>End date</t>
  </si>
  <si>
    <t>Publication date</t>
  </si>
  <si>
    <t>Total enrolled</t>
  </si>
  <si>
    <r>
      <t>Intervention</t>
    </r>
    <r>
      <rPr>
        <sz val="8"/>
        <color rgb="FF000000"/>
        <rFont val="Calibri"/>
        <family val="2"/>
        <scheme val="minor"/>
      </rPr>
      <t> </t>
    </r>
    <r>
      <rPr>
        <sz val="5.5"/>
        <color rgb="FF000000"/>
        <rFont val="Calibri"/>
        <family val="2"/>
        <scheme val="minor"/>
      </rPr>
      <t xml:space="preserve"> arm</t>
    </r>
  </si>
  <si>
    <t>No. of subjects Intervention arm</t>
  </si>
  <si>
    <t>Control arm</t>
  </si>
  <si>
    <t>No. of subjects Control arm</t>
  </si>
  <si>
    <t>Mortality Intervention arm </t>
  </si>
  <si>
    <t>Mortality Control arm</t>
  </si>
  <si>
    <t>Vlaar et al</t>
  </si>
  <si>
    <t>NCT04333420</t>
  </si>
  <si>
    <t>PANAMO</t>
  </si>
  <si>
    <t>The Netherlands</t>
  </si>
  <si>
    <t>Severe disease based on PaO2/FiO2 level</t>
  </si>
  <si>
    <t>Vilobelimab + usual care</t>
  </si>
  <si>
    <t>Hermine et al</t>
  </si>
  <si>
    <t>NCT04331808</t>
  </si>
  <si>
    <t>CORIMUNO TOCI 1</t>
  </si>
  <si>
    <t>France</t>
  </si>
  <si>
    <t>Moderate to severe based on WHO-CPS score without NIV or MV</t>
  </si>
  <si>
    <t>TCZ + usual care</t>
  </si>
  <si>
    <t>RCT-TCZ study group</t>
  </si>
  <si>
    <t>NCT04346355</t>
  </si>
  <si>
    <t>RCT-TCZ</t>
  </si>
  <si>
    <t>Italy</t>
  </si>
  <si>
    <t>Moderate based on PaO2/FiO2 level and inflammatory markers, excluded ICU patients</t>
  </si>
  <si>
    <t>TCZ</t>
  </si>
  <si>
    <t>Stone et al.</t>
  </si>
  <si>
    <t>NCT04356937</t>
  </si>
  <si>
    <t>BACC BAY</t>
  </si>
  <si>
    <t>Moderate pneumonia, none ventilated at baseline</t>
  </si>
  <si>
    <t>Placebo + usual care</t>
  </si>
  <si>
    <t>Salama et al.</t>
  </si>
  <si>
    <t>NCT04372186</t>
  </si>
  <si>
    <t>EMPACTA</t>
  </si>
  <si>
    <t>Moderate based on SpO2, excluded patients on CPAP, BiPAP or MV</t>
  </si>
  <si>
    <t>Veiga et al.</t>
  </si>
  <si>
    <t>NCT04403685</t>
  </si>
  <si>
    <t>TOCIBRAS</t>
  </si>
  <si>
    <t>Brazil</t>
  </si>
  <si>
    <t>Severe or critical with evidence of pulmonary infiltrates + supplemental oxygen</t>
  </si>
  <si>
    <t>REMAP-CAP investigators (Tocilizumab)</t>
  </si>
  <si>
    <t>NCT02735707</t>
  </si>
  <si>
    <t>REMAP-CAP</t>
  </si>
  <si>
    <t>United Kingdom, Netherlands, Australia, New Zealand, Ireland, Saudi Arabia</t>
  </si>
  <si>
    <t>Critically ill patients</t>
  </si>
  <si>
    <t>REMAP-CAP investigators(Sarilumab)</t>
  </si>
  <si>
    <t>Sarilumab</t>
  </si>
  <si>
    <t>Soin et al.</t>
  </si>
  <si>
    <t>CTRI/2020/05/025369</t>
  </si>
  <si>
    <t>COVINTOC</t>
  </si>
  <si>
    <t>India</t>
  </si>
  <si>
    <t>Moderate to severe based on respiratory rate or SpO2, or presence of ARDS/septic shock</t>
  </si>
  <si>
    <t>Lescure et al. (Sari400mg)</t>
  </si>
  <si>
    <t>NCT04327388</t>
  </si>
  <si>
    <t>n.a</t>
  </si>
  <si>
    <t>Argentina, Brazil, Canada, Chile, France, Germany, Israel, Italy, Japan, Russia, Spain</t>
  </si>
  <si>
    <t>Severe group and critical group based on type of oxygen supplementation and need for ICU</t>
  </si>
  <si>
    <t>Sarilumab 400mg</t>
  </si>
  <si>
    <t>Placebo</t>
  </si>
  <si>
    <t>Lescure et al. (Sari200mg)</t>
  </si>
  <si>
    <t>Sarilumab 200mg</t>
  </si>
  <si>
    <t>Kumar et al.</t>
  </si>
  <si>
    <t>CTRI/2020/05/024959</t>
  </si>
  <si>
    <t>n.a.</t>
  </si>
  <si>
    <t>Moderate to severe based on PaO2/FiO2 levels and inflammatory markers</t>
  </si>
  <si>
    <t>Itolizumab + usual care</t>
  </si>
  <si>
    <t>Cremer et al.</t>
  </si>
  <si>
    <t>NCT04399980</t>
  </si>
  <si>
    <t>MASH-COVID</t>
  </si>
  <si>
    <t>United States</t>
  </si>
  <si>
    <t>Moderate to severe based on hypoxia and inflammatory markers</t>
  </si>
  <si>
    <t>Mavrilimumab</t>
  </si>
  <si>
    <t>Patel et al.</t>
  </si>
  <si>
    <t>NCT04376684</t>
  </si>
  <si>
    <t>OSCAR</t>
  </si>
  <si>
    <t>Moderate to severe disease based on hypoxemia and markers of systematic inflammation</t>
  </si>
  <si>
    <t>Otilimab + usual care</t>
  </si>
  <si>
    <t>Rosas et al.</t>
  </si>
  <si>
    <t>NCT04320615</t>
  </si>
  <si>
    <t>COVACTA</t>
  </si>
  <si>
    <t>Severe disease based on SpO2 or PaO2/FiO2 levels</t>
  </si>
  <si>
    <t xml:space="preserve">RECOVERY group </t>
  </si>
  <si>
    <t>NCT04381936</t>
  </si>
  <si>
    <t>United Kingdom</t>
  </si>
  <si>
    <t>Severe disease based on hypoxia and evidence of systemic inflammation</t>
  </si>
  <si>
    <t>Boyapati et al. (Sari400mg)</t>
  </si>
  <si>
    <t>NCT04315298</t>
  </si>
  <si>
    <t>Severe disease</t>
  </si>
  <si>
    <t>Boyapati et al. (Sari200mg)</t>
  </si>
  <si>
    <t>Lomakin et al.</t>
  </si>
  <si>
    <t>NCT04397562</t>
  </si>
  <si>
    <t>CORONA</t>
  </si>
  <si>
    <t>Russia</t>
  </si>
  <si>
    <t>Severe disease based on the presence of one of many criteria defined in the protocol</t>
  </si>
  <si>
    <t>LVL + usual care</t>
  </si>
  <si>
    <t>Declercq et al.</t>
  </si>
  <si>
    <t>NCT04330638</t>
  </si>
  <si>
    <t>COV-AID</t>
  </si>
  <si>
    <t>Belgium</t>
  </si>
  <si>
    <t>Severe based on hypoxia &amp; PaO2/FiO2 levels with signs of cytokine release syndrome</t>
  </si>
  <si>
    <t>TCZ (incl Anakinra) + usual care</t>
  </si>
  <si>
    <t>Anakinra + usual care</t>
  </si>
  <si>
    <t>Siltuximab (incl. Anakinra) + usual care</t>
  </si>
  <si>
    <t>Temesgen et al.</t>
  </si>
  <si>
    <t>NCT04351152</t>
  </si>
  <si>
    <t>LIVE  AIR</t>
  </si>
  <si>
    <t>Moderate based on oxygen saturation</t>
  </si>
  <si>
    <t>Lenzilumab + usual care</t>
  </si>
  <si>
    <t>2022_10_03</t>
  </si>
  <si>
    <t>Request for EUA</t>
  </si>
  <si>
    <t>https://www.pmlive.com/pharma_news/inflarx_seeks_fda_authorisation_for_vilobelimab_for_critically_ill_covid-19_patients_1456223</t>
  </si>
  <si>
    <t>Vilobelimab</t>
  </si>
  <si>
    <t>Intervention  arm</t>
  </si>
  <si>
    <t>2022_10_27</t>
  </si>
  <si>
    <t>EUA revision</t>
  </si>
  <si>
    <t>https://www.fda.gov/media/156151/download</t>
  </si>
  <si>
    <t>tixagevimab co-packaged with cilgavimab</t>
  </si>
  <si>
    <t>2023_01_26</t>
  </si>
  <si>
    <t>https://www.fda.gov/media/154704/download</t>
  </si>
  <si>
    <t>population: prophylaxis</t>
  </si>
  <si>
    <t>(Regeneron); Not authorized for in hospital use</t>
  </si>
  <si>
    <t>unclear</t>
  </si>
  <si>
    <t>Variant</t>
  </si>
  <si>
    <t>Variant source</t>
  </si>
  <si>
    <t>Alpha</t>
  </si>
  <si>
    <t>https://coronadashboard.government.nl/landelijk/varianten</t>
  </si>
  <si>
    <t>NL: alpha</t>
  </si>
  <si>
    <t>https://ourworldindata.org/grapher/covid-variants-area?country=~BRA</t>
  </si>
  <si>
    <t>pvalue</t>
  </si>
  <si>
    <t>strategy</t>
  </si>
  <si>
    <t>AWR</t>
  </si>
  <si>
    <t>Approve</t>
  </si>
  <si>
    <t>OIR</t>
  </si>
  <si>
    <t>Other</t>
  </si>
  <si>
    <t>USA and Africa</t>
  </si>
  <si>
    <t>Argentina, Belgium, Brazil, Canada, Chile, France, India, Japan, Mexico, Netherlands, Peru, Poland, Russia, South Africa, Spain, United Kingdom and USA</t>
  </si>
  <si>
    <t>Canada, Denmark, France, Germany, Italy, Netherlands, Spain, United Kingdom and USA</t>
  </si>
  <si>
    <t>USA and Brazil</t>
  </si>
  <si>
    <t>https://ourworldindata.org/grapher/covid-variants-area?country=~ITA</t>
  </si>
  <si>
    <t>p_severe</t>
  </si>
  <si>
    <t>n_study</t>
  </si>
  <si>
    <t>p_severe_cum</t>
  </si>
  <si>
    <t>n_severe</t>
  </si>
  <si>
    <t>n_cum</t>
  </si>
  <si>
    <t>n_severe_cum</t>
  </si>
  <si>
    <t>* NA is empty</t>
  </si>
  <si>
    <t>* Ignores those studies that are unknown and continues % of last observed value</t>
  </si>
  <si>
    <t>Based on the price for Tocilizumab, the most frequently used treatment option in our cumulative meta analysis. The cost is held constant throughout the model to prevent introducing heterogeneity that distorts the CEA and VOI outcome findings for monoclonal antibodies as a group</t>
  </si>
  <si>
    <t>Tocilizumab</t>
  </si>
  <si>
    <t>Itolizumab</t>
  </si>
  <si>
    <t>Otilimab</t>
  </si>
  <si>
    <t>Siltuximab</t>
  </si>
  <si>
    <t>Lenzilumab</t>
  </si>
  <si>
    <t>Levilimab</t>
  </si>
  <si>
    <t>Levilimab + usual care</t>
  </si>
  <si>
    <t>https://www.covid19treatmentguidelines.nih.gov/therapies/immunomodulators/interleukin-6-inhibitors/</t>
  </si>
  <si>
    <t>NIH</t>
  </si>
  <si>
    <t>2022_11_30</t>
  </si>
  <si>
    <t>https://www.fda.gov/drugs/drug-safety-and-availability/fda-announces-bebtelovimab-not-currently-authorized-any-us-region</t>
  </si>
  <si>
    <t>none</t>
  </si>
  <si>
    <t>no decision</t>
  </si>
  <si>
    <t>rx</t>
  </si>
  <si>
    <t>Tocilizumab + usual care</t>
  </si>
  <si>
    <t>Tocilizumab (incl Anakinra) + usual care</t>
  </si>
  <si>
    <t xml:space="preserve">Sarilumab </t>
  </si>
  <si>
    <t>Sl_no</t>
  </si>
  <si>
    <t xml:space="preserve">Authors </t>
  </si>
  <si>
    <t>Start_date</t>
  </si>
  <si>
    <t>End_date</t>
  </si>
  <si>
    <t xml:space="preserve"> Publ_date</t>
  </si>
  <si>
    <t>N_enrolled</t>
  </si>
  <si>
    <t>RX_arm1</t>
  </si>
  <si>
    <t>n_RXarm1</t>
  </si>
  <si>
    <t>CTRL_arm</t>
  </si>
  <si>
    <t>n_CTRL</t>
  </si>
  <si>
    <t>Reported_outcome</t>
  </si>
  <si>
    <t>mort_RXarm1</t>
  </si>
  <si>
    <t>mort_CTRL</t>
  </si>
  <si>
    <t>severity</t>
  </si>
  <si>
    <t>percentage_severe</t>
  </si>
  <si>
    <t>drug</t>
  </si>
  <si>
    <t>Vlaar et al.</t>
  </si>
  <si>
    <t>Mortality at day 28</t>
  </si>
  <si>
    <t>severe</t>
  </si>
  <si>
    <t>Hermine et al.</t>
  </si>
  <si>
    <t>moderate</t>
  </si>
  <si>
    <t>Toci</t>
  </si>
  <si>
    <t>RCT-TCZ-COVID-19 Study Group</t>
  </si>
  <si>
    <t xml:space="preserve">TCZ </t>
  </si>
  <si>
    <t>Mortality at day 30</t>
  </si>
  <si>
    <t>REMAP CAP investigators Toci</t>
  </si>
  <si>
    <t>critical</t>
  </si>
  <si>
    <t>REMAP CAP investigators Sari</t>
  </si>
  <si>
    <t>mod-sev</t>
  </si>
  <si>
    <t>Lescure et al. Sari400</t>
  </si>
  <si>
    <t>sev-crirtical</t>
  </si>
  <si>
    <t>Lescure et al. Sari200</t>
  </si>
  <si>
    <t>sev-critical</t>
  </si>
  <si>
    <t>Itolizumab + BSC</t>
  </si>
  <si>
    <t>Mortality at 1 month</t>
  </si>
  <si>
    <t>Otilimab + SOC</t>
  </si>
  <si>
    <t xml:space="preserve">Rosas et al. </t>
  </si>
  <si>
    <t>Recovery Collaborative Group</t>
  </si>
  <si>
    <t xml:space="preserve">Temesgen et al. </t>
  </si>
  <si>
    <t>Lenzilumab + supportive care</t>
  </si>
  <si>
    <t>Boyapati et al. Sari400</t>
  </si>
  <si>
    <t>Boyapati et al.Sari200</t>
  </si>
  <si>
    <t>LVL + SOC</t>
  </si>
  <si>
    <t>Declereq et al. Toci</t>
  </si>
  <si>
    <t>Declereq et al. Siltux</t>
  </si>
  <si>
    <t>CAU</t>
  </si>
  <si>
    <t xml:space="preserve">Anakinra + CUA </t>
  </si>
  <si>
    <t>Placebo + CAU</t>
  </si>
  <si>
    <t>Vilobelimab + CAU</t>
  </si>
  <si>
    <t>TCZ + CAU</t>
  </si>
  <si>
    <t>Tocilizumab (incl Anakinra) + CAU</t>
  </si>
  <si>
    <t>Siltuximab (Incl Anakinra) + CAU</t>
  </si>
  <si>
    <t>Trial_name</t>
  </si>
  <si>
    <t>COV-AID-TCZ</t>
  </si>
  <si>
    <t>COV-AID-Siltux</t>
  </si>
  <si>
    <t>fda_decision</t>
  </si>
  <si>
    <t>REMAP-CAP-TCZ</t>
  </si>
  <si>
    <t>REMAP-CAP-Sarilumab</t>
  </si>
  <si>
    <t>y</t>
  </si>
  <si>
    <t>Mortality at day 29</t>
  </si>
  <si>
    <t>n</t>
  </si>
  <si>
    <t>REMDACTA</t>
  </si>
  <si>
    <t>TCZ + Remdesivir + CAU</t>
  </si>
  <si>
    <t>TCZ + Placebo + CAU</t>
  </si>
  <si>
    <t>trial_id</t>
  </si>
  <si>
    <t>NCT04399980; NCT04492514 ; NCT04463004</t>
  </si>
  <si>
    <t>location</t>
  </si>
  <si>
    <t>Netherlands</t>
  </si>
  <si>
    <t>UK, Netherlands, Australia, New Zealand, Ireland, Saudi Arabia</t>
  </si>
  <si>
    <t>Argentina, Belgium, Brazil, Canada, Chile, France, India, Japan, Mexico, Netherlands, Peru, Poland, Russia, South Africa, Spain, UK and USA</t>
  </si>
  <si>
    <t>Canada, Denmark, France, Germany, Italy, Netherlands, Spain, UK and USA</t>
  </si>
  <si>
    <t>UK</t>
  </si>
  <si>
    <t>USA, Brazil, Kenya, Mexico, Peru, South Africa</t>
  </si>
  <si>
    <t>severity_baseline</t>
  </si>
  <si>
    <t xml:space="preserve"> Publ_date_peer</t>
  </si>
  <si>
    <t>Publ_date</t>
  </si>
  <si>
    <t>Based on the price for Tocilizumab, the most frequently used treatment option in our cumulative meta analysis. The cost is held constant throughout the model to prevent introducing heterogeneity that distorts the CEA and VOI outcome findings for monoclonal antibodies as a group; dose of 400 mg–800 mg at a cost of $542 for a supply of 4 milliliters (20 mg/mL); Last updated 2 April 2023</t>
  </si>
  <si>
    <t>https://www.thelancet.com/action/showPdf?pii=S0140-6736%2821%2900676-0</t>
  </si>
  <si>
    <t>https://www.medrxiv.org/content/10.1101/2020.10.21.20210203v1</t>
  </si>
  <si>
    <t>Preprint</t>
  </si>
  <si>
    <t>https://www.medrxiv.org/content/10.1101/2021.01.07.21249390v2</t>
  </si>
  <si>
    <t>https://www.medrxiv.org/content/10.1101/2020.12.01.20239574v1</t>
  </si>
  <si>
    <t>https://www.medrxiv.org/content/10.1101/2021.04.14.21255475v1</t>
  </si>
  <si>
    <t>https://www.medrxiv.org/content/10.1101/2020.08.27.20183442v2</t>
  </si>
  <si>
    <t>https://www.medrxiv.org/content/10.1101/2021.02.11.21249258v1</t>
  </si>
  <si>
    <t>https://www.medrxiv.org/content/10.1101/2021.05.01.21256470v1</t>
  </si>
  <si>
    <t>k_peerrev</t>
  </si>
  <si>
    <t>k_preprint</t>
  </si>
  <si>
    <t>Preprint_link</t>
  </si>
  <si>
    <t>IL_6</t>
  </si>
  <si>
    <t xml:space="preserve">https://www.hcplive.com/view/fda-approves-tocilizumab-covid-19-hospitalized-adults
https://www.roche.com/media/releases/med-cor-2022-12-21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</si>
</sst>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u/>
      <sz val="12"/>
      <color theme="10"/>
      <name val="Calibri"/>
      <family val="2"/>
      <scheme val="minor"/>
    </font>
    <font>
      <u/>
      <sz val="12"/>
      <color theme="1"/>
      <name val="Calibri"/>
      <family val="2"/>
      <scheme val="minor"/>
    </font>
    <font>
      <b/>
      <sz val="12"/>
      <color rgb="FF000000"/>
      <name val="Calibri"/>
      <family val="2"/>
      <scheme val="minor"/>
    </font>
    <font>
      <sz val="5.5"/>
      <color rgb="FF000000"/>
      <name val="Calibri"/>
      <family val="2"/>
      <scheme val="minor"/>
    </font>
    <font>
      <sz val="8"/>
      <color rgb="FF000000"/>
      <name val="Calibri"/>
      <family val="2"/>
      <scheme val="minor"/>
    </font>
    <font>
      <sz val="5.5"/>
      <color theme="1"/>
      <name val="Calibri"/>
      <family val="2"/>
      <scheme val="minor"/>
    </font>
    <font>
      <sz val="10"/>
      <color theme="1"/>
      <name val="Calibri"/>
      <family val="2"/>
      <scheme val="minor"/>
    </font>
    <font>
      <sz val="8"/>
      <color theme="1"/>
      <name val="Calibri"/>
      <family val="2"/>
      <scheme val="minor"/>
    </font>
    <font>
      <u/>
      <sz val="5.5"/>
      <color theme="10"/>
      <name val="Calibri"/>
      <family val="2"/>
      <scheme val="minor"/>
    </font>
    <font>
      <sz val="11"/>
      <color rgb="FF000000"/>
      <name val="Calibri"/>
      <family val="2"/>
      <scheme val="minor"/>
    </font>
    <font>
      <sz val="11"/>
      <color theme="1"/>
      <name val="Calibri"/>
      <family val="2"/>
      <scheme val="minor"/>
    </font>
    <font>
      <sz val="12"/>
      <color rgb="FF333333"/>
      <name val="Helvetica Neue"/>
      <family val="2"/>
    </font>
    <font>
      <sz val="10"/>
      <color rgb="FF000000"/>
      <name val="Calibri"/>
      <family val="2"/>
      <scheme val="minor"/>
    </font>
    <font>
      <sz val="16"/>
      <color rgb="FF4D4D4D"/>
      <name val="Helvetica"/>
      <family val="2"/>
    </font>
    <font>
      <sz val="12"/>
      <color theme="1"/>
      <name val="Calibri (Hoofdtekst)"/>
    </font>
    <font>
      <sz val="11"/>
      <color theme="1"/>
      <name val="Calibri (Hoofdtekst)"/>
    </font>
  </fonts>
  <fills count="12">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0BE"/>
        <bgColor indexed="64"/>
      </patternFill>
    </fill>
    <fill>
      <patternFill patternType="solid">
        <fgColor rgb="FFFFFFFF"/>
        <bgColor indexed="64"/>
      </patternFill>
    </fill>
    <fill>
      <patternFill patternType="solid">
        <fgColor theme="9" tint="0.79998168889431442"/>
        <bgColor indexed="64"/>
      </patternFill>
    </fill>
    <fill>
      <patternFill patternType="solid">
        <fgColor theme="0"/>
        <bgColor indexed="64"/>
      </patternFill>
    </fill>
    <fill>
      <patternFill patternType="solid">
        <fgColor theme="0"/>
        <bgColor theme="0"/>
      </patternFill>
    </fill>
    <fill>
      <patternFill patternType="solid">
        <fgColor theme="9"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82">
    <xf numFmtId="0" fontId="0" fillId="0" borderId="0" xfId="0"/>
    <xf numFmtId="0" fontId="1" fillId="0" borderId="0" xfId="0" applyFont="1"/>
    <xf numFmtId="0" fontId="0" fillId="0" borderId="0" xfId="0" applyAlignment="1">
      <alignment horizontal="left"/>
    </xf>
    <xf numFmtId="164" fontId="0" fillId="0" borderId="0" xfId="0" applyNumberFormat="1" applyAlignment="1">
      <alignment horizontal="left"/>
    </xf>
    <xf numFmtId="0" fontId="3" fillId="0" borderId="0" xfId="0" applyFont="1" applyAlignment="1">
      <alignment horizontal="left"/>
    </xf>
    <xf numFmtId="0" fontId="4" fillId="0" borderId="0" xfId="1" applyAlignment="1">
      <alignment horizontal="left"/>
    </xf>
    <xf numFmtId="164" fontId="3" fillId="0" borderId="0" xfId="0" applyNumberFormat="1" applyFont="1" applyAlignment="1">
      <alignment horizontal="left"/>
    </xf>
    <xf numFmtId="0" fontId="4" fillId="0" borderId="0" xfId="1"/>
    <xf numFmtId="1" fontId="0" fillId="0" borderId="0" xfId="0" applyNumberFormat="1" applyAlignment="1">
      <alignment horizontal="left"/>
    </xf>
    <xf numFmtId="0" fontId="5" fillId="0" borderId="0" xfId="1" applyFont="1" applyAlignment="1">
      <alignment horizontal="left"/>
    </xf>
    <xf numFmtId="0" fontId="5" fillId="0" borderId="0" xfId="1" applyFont="1" applyAlignment="1">
      <alignment horizontal="left" vertical="center"/>
    </xf>
    <xf numFmtId="0" fontId="1" fillId="3" borderId="0" xfId="0" applyFont="1" applyFill="1" applyAlignment="1">
      <alignment horizontal="left"/>
    </xf>
    <xf numFmtId="0" fontId="1" fillId="0" borderId="0" xfId="0" applyFont="1" applyAlignment="1">
      <alignment horizontal="left" wrapText="1"/>
    </xf>
    <xf numFmtId="0" fontId="0" fillId="0" borderId="0" xfId="0" applyAlignment="1">
      <alignment horizontal="left" wrapText="1"/>
    </xf>
    <xf numFmtId="0" fontId="0" fillId="2" borderId="0" xfId="0" applyFill="1" applyAlignment="1">
      <alignment horizontal="left" wrapText="1"/>
    </xf>
    <xf numFmtId="0" fontId="0" fillId="0" borderId="0" xfId="0" applyAlignment="1">
      <alignment wrapText="1"/>
    </xf>
    <xf numFmtId="0" fontId="0" fillId="5" borderId="0" xfId="0" applyFill="1"/>
    <xf numFmtId="0" fontId="6" fillId="0" borderId="0" xfId="0" applyFont="1"/>
    <xf numFmtId="14" fontId="0" fillId="0" borderId="0" xfId="0" applyNumberFormat="1"/>
    <xf numFmtId="0" fontId="7" fillId="6" borderId="2" xfId="0" applyFont="1" applyFill="1" applyBorder="1" applyAlignment="1">
      <alignment horizontal="center" vertical="center" wrapText="1"/>
    </xf>
    <xf numFmtId="0" fontId="11" fillId="0" borderId="0" xfId="0" applyFont="1"/>
    <xf numFmtId="0" fontId="11" fillId="0" borderId="0" xfId="0" applyFont="1" applyAlignment="1">
      <alignment vertical="center"/>
    </xf>
    <xf numFmtId="0" fontId="10" fillId="0" borderId="0" xfId="0" applyFont="1" applyAlignment="1">
      <alignment vertical="center"/>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0" fillId="8" borderId="0" xfId="0" applyFill="1"/>
    <xf numFmtId="14" fontId="0" fillId="8" borderId="0" xfId="0" applyNumberFormat="1" applyFill="1"/>
    <xf numFmtId="0" fontId="0" fillId="9" borderId="0" xfId="0" applyFill="1"/>
    <xf numFmtId="0" fontId="4" fillId="8" borderId="0" xfId="1" applyFill="1"/>
    <xf numFmtId="0" fontId="9" fillId="0" borderId="0" xfId="0" applyFont="1"/>
    <xf numFmtId="0" fontId="7" fillId="6" borderId="0" xfId="0" applyFont="1" applyFill="1" applyAlignment="1">
      <alignment horizontal="center" vertical="center" wrapText="1"/>
    </xf>
    <xf numFmtId="0" fontId="7" fillId="0" borderId="0" xfId="0" applyFont="1" applyAlignment="1">
      <alignment horizontal="center" vertical="center" wrapText="1"/>
    </xf>
    <xf numFmtId="0" fontId="13" fillId="6" borderId="0" xfId="0" applyFont="1" applyFill="1" applyAlignment="1">
      <alignment horizontal="center" vertical="center" wrapText="1"/>
    </xf>
    <xf numFmtId="0" fontId="1" fillId="0" borderId="0" xfId="0" applyFont="1" applyAlignment="1">
      <alignment horizontal="left"/>
    </xf>
    <xf numFmtId="0" fontId="2" fillId="0" borderId="0" xfId="0" applyFont="1" applyAlignment="1">
      <alignment horizontal="left"/>
    </xf>
    <xf numFmtId="0" fontId="4" fillId="0" borderId="0" xfId="1" applyBorder="1" applyAlignment="1">
      <alignment horizontal="left"/>
    </xf>
    <xf numFmtId="14" fontId="7" fillId="0" borderId="0" xfId="0" applyNumberFormat="1" applyFont="1" applyAlignment="1">
      <alignment horizontal="center" vertical="center" wrapText="1"/>
    </xf>
    <xf numFmtId="14" fontId="7" fillId="7" borderId="0" xfId="0" applyNumberFormat="1" applyFont="1" applyFill="1" applyAlignment="1">
      <alignment horizontal="center" vertical="center" wrapText="1"/>
    </xf>
    <xf numFmtId="0" fontId="4" fillId="0" borderId="0" xfId="1" applyFill="1" applyBorder="1" applyAlignment="1">
      <alignment horizontal="left"/>
    </xf>
    <xf numFmtId="0" fontId="14" fillId="0" borderId="0" xfId="0" applyFont="1"/>
    <xf numFmtId="0" fontId="13" fillId="0" borderId="0" xfId="0" applyFont="1" applyAlignment="1">
      <alignment horizontal="center" vertical="center" wrapText="1"/>
    </xf>
    <xf numFmtId="0" fontId="13" fillId="0" borderId="0" xfId="0" applyFont="1" applyAlignment="1">
      <alignment vertical="center" wrapText="1"/>
    </xf>
    <xf numFmtId="0" fontId="12" fillId="0" borderId="0" xfId="1" applyFont="1" applyBorder="1" applyAlignment="1">
      <alignment horizontal="center" vertical="center" wrapText="1"/>
    </xf>
    <xf numFmtId="17"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3" borderId="0" xfId="0" applyFill="1"/>
    <xf numFmtId="0" fontId="16" fillId="0" borderId="4" xfId="0" applyFont="1" applyBorder="1" applyAlignment="1">
      <alignment horizontal="center" vertical="center" wrapText="1"/>
    </xf>
    <xf numFmtId="0" fontId="0" fillId="0" borderId="7" xfId="0" applyBorder="1"/>
    <xf numFmtId="0" fontId="17" fillId="0" borderId="0" xfId="0" applyFont="1" applyAlignment="1">
      <alignment horizontal="left"/>
    </xf>
    <xf numFmtId="0" fontId="18" fillId="0" borderId="7" xfId="0" applyFont="1" applyBorder="1" applyAlignment="1">
      <alignment horizontal="left" vertical="center"/>
    </xf>
    <xf numFmtId="0" fontId="18" fillId="10" borderId="7" xfId="0" applyFont="1" applyFill="1" applyBorder="1" applyAlignment="1">
      <alignment horizontal="left" vertical="center"/>
    </xf>
    <xf numFmtId="14" fontId="18" fillId="0" borderId="7" xfId="0" applyNumberFormat="1" applyFont="1" applyBorder="1" applyAlignment="1">
      <alignment horizontal="left" vertical="center"/>
    </xf>
    <xf numFmtId="0" fontId="18" fillId="0" borderId="7" xfId="0" applyFont="1" applyBorder="1" applyAlignment="1">
      <alignment horizontal="left" vertical="center" wrapText="1"/>
    </xf>
    <xf numFmtId="0" fontId="18" fillId="0" borderId="7" xfId="0" applyFont="1" applyBorder="1" applyAlignment="1">
      <alignment horizontal="left"/>
    </xf>
    <xf numFmtId="0" fontId="19" fillId="0" borderId="7" xfId="0" applyFont="1" applyBorder="1" applyAlignment="1">
      <alignment horizontal="left" vertical="center"/>
    </xf>
    <xf numFmtId="14" fontId="18" fillId="0" borderId="7" xfId="0" applyNumberFormat="1" applyFont="1" applyBorder="1" applyAlignment="1">
      <alignment horizontal="left"/>
    </xf>
    <xf numFmtId="0" fontId="11" fillId="0" borderId="7" xfId="0" applyFont="1" applyBorder="1" applyAlignment="1">
      <alignment horizontal="left" vertical="center"/>
    </xf>
    <xf numFmtId="0" fontId="11" fillId="0" borderId="7" xfId="0" applyFont="1" applyBorder="1" applyAlignment="1">
      <alignment horizontal="left"/>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0" borderId="8" xfId="0" applyFont="1" applyBorder="1" applyAlignment="1">
      <alignment horizontal="left" vertical="center"/>
    </xf>
    <xf numFmtId="0" fontId="11" fillId="0" borderId="7" xfId="0" applyFont="1" applyBorder="1" applyAlignment="1">
      <alignment horizontal="left" vertical="center" wrapText="1"/>
    </xf>
    <xf numFmtId="14" fontId="11" fillId="0" borderId="7" xfId="0" applyNumberFormat="1" applyFont="1" applyBorder="1" applyAlignment="1">
      <alignment horizontal="left" vertical="center"/>
    </xf>
    <xf numFmtId="14" fontId="11" fillId="0" borderId="11" xfId="0" applyNumberFormat="1" applyFont="1" applyBorder="1" applyAlignment="1">
      <alignment horizontal="center" vertical="center"/>
    </xf>
    <xf numFmtId="14" fontId="11" fillId="11" borderId="11" xfId="0" applyNumberFormat="1" applyFont="1" applyFill="1" applyBorder="1" applyAlignment="1">
      <alignment horizontal="center" vertical="center"/>
    </xf>
    <xf numFmtId="0" fontId="2" fillId="4" borderId="0" xfId="0" applyFont="1" applyFill="1" applyAlignment="1">
      <alignment horizontal="left"/>
    </xf>
    <xf numFmtId="0" fontId="2" fillId="3" borderId="0" xfId="0" applyFont="1" applyFill="1" applyAlignment="1">
      <alignment horizontal="left"/>
    </xf>
    <xf numFmtId="0" fontId="15" fillId="0" borderId="0" xfId="0" applyFont="1"/>
    <xf numFmtId="0" fontId="11" fillId="0" borderId="4" xfId="0" applyFont="1" applyBorder="1" applyAlignment="1">
      <alignment horizontal="left" vertical="center" wrapText="1"/>
    </xf>
    <xf numFmtId="14" fontId="11" fillId="0" borderId="0" xfId="0" applyNumberFormat="1" applyFont="1" applyAlignment="1">
      <alignment horizontal="left" vertical="center"/>
    </xf>
    <xf numFmtId="14" fontId="11" fillId="0" borderId="7" xfId="0" applyNumberFormat="1" applyFont="1" applyBorder="1" applyAlignment="1">
      <alignment horizontal="center" vertical="center"/>
    </xf>
    <xf numFmtId="14" fontId="11" fillId="0" borderId="11" xfId="0" applyNumberFormat="1" applyFont="1" applyBorder="1" applyAlignment="1">
      <alignment horizontal="left" vertical="center"/>
    </xf>
    <xf numFmtId="14" fontId="11" fillId="11" borderId="7" xfId="0" applyNumberFormat="1" applyFont="1" applyFill="1" applyBorder="1" applyAlignment="1">
      <alignment horizontal="center" vertical="center"/>
    </xf>
    <xf numFmtId="0" fontId="11" fillId="0" borderId="0" xfId="0" applyFont="1" applyAlignment="1">
      <alignment horizontal="left" vertical="center"/>
    </xf>
    <xf numFmtId="0" fontId="8" fillId="0" borderId="6" xfId="0" applyFont="1" applyBorder="1" applyAlignment="1">
      <alignment horizontal="center" vertical="center" wrapText="1"/>
    </xf>
    <xf numFmtId="0" fontId="8" fillId="0" borderId="5" xfId="0" applyFont="1" applyBorder="1" applyAlignment="1">
      <alignment horizontal="center" vertical="center" wrapText="1"/>
    </xf>
    <xf numFmtId="0" fontId="8" fillId="0" borderId="3" xfId="0" applyFont="1" applyBorder="1" applyAlignment="1">
      <alignment horizontal="center" vertical="center" wrapText="1"/>
    </xf>
    <xf numFmtId="0" fontId="4" fillId="0" borderId="0" xfId="1" applyAlignment="1">
      <alignment wrapText="1"/>
    </xf>
  </cellXfs>
  <cellStyles count="2">
    <cellStyle name="Hyperlink" xfId="1" builtinId="8"/>
    <cellStyle name="Standaard" xfId="0" builtinId="0"/>
  </cellStyles>
  <dxfs count="6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numFmt numFmtId="165" formatCode="dd/mm/yy"/>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numFmt numFmtId="165" formatCode="dd/mm/yy"/>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numFmt numFmtId="165" formatCode="dd/mm/yy"/>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5.5"/>
        <color rgb="FF000000"/>
        <name val="Calibri"/>
        <family val="2"/>
        <scheme val="minor"/>
      </font>
      <fill>
        <patternFill patternType="solid">
          <fgColor indexed="64"/>
          <bgColor rgb="FFFFF0BE"/>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fill>
        <patternFill patternType="solid">
          <fgColor indexed="64"/>
          <bgColor rgb="FFFFF0BE"/>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center" textRotation="0" wrapText="1" indent="0" justifyLastLine="0" shrinkToFit="0" readingOrder="0"/>
      <border diagonalUp="0" diagonalDown="0" outline="0">
        <left/>
        <right style="medium">
          <color indexed="64"/>
        </right>
        <top/>
        <bottom style="medium">
          <color indexed="64"/>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fill>
        <patternFill patternType="solid">
          <fgColor indexed="64"/>
          <bgColor rgb="FFFFF0BE"/>
        </patternFill>
      </fill>
      <alignment horizontal="center" vertical="center"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strike val="0"/>
        <outline val="0"/>
        <shadow val="0"/>
        <u val="none"/>
        <vertAlign val="baseline"/>
        <sz val="12"/>
        <name val="Calibri"/>
        <family val="2"/>
        <scheme val="minor"/>
      </font>
      <numFmt numFmtId="164" formatCode="0.0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1"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numFmt numFmtId="164" formatCode="0.000"/>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strike val="0"/>
        <outline val="0"/>
        <shadow val="0"/>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ijntjedijk/Desktop/R%20output%20trial%2031%20march/R%20code%20-%20cumulative/data/parameters_cumulative_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hort"/>
      <sheetName val="Rx"/>
      <sheetName val="Rx_qual"/>
      <sheetName val="transition probabilities"/>
      <sheetName val="conversion USD"/>
      <sheetName val="policy_notes"/>
      <sheetName val="cumulative-ma"/>
      <sheetName val="MA_input"/>
      <sheetName val="FDA_MA_input"/>
      <sheetName val="severity"/>
      <sheetName val="ma-sr-paper-overview"/>
      <sheetName val="parameters_cumulative_4"/>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persons/person.xml><?xml version="1.0" encoding="utf-8"?>
<personList xmlns="http://schemas.microsoft.com/office/spreadsheetml/2018/threadedcomments" xmlns:x="http://schemas.openxmlformats.org/spreadsheetml/2006/main">
  <person displayName="Stijntje Dijk" id="{DC858BE8-382D-D74E-AC6A-AE592750B02A}" userId="S::340974sd@eur.nl::48a48f22-a707-4495-b5ec-4fe570a44ce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M27" totalsRowShown="0" headerRowDxfId="62" dataDxfId="61">
  <autoFilter ref="A1:M27" xr:uid="{00000000-0009-0000-0100-000002000000}"/>
  <sortState xmlns:xlrd2="http://schemas.microsoft.com/office/spreadsheetml/2017/richdata2" ref="A2:K26">
    <sortCondition ref="C1:C26"/>
  </sortState>
  <tableColumns count="13">
    <tableColumn id="1" xr3:uid="{00000000-0010-0000-0100-000001000000}" name="Treatment" dataDxfId="60"/>
    <tableColumn id="15" xr3:uid="{00000000-0010-0000-0100-00000F000000}" name="Country" dataDxfId="59"/>
    <tableColumn id="2" xr3:uid="{00000000-0010-0000-0100-000002000000}" name="Param" dataDxfId="58"/>
    <tableColumn id="10" xr3:uid="{00000000-0010-0000-0100-00000A000000}" name="Unit" dataDxfId="57"/>
    <tableColumn id="11" xr3:uid="{00000000-0010-0000-0100-00000B000000}" name="Unit_amount" dataDxfId="56"/>
    <tableColumn id="5" xr3:uid="{00000000-0010-0000-0100-000005000000}" name="Med" dataDxfId="55"/>
    <tableColumn id="6" xr3:uid="{00000000-0010-0000-0100-000006000000}" name="Lo_alpha" dataDxfId="54"/>
    <tableColumn id="7" xr3:uid="{00000000-0010-0000-0100-000007000000}" name="Hi_beta" dataDxfId="53"/>
    <tableColumn id="13" xr3:uid="{00000000-0010-0000-0100-00000D000000}" name="Distribution" dataDxfId="52"/>
    <tableColumn id="12" xr3:uid="{00000000-0010-0000-0100-00000C000000}" name="Assumption" dataDxfId="51"/>
    <tableColumn id="9" xr3:uid="{00000000-0010-0000-0100-000009000000}" name="source" dataDxfId="50"/>
    <tableColumn id="3" xr3:uid="{E246B4D6-2EBB-B146-8FA5-C7AF3226ED3C}" name="description" dataDxfId="49"/>
    <tableColumn id="4" xr3:uid="{C7BE929A-23AB-A64A-B17C-D003BA4C2EF9}" name="remarks_and_questions" dataDxfId="48"/>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0A79A8-4A71-A942-8C9A-1F05966420CD}" name="Table15" displayName="Table15" ref="A1:M18" totalsRowShown="0" headerRowDxfId="47" dataDxfId="46">
  <autoFilter ref="A1:M18" xr:uid="{00000000-0009-0000-0100-000001000000}"/>
  <sortState xmlns:xlrd2="http://schemas.microsoft.com/office/spreadsheetml/2017/richdata2" ref="A2:K7">
    <sortCondition ref="C1:C7"/>
  </sortState>
  <tableColumns count="13">
    <tableColumn id="1" xr3:uid="{597CBCD1-8EE3-1C4E-9044-D6F5913BF8D9}" name="Treatment" dataDxfId="45"/>
    <tableColumn id="15" xr3:uid="{B43041BF-1A8F-0F4C-A8CD-8E7D8640C47C}" name="Country" dataDxfId="44"/>
    <tableColumn id="2" xr3:uid="{4B9E06DF-842C-0741-911A-9EEEE4321F8E}" name="Param" dataDxfId="43"/>
    <tableColumn id="10" xr3:uid="{ACC240C9-A17F-3C48-B080-46514F6690E8}" name="Unit" dataDxfId="42"/>
    <tableColumn id="11" xr3:uid="{9D2AD7BD-A153-D141-A8F8-3ECCC0ED2574}" name="Unit_amount" dataDxfId="41"/>
    <tableColumn id="5" xr3:uid="{B6E2FB8F-EC4E-914C-B110-2FA059A09DF6}" name="Med" dataDxfId="40"/>
    <tableColumn id="6" xr3:uid="{D52E284C-5665-3E47-95CB-8469ADF1ABD2}" name="Lo_alpha" dataDxfId="39"/>
    <tableColumn id="7" xr3:uid="{A4258E4B-D810-E94F-A3E9-818D2AD42F6D}" name="Hi_beta" dataDxfId="38"/>
    <tableColumn id="13" xr3:uid="{4EDDE56B-038F-9E4C-8150-61A1DED32028}" name="Distribution" dataDxfId="37"/>
    <tableColumn id="12" xr3:uid="{45810C4F-AB08-3644-A722-2CF9A545C557}" name="Assumption" dataDxfId="36"/>
    <tableColumn id="9" xr3:uid="{5BF3E296-3ACE-2540-A774-52E7C5E973C3}" name="source" dataDxfId="35"/>
    <tableColumn id="3" xr3:uid="{9FD6B4F8-D6FA-E142-BCA8-0C9F5137DC46}" name="description" dataDxfId="34"/>
    <tableColumn id="4" xr3:uid="{6B29CB03-F05D-554A-83DF-B51B000E1F6C}" name="remarks_and_questions" dataDxfId="33"/>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E80B0C-3082-FF41-A73A-B97337AA117E}" name="Tabel1" displayName="Tabel1" ref="A1:E23" totalsRowShown="0" headerRowDxfId="32" dataDxfId="31">
  <autoFilter ref="A1:E23" xr:uid="{A870B4FD-BBDA-E845-824D-DFA2EB856BA1}"/>
  <tableColumns count="5">
    <tableColumn id="1" xr3:uid="{0F0B127B-45C1-E34E-83CB-6F5D774C54DC}" name="Authors" dataDxfId="30"/>
    <tableColumn id="2" xr3:uid="{FC744DC2-5DA4-C145-A767-843A15FA88DD}" name="effect" dataDxfId="29"/>
    <tableColumn id="3" xr3:uid="{23B0870A-07DB-DA43-B91C-AB83DC868124}" name="pvalue" dataDxfId="28"/>
    <tableColumn id="4" xr3:uid="{7D6B9EE8-D62E-BA45-976D-E889FC94AFA6}" name="strategy" dataDxfId="27"/>
    <tableColumn id="5" xr3:uid="{28D2F642-1E9A-194E-B21D-5BC32DB8ED3E}" name="rx" dataDxfId="26"/>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C116916-8B56-8146-9484-2A247E8EBD4C}" name="Tabel18" displayName="Tabel18" ref="A1:A23" totalsRowShown="0" headerRowDxfId="25" dataDxfId="24">
  <autoFilter ref="A1:A23" xr:uid="{A870B4FD-BBDA-E845-824D-DFA2EB856BA1}"/>
  <tableColumns count="1">
    <tableColumn id="1" xr3:uid="{216DD6EE-FB3A-3B4C-8FF6-11388EBF7DC7}" name="Authors" dataDxfId="23"/>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6570F8-9A1A-DB46-AC69-154044FF8F5C}" name="Tabel5" displayName="Tabel5" ref="A1:R23" totalsRowShown="0" headerRowDxfId="22" dataDxfId="21">
  <autoFilter ref="A1:R23" xr:uid="{75557487-535F-C44C-906A-EFDD8F291ECC}"/>
  <tableColumns count="18">
    <tableColumn id="1" xr3:uid="{889E424A-819B-B043-BB7E-029B6E29B7FA}" name="Authors" dataDxfId="20"/>
    <tableColumn id="2" xr3:uid="{60CEDF69-4A36-A444-85EB-F9E8B637ECF9}" name="Trial ID" dataDxfId="19"/>
    <tableColumn id="3" xr3:uid="{D058A0E1-4648-E74E-AD89-8794E31B0179}" name="Acronym" dataDxfId="18"/>
    <tableColumn id="4" xr3:uid="{E1E69BFB-1C02-EE4A-BBA8-18E92A810464}" name="Location" dataDxfId="17"/>
    <tableColumn id="5" xr3:uid="{5B5CA029-8A28-AD42-9EE6-61CE3FD00E32}" name="Variant" dataDxfId="16"/>
    <tableColumn id="6" xr3:uid="{371F5800-8D9D-EF46-8D4B-C3C67D5C80CF}" name="Variant source" dataDxfId="15"/>
    <tableColumn id="7" xr3:uid="{E7AF212B-025E-5D40-BD0A-407886C55396}" name="Severity of disease at baseline " dataDxfId="14"/>
    <tableColumn id="8" xr3:uid="{BD77B718-EBFD-694B-8A4D-5C7430C2C932}" name="% severe patients" dataDxfId="13"/>
    <tableColumn id="9" xr3:uid="{61B0A817-AD6A-BF4B-A77B-8FB27B008BFF}" name="Start date" dataDxfId="12"/>
    <tableColumn id="10" xr3:uid="{8E5A9E23-53E8-1D43-B98B-6A77477D013E}" name="End date" dataDxfId="11"/>
    <tableColumn id="11" xr3:uid="{AC4A6442-9613-2A49-9F1F-09BD7EC0C237}" name="Publication date" dataDxfId="10"/>
    <tableColumn id="12" xr3:uid="{41F5A603-A52E-544D-8943-5A6131D3F3DA}" name="Total enrolled" dataDxfId="9"/>
    <tableColumn id="13" xr3:uid="{A9D59DA6-3ACF-594E-A895-B424A4EC2702}" name="Intervention  arm" dataDxfId="8"/>
    <tableColumn id="14" xr3:uid="{E08390FA-5BF5-9543-BB2E-A76EDEE2E9F6}" name="No. of subjects Intervention arm" dataDxfId="7"/>
    <tableColumn id="15" xr3:uid="{CCEF70DD-AD0A-4B40-821A-6C628BB4FC3F}" name="Control arm" dataDxfId="6"/>
    <tableColumn id="16" xr3:uid="{B21814B7-32D1-F049-8532-541EDF2EDD2B}" name="No. of subjects Control arm" dataDxfId="5"/>
    <tableColumn id="17" xr3:uid="{BA632016-4305-D64A-8C70-3754BBCC18D7}" name="Mortality Intervention arm " dataDxfId="4"/>
    <tableColumn id="18" xr3:uid="{D1A3E9E4-F726-F94B-AA17-E355FF657A08}" name="Mortality Control arm" dataDxfId="3"/>
  </tableColumns>
  <tableStyleInfo name="TableStyleLight1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1" dT="2020-07-21T07:55:08.60" personId="{DC858BE8-382D-D74E-AC6A-AE592750B02A}" id="{CDB3FF95-C463-2041-A013-15EAC0DB5B1D}">
    <text xml:space="preserve">SD 0.301
</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0-09-23T08:49:16.78" personId="{DC858BE8-382D-D74E-AC6A-AE592750B02A}" id="{7971CD1F-7BA4-E542-AEF3-C66747487D01}">
    <text xml:space="preserve">I think we head taken this link, not the one currently in thte excel: https://pubmed.ncbi.nlm.nih.gov/30264133/, wht 19.000 million c RCT fixed and 43924*930/45) pp inclding fixed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apers.ssrn.com/sol3/papers.cfm?abstract_id=3586694" TargetMode="External"/><Relationship Id="rId13" Type="http://schemas.openxmlformats.org/officeDocument/2006/relationships/table" Target="../tables/table1.xml"/><Relationship Id="rId3" Type="http://schemas.openxmlformats.org/officeDocument/2006/relationships/hyperlink" Target="https://www.kff.org/health-costs/state-indicator/expenses-per-inpatient-day/?currentTimeframe=0&amp;sortModel=%7B%22colId%22:%22Location%22,%22sort%22:%22asc%22%7D" TargetMode="External"/><Relationship Id="rId7" Type="http://schemas.openxmlformats.org/officeDocument/2006/relationships/hyperlink" Target="https://ccforum.biomedcentral.com/articles/10.1186/cc8848" TargetMode="External"/><Relationship Id="rId12" Type="http://schemas.openxmlformats.org/officeDocument/2006/relationships/vmlDrawing" Target="../drawings/vmlDrawing1.vml"/><Relationship Id="rId2" Type="http://schemas.openxmlformats.org/officeDocument/2006/relationships/hyperlink" Target="https://www.zorginstituutnederland.nl/actueel/nieuws/2020/07/13/zorginstituut-adviseert-tijdelijk-ruimere-vergoeding-paramedische-herstelzorg-voor-patienten-met-ernstige-covid-19" TargetMode="External"/><Relationship Id="rId1" Type="http://schemas.openxmlformats.org/officeDocument/2006/relationships/hyperlink" Target="https://law.vanderbilt.edu/files/archive/279_Adjusting-VSL-for-Age-and-Cohort-Effects.pdf" TargetMode="External"/><Relationship Id="rId6" Type="http://schemas.openxmlformats.org/officeDocument/2006/relationships/hyperlink" Target="https://meps.ahrq.gov/mepstrends/hc_use/" TargetMode="External"/><Relationship Id="rId11" Type="http://schemas.openxmlformats.org/officeDocument/2006/relationships/hyperlink" Target="https://www.census.gov/library/publications/2019/demo/p60-267.html" TargetMode="External"/><Relationship Id="rId5" Type="http://schemas.openxmlformats.org/officeDocument/2006/relationships/hyperlink" Target="https://journals.lww.com/ccmjournal/Abstract/2005/06000/Daily_cost_of_an_intensive_care_unit_day__The.13.aspx" TargetMode="External"/><Relationship Id="rId15" Type="http://schemas.microsoft.com/office/2017/10/relationships/threadedComment" Target="../threadedComments/threadedComment1.xml"/><Relationship Id="rId10" Type="http://schemas.openxmlformats.org/officeDocument/2006/relationships/hyperlink" Target="https://www.ncbi.nlm.nih.gov/pmc/articles/PMC2634296/" TargetMode="External"/><Relationship Id="rId4" Type="http://schemas.openxmlformats.org/officeDocument/2006/relationships/hyperlink" Target="https://journals.lww.com/ccmjournal/Abstract/2005/06000/Daily_cost_of_an_intensive_care_unit_day__The.13.aspx" TargetMode="External"/><Relationship Id="rId9" Type="http://schemas.openxmlformats.org/officeDocument/2006/relationships/hyperlink" Target="https://papers.ssrn.com/sol3/papers.cfm?abstract_id=3586694" TargetMode="Externa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hyperlink" Target="https://coronadashboard.government.nl/landelijk/varianten" TargetMode="External"/><Relationship Id="rId2" Type="http://schemas.openxmlformats.org/officeDocument/2006/relationships/hyperlink" Target="https://coronadashboard.government.nl/landelijk/varianten" TargetMode="External"/><Relationship Id="rId1" Type="http://schemas.openxmlformats.org/officeDocument/2006/relationships/hyperlink" Target="https://coronadashboard.government.nl/landelijk/varianten" TargetMode="External"/><Relationship Id="rId6" Type="http://schemas.openxmlformats.org/officeDocument/2006/relationships/table" Target="../tables/table5.xml"/><Relationship Id="rId5" Type="http://schemas.openxmlformats.org/officeDocument/2006/relationships/hyperlink" Target="https://coronadashboard.government.nl/landelijk/varianten" TargetMode="External"/><Relationship Id="rId4" Type="http://schemas.openxmlformats.org/officeDocument/2006/relationships/hyperlink" Target="https://coronadashboard.government.nl/landelijk/varianten"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drugs.com/price-guide/actemra" TargetMode="External"/><Relationship Id="rId7" Type="http://schemas.openxmlformats.org/officeDocument/2006/relationships/table" Target="../tables/table2.xml"/><Relationship Id="rId2" Type="http://schemas.openxmlformats.org/officeDocument/2006/relationships/hyperlink" Target="https://pdfs.semanticscholar.org/ca63/720f6a0148d0b4d869831823d2fc5c98de62.pdf" TargetMode="External"/><Relationship Id="rId1" Type="http://schemas.openxmlformats.org/officeDocument/2006/relationships/hyperlink" Target="https://journals.sagepub.com/doi/abs/10.1177/1740774520907609" TargetMode="External"/><Relationship Id="rId6" Type="http://schemas.openxmlformats.org/officeDocument/2006/relationships/vmlDrawing" Target="../drawings/vmlDrawing2.vml"/><Relationship Id="rId5" Type="http://schemas.openxmlformats.org/officeDocument/2006/relationships/hyperlink" Target="https://www.bmj.com/content/bmj/369/bmj.m1985.full.pdf" TargetMode="External"/><Relationship Id="rId4" Type="http://schemas.openxmlformats.org/officeDocument/2006/relationships/hyperlink" Target="https://www.drugs.com/price-guide/actemra" TargetMode="External"/><Relationship Id="rId9"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sinflationcalculator.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da.gov/news-events/press-announcements/coronavirus-covid-19-update-fda-authorizes-monoclonal-antibody-treatment-covid-19" TargetMode="External"/><Relationship Id="rId7" Type="http://schemas.openxmlformats.org/officeDocument/2006/relationships/hyperlink" Target="https://www.hcplive.com/view/fda-approves-tocilizumab-covid-19-hospitalized-adults" TargetMode="External"/><Relationship Id="rId2" Type="http://schemas.openxmlformats.org/officeDocument/2006/relationships/hyperlink" Target="https://www.fda.gov/news-events/press-announcements/coronavirus-covid-19-update-fda-authorizes-new-monoclonal-antibody-treatment-covid-19-retains" TargetMode="External"/><Relationship Id="rId1" Type="http://schemas.openxmlformats.org/officeDocument/2006/relationships/hyperlink" Target="https://www.fda.gov/news-events/press-announcements/coronavirus-covid-19-update-fda-authorizes-monoclonal-antibodies-treatment-covid-19" TargetMode="External"/><Relationship Id="rId6" Type="http://schemas.openxmlformats.org/officeDocument/2006/relationships/hyperlink" Target="https://www.fda.gov/news-events/press-announcements/coronavirus-covid-19-update-fda-limits-use-certain-monoclonal-antibodies-treat-covid-19-due-omicron" TargetMode="External"/><Relationship Id="rId5" Type="http://schemas.openxmlformats.org/officeDocument/2006/relationships/hyperlink" Target="https://www.pmlive.com/pharma_news/inflarx_seeks_fda_authorisation_for_vilobelimab_for_critically_ill_covid-19_patients_1456223" TargetMode="External"/><Relationship Id="rId4" Type="http://schemas.openxmlformats.org/officeDocument/2006/relationships/hyperlink" Target="https://www.fda.gov/news-events/press-announcements/coronavirus-covid-19-update-fda-authorizes-monoclonal-antibodies-treatment-covid-19-0"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topLeftCell="A14" zoomScaleNormal="100" workbookViewId="0">
      <selection activeCell="D32" sqref="D32"/>
    </sheetView>
  </sheetViews>
  <sheetFormatPr baseColWidth="10" defaultRowHeight="16"/>
  <cols>
    <col min="3" max="3" width="20.6640625" customWidth="1"/>
    <col min="5" max="5" width="7.5" customWidth="1"/>
    <col min="6" max="6" width="11.33203125" customWidth="1"/>
    <col min="7" max="7" width="14.6640625" customWidth="1"/>
    <col min="8" max="8" width="16.5" customWidth="1"/>
    <col min="9" max="9" width="18.33203125" customWidth="1"/>
    <col min="10" max="10" width="17.33203125" customWidth="1"/>
    <col min="11" max="11" width="30" customWidth="1"/>
    <col min="12" max="12" width="83" style="15" customWidth="1"/>
    <col min="13" max="13" width="49.33203125" customWidth="1"/>
  </cols>
  <sheetData>
    <row r="1" spans="1:13" ht="17">
      <c r="A1" s="1" t="s">
        <v>0</v>
      </c>
      <c r="B1" s="1" t="s">
        <v>19</v>
      </c>
      <c r="C1" s="1" t="s">
        <v>1</v>
      </c>
      <c r="D1" s="1" t="s">
        <v>9</v>
      </c>
      <c r="E1" s="1" t="s">
        <v>21</v>
      </c>
      <c r="F1" s="1" t="s">
        <v>8</v>
      </c>
      <c r="G1" s="1" t="s">
        <v>16</v>
      </c>
      <c r="H1" s="1" t="s">
        <v>17</v>
      </c>
      <c r="I1" s="1" t="s">
        <v>3</v>
      </c>
      <c r="J1" s="1" t="s">
        <v>13</v>
      </c>
      <c r="K1" s="1" t="s">
        <v>2</v>
      </c>
      <c r="L1" s="12" t="s">
        <v>37</v>
      </c>
      <c r="M1" s="11" t="s">
        <v>100</v>
      </c>
    </row>
    <row r="2" spans="1:13" ht="34">
      <c r="A2" s="2" t="s">
        <v>124</v>
      </c>
      <c r="B2" s="2" t="s">
        <v>20</v>
      </c>
      <c r="C2" s="2" t="s">
        <v>57</v>
      </c>
      <c r="D2" s="2" t="s">
        <v>15</v>
      </c>
      <c r="E2" s="2">
        <v>1</v>
      </c>
      <c r="F2" s="8" t="s">
        <v>34</v>
      </c>
      <c r="G2" s="2">
        <v>58</v>
      </c>
      <c r="H2" s="2">
        <v>82</v>
      </c>
      <c r="I2" s="2" t="s">
        <v>11</v>
      </c>
      <c r="J2" s="2"/>
      <c r="K2" s="2" t="s">
        <v>29</v>
      </c>
      <c r="L2" s="13" t="s">
        <v>40</v>
      </c>
      <c r="M2" s="2"/>
    </row>
    <row r="3" spans="1:13" ht="17">
      <c r="A3" s="2" t="s">
        <v>124</v>
      </c>
      <c r="B3" s="2" t="s">
        <v>20</v>
      </c>
      <c r="C3" s="2" t="s">
        <v>5</v>
      </c>
      <c r="D3" s="2" t="s">
        <v>36</v>
      </c>
      <c r="E3" s="2" t="s">
        <v>69</v>
      </c>
      <c r="F3" s="3">
        <v>0</v>
      </c>
      <c r="G3" s="2"/>
      <c r="H3" s="2"/>
      <c r="I3" s="2" t="s">
        <v>25</v>
      </c>
      <c r="J3" s="2" t="s">
        <v>35</v>
      </c>
      <c r="K3" s="2" t="s">
        <v>41</v>
      </c>
      <c r="L3" s="13" t="s">
        <v>92</v>
      </c>
      <c r="M3" s="2"/>
    </row>
    <row r="4" spans="1:13" ht="34">
      <c r="A4" s="2" t="s">
        <v>124</v>
      </c>
      <c r="B4" s="2" t="s">
        <v>20</v>
      </c>
      <c r="C4" s="2" t="s">
        <v>68</v>
      </c>
      <c r="D4" s="2" t="s">
        <v>36</v>
      </c>
      <c r="E4" s="2" t="s">
        <v>62</v>
      </c>
      <c r="F4" s="8">
        <v>2570</v>
      </c>
      <c r="G4" s="2">
        <v>1371</v>
      </c>
      <c r="H4" s="2">
        <v>3552</v>
      </c>
      <c r="I4" s="2" t="s">
        <v>18</v>
      </c>
      <c r="J4" s="2"/>
      <c r="K4" s="9" t="s">
        <v>4</v>
      </c>
      <c r="L4" s="13" t="s">
        <v>91</v>
      </c>
      <c r="M4" s="2"/>
    </row>
    <row r="5" spans="1:13" ht="34">
      <c r="A5" s="2" t="s">
        <v>124</v>
      </c>
      <c r="B5" s="2" t="s">
        <v>20</v>
      </c>
      <c r="C5" s="2" t="s">
        <v>33</v>
      </c>
      <c r="D5" s="2" t="s">
        <v>36</v>
      </c>
      <c r="E5" s="2" t="s">
        <v>62</v>
      </c>
      <c r="F5" s="8">
        <v>4179</v>
      </c>
      <c r="G5" s="2">
        <f>0.8*Table13[[#This Row],[Med]]</f>
        <v>3343.2000000000003</v>
      </c>
      <c r="H5" s="2">
        <f>1.2*Table13[[#This Row],[Med]]</f>
        <v>5014.8</v>
      </c>
      <c r="I5" s="2" t="s">
        <v>12</v>
      </c>
      <c r="J5" s="2" t="s">
        <v>39</v>
      </c>
      <c r="K5" s="9" t="s">
        <v>46</v>
      </c>
      <c r="L5" s="13" t="s">
        <v>42</v>
      </c>
      <c r="M5" s="2"/>
    </row>
    <row r="6" spans="1:13" ht="34">
      <c r="A6" s="2" t="s">
        <v>124</v>
      </c>
      <c r="B6" s="2" t="s">
        <v>20</v>
      </c>
      <c r="C6" s="2" t="s">
        <v>32</v>
      </c>
      <c r="D6" s="2" t="s">
        <v>36</v>
      </c>
      <c r="E6" s="2" t="s">
        <v>62</v>
      </c>
      <c r="F6" s="8">
        <v>5209</v>
      </c>
      <c r="G6" s="2">
        <f>0.8*Table13[[#This Row],[Med]]</f>
        <v>4167.2</v>
      </c>
      <c r="H6" s="2">
        <f>1.2*Table13[[#This Row],[Med]]</f>
        <v>6250.8</v>
      </c>
      <c r="I6" s="2" t="s">
        <v>12</v>
      </c>
      <c r="J6" s="2" t="s">
        <v>39</v>
      </c>
      <c r="K6" s="9" t="s">
        <v>46</v>
      </c>
      <c r="L6" s="13" t="s">
        <v>42</v>
      </c>
      <c r="M6" s="2"/>
    </row>
    <row r="7" spans="1:13" ht="34">
      <c r="A7" s="2" t="s">
        <v>124</v>
      </c>
      <c r="B7" s="2" t="s">
        <v>20</v>
      </c>
      <c r="C7" s="2" t="s">
        <v>38</v>
      </c>
      <c r="D7" s="2" t="s">
        <v>36</v>
      </c>
      <c r="E7" s="2" t="s">
        <v>63</v>
      </c>
      <c r="F7" s="3">
        <v>12101</v>
      </c>
      <c r="G7" s="2">
        <f>Table13[[#This Row],[Med]]*0.8</f>
        <v>9680.8000000000011</v>
      </c>
      <c r="H7" s="2">
        <f>Table13[[#This Row],[Med]]*1.2</f>
        <v>14521.199999999999</v>
      </c>
      <c r="I7" s="2" t="s">
        <v>12</v>
      </c>
      <c r="J7" s="2" t="s">
        <v>39</v>
      </c>
      <c r="K7" s="9" t="s">
        <v>47</v>
      </c>
      <c r="L7" s="13" t="s">
        <v>48</v>
      </c>
      <c r="M7" s="2"/>
    </row>
    <row r="8" spans="1:13" ht="51">
      <c r="A8" s="2" t="s">
        <v>124</v>
      </c>
      <c r="B8" s="2" t="s">
        <v>20</v>
      </c>
      <c r="C8" s="2" t="s">
        <v>31</v>
      </c>
      <c r="D8" s="2" t="s">
        <v>36</v>
      </c>
      <c r="E8" s="2" t="s">
        <v>64</v>
      </c>
      <c r="F8" s="3">
        <v>3675</v>
      </c>
      <c r="G8" s="2">
        <f>Table13[[#This Row],[Med]]*0.8</f>
        <v>2940</v>
      </c>
      <c r="H8" s="2">
        <f>Table13[[#This Row],[Med]]*1.2</f>
        <v>4410</v>
      </c>
      <c r="I8" s="2" t="s">
        <v>12</v>
      </c>
      <c r="J8" s="2" t="s">
        <v>39</v>
      </c>
      <c r="K8" s="9" t="s">
        <v>45</v>
      </c>
      <c r="L8" s="13" t="s">
        <v>44</v>
      </c>
      <c r="M8" s="2"/>
    </row>
    <row r="9" spans="1:13" ht="34">
      <c r="A9" s="2" t="s">
        <v>124</v>
      </c>
      <c r="B9" s="2" t="s">
        <v>20</v>
      </c>
      <c r="C9" s="2" t="s">
        <v>70</v>
      </c>
      <c r="D9" s="2" t="s">
        <v>27</v>
      </c>
      <c r="E9" s="2">
        <v>73</v>
      </c>
      <c r="F9" s="3">
        <f>15182/18183</f>
        <v>0.8349557278776879</v>
      </c>
      <c r="G9" s="2">
        <f>(18183-3001)</f>
        <v>15182</v>
      </c>
      <c r="H9" s="2">
        <v>3001</v>
      </c>
      <c r="I9" s="2" t="s">
        <v>10</v>
      </c>
      <c r="J9" s="2"/>
      <c r="K9" s="2" t="s">
        <v>29</v>
      </c>
      <c r="L9" s="13" t="s">
        <v>72</v>
      </c>
      <c r="M9" s="2"/>
    </row>
    <row r="10" spans="1:13" ht="51">
      <c r="A10" s="2" t="s">
        <v>124</v>
      </c>
      <c r="B10" s="2" t="s">
        <v>20</v>
      </c>
      <c r="C10" s="2" t="s">
        <v>121</v>
      </c>
      <c r="D10" s="2" t="s">
        <v>27</v>
      </c>
      <c r="E10" s="2">
        <v>73</v>
      </c>
      <c r="F10" s="3">
        <f>3001/18183</f>
        <v>0.16504427212231204</v>
      </c>
      <c r="G10" s="2">
        <v>3001</v>
      </c>
      <c r="H10" s="2">
        <f>18183-3001</f>
        <v>15182</v>
      </c>
      <c r="I10" s="2" t="s">
        <v>10</v>
      </c>
      <c r="J10" s="2"/>
      <c r="K10" s="2" t="s">
        <v>29</v>
      </c>
      <c r="L10" s="13" t="s">
        <v>73</v>
      </c>
      <c r="M10" s="13" t="s">
        <v>139</v>
      </c>
    </row>
    <row r="11" spans="1:13" ht="34">
      <c r="A11" s="2" t="s">
        <v>124</v>
      </c>
      <c r="B11" s="2" t="s">
        <v>20</v>
      </c>
      <c r="C11" s="2" t="s">
        <v>81</v>
      </c>
      <c r="D11" s="2" t="s">
        <v>27</v>
      </c>
      <c r="E11" s="2">
        <v>73</v>
      </c>
      <c r="F11" s="2">
        <v>0.44900000000000001</v>
      </c>
      <c r="G11" s="2">
        <v>1346</v>
      </c>
      <c r="H11" s="2">
        <f>3001-1346</f>
        <v>1655</v>
      </c>
      <c r="I11" s="2" t="s">
        <v>10</v>
      </c>
      <c r="J11" s="2"/>
      <c r="K11" s="2" t="s">
        <v>29</v>
      </c>
      <c r="L11" s="13" t="s">
        <v>82</v>
      </c>
      <c r="M11" s="2"/>
    </row>
    <row r="12" spans="1:13" ht="34">
      <c r="A12" s="2" t="s">
        <v>124</v>
      </c>
      <c r="B12" s="2" t="s">
        <v>20</v>
      </c>
      <c r="C12" s="2" t="s">
        <v>83</v>
      </c>
      <c r="D12" s="2" t="s">
        <v>27</v>
      </c>
      <c r="E12" s="2">
        <v>73</v>
      </c>
      <c r="F12" s="2">
        <v>0.34300000000000003</v>
      </c>
      <c r="G12" s="2">
        <v>6902</v>
      </c>
      <c r="H12" s="2">
        <f>20133-6902</f>
        <v>13231</v>
      </c>
      <c r="I12" s="2" t="s">
        <v>10</v>
      </c>
      <c r="J12" s="2"/>
      <c r="K12" s="2" t="s">
        <v>29</v>
      </c>
      <c r="L12" s="13" t="s">
        <v>84</v>
      </c>
      <c r="M12" s="2"/>
    </row>
    <row r="13" spans="1:13" ht="34">
      <c r="A13" s="2" t="s">
        <v>124</v>
      </c>
      <c r="B13" s="2" t="s">
        <v>20</v>
      </c>
      <c r="C13" s="2" t="s">
        <v>109</v>
      </c>
      <c r="D13" s="2" t="s">
        <v>27</v>
      </c>
      <c r="E13" s="2">
        <v>73</v>
      </c>
      <c r="F13" s="3">
        <v>0.54400000000000004</v>
      </c>
      <c r="G13" s="2">
        <v>903</v>
      </c>
      <c r="H13" s="2">
        <f>1658-903</f>
        <v>755</v>
      </c>
      <c r="I13" s="2" t="s">
        <v>10</v>
      </c>
      <c r="J13" s="2"/>
      <c r="K13" s="2" t="s">
        <v>29</v>
      </c>
      <c r="L13" s="13" t="s">
        <v>111</v>
      </c>
      <c r="M13" s="2"/>
    </row>
    <row r="14" spans="1:13" ht="34">
      <c r="A14" s="2" t="s">
        <v>124</v>
      </c>
      <c r="B14" s="2" t="s">
        <v>20</v>
      </c>
      <c r="C14" s="2" t="s">
        <v>110</v>
      </c>
      <c r="D14" s="2" t="s">
        <v>27</v>
      </c>
      <c r="E14" s="2">
        <v>73</v>
      </c>
      <c r="F14" s="3">
        <v>0.33900000000000002</v>
      </c>
      <c r="G14" s="2">
        <v>455</v>
      </c>
      <c r="H14" s="2">
        <f>1343-455</f>
        <v>888</v>
      </c>
      <c r="I14" s="2" t="s">
        <v>10</v>
      </c>
      <c r="J14" s="2"/>
      <c r="K14" s="2" t="s">
        <v>29</v>
      </c>
      <c r="L14" s="13" t="s">
        <v>112</v>
      </c>
      <c r="M14" s="2"/>
    </row>
    <row r="15" spans="1:13" ht="34">
      <c r="A15" s="2" t="s">
        <v>124</v>
      </c>
      <c r="B15" s="2" t="s">
        <v>20</v>
      </c>
      <c r="C15" s="2" t="s">
        <v>58</v>
      </c>
      <c r="D15" s="2" t="s">
        <v>27</v>
      </c>
      <c r="E15" s="2" t="s">
        <v>27</v>
      </c>
      <c r="F15" s="3">
        <f>Table13[[#This Row],[Lo_alpha]]/Table13[[#This Row],[Hi_beta]]</f>
        <v>0.59941389758108576</v>
      </c>
      <c r="G15" s="2">
        <v>12068</v>
      </c>
      <c r="H15" s="2">
        <f>Table13[[#This Row],[Lo_alpha]]+8065</f>
        <v>20133</v>
      </c>
      <c r="I15" s="2" t="s">
        <v>10</v>
      </c>
      <c r="J15" s="2"/>
      <c r="K15" s="2" t="s">
        <v>29</v>
      </c>
      <c r="L15" s="13" t="s">
        <v>52</v>
      </c>
      <c r="M15" s="2"/>
    </row>
    <row r="16" spans="1:13" ht="34">
      <c r="A16" s="2" t="s">
        <v>124</v>
      </c>
      <c r="B16" s="2" t="s">
        <v>20</v>
      </c>
      <c r="C16" s="2" t="s">
        <v>28</v>
      </c>
      <c r="D16" s="2" t="s">
        <v>27</v>
      </c>
      <c r="E16" s="2" t="s">
        <v>27</v>
      </c>
      <c r="F16" s="3">
        <f>1658/(1658+1343)</f>
        <v>0.55248250583138958</v>
      </c>
      <c r="G16" s="2">
        <v>1658</v>
      </c>
      <c r="H16" s="2">
        <f>3001-1658</f>
        <v>1343</v>
      </c>
      <c r="I16" s="2" t="s">
        <v>10</v>
      </c>
      <c r="J16" s="2"/>
      <c r="K16" s="2" t="s">
        <v>29</v>
      </c>
      <c r="L16" s="13" t="s">
        <v>51</v>
      </c>
      <c r="M16" s="2"/>
    </row>
    <row r="17" spans="1:13" ht="17">
      <c r="A17" s="2" t="s">
        <v>124</v>
      </c>
      <c r="B17" s="2" t="s">
        <v>20</v>
      </c>
      <c r="C17" s="2" t="s">
        <v>26</v>
      </c>
      <c r="D17" s="2" t="s">
        <v>22</v>
      </c>
      <c r="E17" s="2">
        <v>0</v>
      </c>
      <c r="F17" s="3">
        <v>0</v>
      </c>
      <c r="G17" s="2">
        <v>0</v>
      </c>
      <c r="H17" s="2">
        <v>0</v>
      </c>
      <c r="I17" s="2" t="s">
        <v>25</v>
      </c>
      <c r="J17" s="2"/>
      <c r="K17" s="2" t="s">
        <v>25</v>
      </c>
      <c r="L17" s="13" t="s">
        <v>93</v>
      </c>
      <c r="M17" s="2"/>
    </row>
    <row r="18" spans="1:13" ht="17">
      <c r="A18" s="2" t="s">
        <v>124</v>
      </c>
      <c r="B18" s="2" t="s">
        <v>20</v>
      </c>
      <c r="C18" s="2" t="s">
        <v>24</v>
      </c>
      <c r="D18" s="2" t="s">
        <v>22</v>
      </c>
      <c r="E18" s="2">
        <v>1</v>
      </c>
      <c r="F18" s="3">
        <v>0.5</v>
      </c>
      <c r="G18" s="2">
        <v>0.25</v>
      </c>
      <c r="H18" s="2">
        <v>0.88</v>
      </c>
      <c r="I18" s="2" t="s">
        <v>18</v>
      </c>
      <c r="J18" s="2"/>
      <c r="K18" s="9" t="s">
        <v>97</v>
      </c>
      <c r="L18" s="13" t="s">
        <v>95</v>
      </c>
      <c r="M18" s="2"/>
    </row>
    <row r="19" spans="1:13" ht="34">
      <c r="A19" s="2" t="s">
        <v>124</v>
      </c>
      <c r="B19" s="2" t="s">
        <v>20</v>
      </c>
      <c r="C19" s="2" t="s">
        <v>60</v>
      </c>
      <c r="D19" s="2" t="s">
        <v>22</v>
      </c>
      <c r="E19" s="2">
        <v>1</v>
      </c>
      <c r="F19" s="3">
        <v>0.05</v>
      </c>
      <c r="G19" s="2">
        <v>0</v>
      </c>
      <c r="H19" s="2">
        <v>0.25</v>
      </c>
      <c r="I19" s="2" t="s">
        <v>18</v>
      </c>
      <c r="J19" s="2"/>
      <c r="K19" s="9" t="s">
        <v>97</v>
      </c>
      <c r="L19" s="13" t="s">
        <v>98</v>
      </c>
      <c r="M19" s="2"/>
    </row>
    <row r="20" spans="1:13" ht="34">
      <c r="A20" s="2" t="s">
        <v>124</v>
      </c>
      <c r="B20" s="2" t="s">
        <v>20</v>
      </c>
      <c r="C20" s="2" t="s">
        <v>55</v>
      </c>
      <c r="D20" s="2" t="s">
        <v>22</v>
      </c>
      <c r="E20" s="2">
        <v>1</v>
      </c>
      <c r="F20" s="3">
        <v>0.88</v>
      </c>
      <c r="G20" s="3">
        <v>41300</v>
      </c>
      <c r="H20" s="3">
        <v>5631</v>
      </c>
      <c r="I20" s="2" t="s">
        <v>10</v>
      </c>
      <c r="J20" s="2"/>
      <c r="K20" s="5" t="s">
        <v>99</v>
      </c>
      <c r="L20" s="13" t="s">
        <v>101</v>
      </c>
      <c r="M20" s="2"/>
    </row>
    <row r="21" spans="1:13" ht="68">
      <c r="A21" s="2" t="s">
        <v>124</v>
      </c>
      <c r="B21" s="2" t="s">
        <v>20</v>
      </c>
      <c r="C21" s="2" t="s">
        <v>59</v>
      </c>
      <c r="D21" s="2" t="s">
        <v>22</v>
      </c>
      <c r="E21" s="2">
        <v>1</v>
      </c>
      <c r="F21" s="3">
        <v>0.67700000000000005</v>
      </c>
      <c r="G21" s="2">
        <v>0.95698050000000001</v>
      </c>
      <c r="H21" s="2">
        <v>0.45658009999999999</v>
      </c>
      <c r="I21" s="2" t="s">
        <v>10</v>
      </c>
      <c r="J21" s="2" t="s">
        <v>77</v>
      </c>
      <c r="K21" s="9" t="s">
        <v>56</v>
      </c>
      <c r="L21" s="13" t="s">
        <v>96</v>
      </c>
      <c r="M21" s="2"/>
    </row>
    <row r="22" spans="1:13" ht="17">
      <c r="A22" s="2" t="s">
        <v>124</v>
      </c>
      <c r="B22" s="2" t="s">
        <v>20</v>
      </c>
      <c r="C22" s="2" t="s">
        <v>78</v>
      </c>
      <c r="D22" s="2" t="s">
        <v>80</v>
      </c>
      <c r="E22" s="2">
        <v>1</v>
      </c>
      <c r="F22" s="3">
        <v>1</v>
      </c>
      <c r="G22" s="2">
        <v>1</v>
      </c>
      <c r="H22" s="2">
        <v>1</v>
      </c>
      <c r="I22" s="2" t="s">
        <v>25</v>
      </c>
      <c r="J22" s="2"/>
      <c r="K22" s="2" t="s">
        <v>25</v>
      </c>
      <c r="L22" s="13" t="s">
        <v>94</v>
      </c>
      <c r="M22" s="2"/>
    </row>
    <row r="23" spans="1:13" ht="17">
      <c r="A23" s="2" t="s">
        <v>124</v>
      </c>
      <c r="B23" s="2" t="s">
        <v>20</v>
      </c>
      <c r="C23" s="2" t="s">
        <v>86</v>
      </c>
      <c r="D23" s="2" t="s">
        <v>80</v>
      </c>
      <c r="E23" s="2">
        <v>1</v>
      </c>
      <c r="F23" s="3">
        <v>1</v>
      </c>
      <c r="G23" s="2">
        <v>1</v>
      </c>
      <c r="H23" s="2">
        <v>1</v>
      </c>
      <c r="I23" s="2" t="s">
        <v>25</v>
      </c>
      <c r="J23" s="2"/>
      <c r="K23" s="2" t="s">
        <v>25</v>
      </c>
      <c r="L23" s="13" t="s">
        <v>94</v>
      </c>
      <c r="M23" s="2"/>
    </row>
    <row r="24" spans="1:13" ht="17">
      <c r="A24" s="2" t="s">
        <v>124</v>
      </c>
      <c r="B24" s="2" t="s">
        <v>20</v>
      </c>
      <c r="C24" s="2" t="s">
        <v>85</v>
      </c>
      <c r="D24" s="2" t="s">
        <v>80</v>
      </c>
      <c r="E24" s="2">
        <v>1</v>
      </c>
      <c r="F24" s="3">
        <v>1</v>
      </c>
      <c r="G24" s="2">
        <v>1</v>
      </c>
      <c r="H24" s="2">
        <v>1</v>
      </c>
      <c r="I24" s="2" t="s">
        <v>25</v>
      </c>
      <c r="J24" s="2"/>
      <c r="K24" s="2" t="s">
        <v>25</v>
      </c>
      <c r="L24" s="13" t="s">
        <v>94</v>
      </c>
      <c r="M24" s="2"/>
    </row>
    <row r="25" spans="1:13" ht="17">
      <c r="A25" s="2" t="s">
        <v>124</v>
      </c>
      <c r="B25" s="2" t="s">
        <v>20</v>
      </c>
      <c r="C25" s="2" t="s">
        <v>79</v>
      </c>
      <c r="D25" s="2" t="s">
        <v>80</v>
      </c>
      <c r="E25" s="2">
        <v>0</v>
      </c>
      <c r="F25" s="2">
        <v>0</v>
      </c>
      <c r="G25" s="2">
        <v>0</v>
      </c>
      <c r="H25" s="2">
        <v>0</v>
      </c>
      <c r="I25" s="2" t="s">
        <v>25</v>
      </c>
      <c r="J25" s="2"/>
      <c r="K25" s="2" t="s">
        <v>25</v>
      </c>
      <c r="L25" s="13" t="s">
        <v>93</v>
      </c>
      <c r="M25" s="2"/>
    </row>
    <row r="26" spans="1:13" ht="17">
      <c r="A26" s="2" t="s">
        <v>124</v>
      </c>
      <c r="B26" s="2" t="s">
        <v>20</v>
      </c>
      <c r="C26" s="2" t="s">
        <v>76</v>
      </c>
      <c r="D26" s="2" t="s">
        <v>36</v>
      </c>
      <c r="E26" s="2" t="s">
        <v>67</v>
      </c>
      <c r="F26" s="2">
        <v>5134980894</v>
      </c>
      <c r="G26" s="3">
        <f>Table13[[#This Row],[Med]]*0.8</f>
        <v>4107984715.2000003</v>
      </c>
      <c r="H26" s="2">
        <f>Table13[[#This Row],[Med]]*1.2</f>
        <v>6161977072.8000002</v>
      </c>
      <c r="I26" s="2" t="s">
        <v>12</v>
      </c>
      <c r="J26" s="2" t="s">
        <v>39</v>
      </c>
      <c r="K26" s="9" t="s">
        <v>43</v>
      </c>
      <c r="L26" s="14" t="s">
        <v>138</v>
      </c>
      <c r="M26" s="2"/>
    </row>
    <row r="27" spans="1:13" ht="35" customHeight="1">
      <c r="A27" s="2" t="s">
        <v>124</v>
      </c>
      <c r="B27" s="2" t="s">
        <v>20</v>
      </c>
      <c r="C27" s="2" t="s">
        <v>49</v>
      </c>
      <c r="D27" s="2" t="s">
        <v>27</v>
      </c>
      <c r="E27" s="2" t="s">
        <v>27</v>
      </c>
      <c r="F27" s="3">
        <f>Table13[[#This Row],[Lo_alpha]]/(Table13[[#This Row],[Lo_alpha]]+Table13[[#This Row],[Hi_beta]])</f>
        <v>0.66172404363282789</v>
      </c>
      <c r="G27" s="2">
        <v>217780</v>
      </c>
      <c r="H27" s="2">
        <v>111330</v>
      </c>
      <c r="I27" s="2" t="s">
        <v>10</v>
      </c>
      <c r="J27" s="2" t="s">
        <v>90</v>
      </c>
      <c r="K27" s="10" t="s">
        <v>50</v>
      </c>
      <c r="L27" s="13" t="s">
        <v>53</v>
      </c>
      <c r="M27" s="2"/>
    </row>
  </sheetData>
  <hyperlinks>
    <hyperlink ref="K26" r:id="rId1" xr:uid="{E2A15294-B95C-9442-B27A-4124C9341C39}"/>
    <hyperlink ref="K8" r:id="rId2" xr:uid="{FC6A8DC0-793A-5944-92F3-B6B63D24ECA9}"/>
    <hyperlink ref="K4" r:id="rId3" xr:uid="{7131849E-EF21-4F44-93FD-4A70359CE243}"/>
    <hyperlink ref="K5" r:id="rId4" xr:uid="{8DAA4AED-8BB7-5C45-9346-A5C06F6F8E49}"/>
    <hyperlink ref="K6" r:id="rId5" xr:uid="{62A558EF-89D9-1945-BBDF-93D8F7AE32A1}"/>
    <hyperlink ref="K7" r:id="rId6" xr:uid="{04B45639-7AD4-2E45-9B1A-9894D2E788F9}"/>
    <hyperlink ref="K21" r:id="rId7" xr:uid="{810FF755-80FB-D94F-9ABB-2819655ACB7A}"/>
    <hyperlink ref="K19" r:id="rId8" xr:uid="{52CDA11F-68AE-6443-8087-491F942B0C18}"/>
    <hyperlink ref="K18" r:id="rId9" xr:uid="{2D2E50A1-2D96-4546-BE72-7F498B47158D}"/>
    <hyperlink ref="K20" r:id="rId10" xr:uid="{AD7C4D1D-0F13-924E-B4CE-E45DFD4B3F8D}"/>
    <hyperlink ref="K27" r:id="rId11" xr:uid="{97A056AE-8E25-8F42-9A71-AE65EA8A2DC9}"/>
  </hyperlinks>
  <pageMargins left="0.7" right="0.7" top="0.75" bottom="0.75" header="0.3" footer="0.3"/>
  <legacyDrawing r:id="rId12"/>
  <tableParts count="1">
    <tablePart r:id="rId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2377-8024-D744-9437-94254E13AD45}">
  <dimension ref="A1:R28"/>
  <sheetViews>
    <sheetView topLeftCell="A16" zoomScale="137" zoomScaleNormal="137" workbookViewId="0">
      <pane xSplit="1" topLeftCell="C1" activePane="topRight" state="frozen"/>
      <selection pane="topRight" activeCell="H26" sqref="H26"/>
    </sheetView>
  </sheetViews>
  <sheetFormatPr baseColWidth="10" defaultRowHeight="16"/>
  <cols>
    <col min="6" max="6" width="10.83203125" style="31"/>
    <col min="7" max="7" width="15" customWidth="1"/>
    <col min="14" max="14" width="15.33203125" customWidth="1"/>
    <col min="16" max="16" width="13.33203125" customWidth="1"/>
    <col min="17" max="17" width="13.6640625" customWidth="1"/>
    <col min="18" max="18" width="11.5" customWidth="1"/>
  </cols>
  <sheetData>
    <row r="1" spans="1:18">
      <c r="A1" s="32" t="s">
        <v>210</v>
      </c>
      <c r="B1" s="32" t="s">
        <v>211</v>
      </c>
      <c r="C1" s="32" t="s">
        <v>212</v>
      </c>
      <c r="D1" s="32" t="s">
        <v>213</v>
      </c>
      <c r="E1" s="32" t="s">
        <v>340</v>
      </c>
      <c r="F1" s="32" t="s">
        <v>341</v>
      </c>
      <c r="G1" s="32" t="s">
        <v>214</v>
      </c>
      <c r="H1" s="32" t="s">
        <v>215</v>
      </c>
      <c r="I1" s="32" t="s">
        <v>216</v>
      </c>
      <c r="J1" s="32" t="s">
        <v>217</v>
      </c>
      <c r="K1" s="32" t="s">
        <v>218</v>
      </c>
      <c r="L1" s="32" t="s">
        <v>219</v>
      </c>
      <c r="M1" s="32" t="s">
        <v>220</v>
      </c>
      <c r="N1" s="32" t="s">
        <v>221</v>
      </c>
      <c r="O1" s="32" t="s">
        <v>222</v>
      </c>
      <c r="P1" s="32" t="s">
        <v>223</v>
      </c>
      <c r="Q1" s="32" t="s">
        <v>224</v>
      </c>
      <c r="R1" s="32" t="s">
        <v>225</v>
      </c>
    </row>
    <row r="2" spans="1:18" ht="33">
      <c r="A2" s="33" t="s">
        <v>226</v>
      </c>
      <c r="B2" s="33" t="s">
        <v>227</v>
      </c>
      <c r="C2" s="33" t="s">
        <v>228</v>
      </c>
      <c r="D2" s="33" t="s">
        <v>229</v>
      </c>
      <c r="E2" s="33" t="s">
        <v>342</v>
      </c>
      <c r="F2" s="44" t="s">
        <v>343</v>
      </c>
      <c r="G2" s="33" t="s">
        <v>230</v>
      </c>
      <c r="H2" s="33">
        <v>60</v>
      </c>
      <c r="I2" s="38">
        <v>43921</v>
      </c>
      <c r="J2" s="38">
        <v>43945</v>
      </c>
      <c r="K2" s="38">
        <v>44102</v>
      </c>
      <c r="L2" s="33">
        <v>30</v>
      </c>
      <c r="M2" s="33" t="s">
        <v>231</v>
      </c>
      <c r="N2" s="33">
        <v>15</v>
      </c>
      <c r="O2" s="33" t="s">
        <v>23</v>
      </c>
      <c r="P2" s="33">
        <v>15</v>
      </c>
      <c r="Q2" s="33">
        <v>2</v>
      </c>
      <c r="R2" s="33">
        <v>4</v>
      </c>
    </row>
    <row r="3" spans="1:18" ht="44">
      <c r="A3" s="33" t="s">
        <v>232</v>
      </c>
      <c r="B3" s="33" t="s">
        <v>233</v>
      </c>
      <c r="C3" s="33" t="s">
        <v>234</v>
      </c>
      <c r="D3" s="33" t="s">
        <v>235</v>
      </c>
      <c r="E3" s="33" t="s">
        <v>351</v>
      </c>
      <c r="F3" s="33" t="s">
        <v>345</v>
      </c>
      <c r="G3" s="33" t="s">
        <v>236</v>
      </c>
      <c r="H3" s="33">
        <v>100</v>
      </c>
      <c r="I3" s="38">
        <v>43921</v>
      </c>
      <c r="J3" s="38">
        <v>43939</v>
      </c>
      <c r="K3" s="38">
        <v>44124</v>
      </c>
      <c r="L3" s="33">
        <v>131</v>
      </c>
      <c r="M3" s="33" t="s">
        <v>237</v>
      </c>
      <c r="N3" s="33">
        <v>63</v>
      </c>
      <c r="O3" s="33" t="s">
        <v>23</v>
      </c>
      <c r="P3" s="33">
        <v>67</v>
      </c>
      <c r="Q3" s="33">
        <v>7</v>
      </c>
      <c r="R3" s="33">
        <v>8</v>
      </c>
    </row>
    <row r="4" spans="1:18" ht="44">
      <c r="A4" s="33" t="s">
        <v>238</v>
      </c>
      <c r="B4" s="33" t="s">
        <v>239</v>
      </c>
      <c r="C4" s="33" t="s">
        <v>240</v>
      </c>
      <c r="D4" s="33" t="s">
        <v>241</v>
      </c>
      <c r="E4" s="33" t="s">
        <v>351</v>
      </c>
      <c r="F4" s="33" t="s">
        <v>356</v>
      </c>
      <c r="G4" s="33" t="s">
        <v>242</v>
      </c>
      <c r="H4" s="33">
        <v>100</v>
      </c>
      <c r="I4" s="38">
        <v>43921</v>
      </c>
      <c r="J4" s="38">
        <v>43993</v>
      </c>
      <c r="K4" s="38">
        <v>44124</v>
      </c>
      <c r="L4" s="33">
        <v>126</v>
      </c>
      <c r="M4" s="33" t="s">
        <v>243</v>
      </c>
      <c r="N4" s="33">
        <v>60</v>
      </c>
      <c r="O4" s="33" t="s">
        <v>23</v>
      </c>
      <c r="P4" s="33">
        <v>66</v>
      </c>
      <c r="Q4" s="33">
        <v>2</v>
      </c>
      <c r="R4" s="33">
        <v>1</v>
      </c>
    </row>
    <row r="5" spans="1:18" ht="22">
      <c r="A5" s="33" t="s">
        <v>244</v>
      </c>
      <c r="B5" s="33" t="s">
        <v>245</v>
      </c>
      <c r="C5" s="33" t="s">
        <v>246</v>
      </c>
      <c r="D5" s="33" t="s">
        <v>20</v>
      </c>
      <c r="E5" s="33"/>
      <c r="F5" s="33"/>
      <c r="G5" s="33" t="s">
        <v>247</v>
      </c>
      <c r="H5" s="33" t="s">
        <v>25</v>
      </c>
      <c r="I5" s="38">
        <v>43941</v>
      </c>
      <c r="J5" s="39">
        <v>43997</v>
      </c>
      <c r="K5" s="38">
        <v>44125</v>
      </c>
      <c r="L5" s="33">
        <v>242</v>
      </c>
      <c r="M5" s="33" t="s">
        <v>237</v>
      </c>
      <c r="N5" s="33">
        <v>161</v>
      </c>
      <c r="O5" s="33" t="s">
        <v>248</v>
      </c>
      <c r="P5" s="33">
        <v>81</v>
      </c>
      <c r="Q5" s="33">
        <v>9</v>
      </c>
      <c r="R5" s="33">
        <v>3</v>
      </c>
    </row>
    <row r="6" spans="1:18" ht="33">
      <c r="A6" s="33" t="s">
        <v>249</v>
      </c>
      <c r="B6" s="33" t="s">
        <v>250</v>
      </c>
      <c r="C6" s="33" t="s">
        <v>251</v>
      </c>
      <c r="D6" s="33" t="s">
        <v>352</v>
      </c>
      <c r="E6" s="33"/>
      <c r="F6" s="33"/>
      <c r="G6" s="33" t="s">
        <v>252</v>
      </c>
      <c r="H6" s="33" t="s">
        <v>25</v>
      </c>
      <c r="I6" s="38">
        <v>43965</v>
      </c>
      <c r="J6" s="38">
        <v>44061</v>
      </c>
      <c r="K6" s="38">
        <v>44182</v>
      </c>
      <c r="L6" s="33">
        <v>377</v>
      </c>
      <c r="M6" s="33" t="s">
        <v>237</v>
      </c>
      <c r="N6" s="33">
        <v>249</v>
      </c>
      <c r="O6" s="33" t="s">
        <v>248</v>
      </c>
      <c r="P6" s="33">
        <v>128</v>
      </c>
      <c r="Q6" s="33">
        <v>26</v>
      </c>
      <c r="R6" s="33">
        <v>11</v>
      </c>
    </row>
    <row r="7" spans="1:18" ht="44" customHeight="1">
      <c r="A7" s="33" t="s">
        <v>253</v>
      </c>
      <c r="B7" s="33" t="s">
        <v>254</v>
      </c>
      <c r="C7" s="33" t="s">
        <v>255</v>
      </c>
      <c r="D7" s="33" t="s">
        <v>256</v>
      </c>
      <c r="E7" s="33" t="s">
        <v>351</v>
      </c>
      <c r="F7" s="33" t="s">
        <v>345</v>
      </c>
      <c r="G7" s="33" t="s">
        <v>257</v>
      </c>
      <c r="H7" s="33" t="s">
        <v>25</v>
      </c>
      <c r="I7" s="38">
        <v>43959</v>
      </c>
      <c r="J7" s="38">
        <v>44029</v>
      </c>
      <c r="K7" s="38">
        <v>44216</v>
      </c>
      <c r="L7" s="33">
        <v>129</v>
      </c>
      <c r="M7" s="33" t="s">
        <v>237</v>
      </c>
      <c r="N7" s="33">
        <v>65</v>
      </c>
      <c r="O7" s="33" t="s">
        <v>23</v>
      </c>
      <c r="P7" s="33">
        <v>64</v>
      </c>
      <c r="Q7" s="33">
        <v>14</v>
      </c>
      <c r="R7" s="33">
        <v>6</v>
      </c>
    </row>
    <row r="8" spans="1:18" ht="44">
      <c r="A8" s="33" t="s">
        <v>258</v>
      </c>
      <c r="B8" s="33" t="s">
        <v>259</v>
      </c>
      <c r="C8" s="33" t="s">
        <v>260</v>
      </c>
      <c r="D8" s="33" t="s">
        <v>261</v>
      </c>
      <c r="E8" s="33" t="s">
        <v>344</v>
      </c>
      <c r="F8" s="44" t="s">
        <v>343</v>
      </c>
      <c r="G8" s="33" t="s">
        <v>262</v>
      </c>
      <c r="H8" s="33">
        <v>100</v>
      </c>
      <c r="I8" s="38">
        <v>43940</v>
      </c>
      <c r="J8" s="38">
        <v>44154</v>
      </c>
      <c r="K8" s="38">
        <v>44252</v>
      </c>
      <c r="L8" s="33">
        <v>755</v>
      </c>
      <c r="M8" s="33" t="s">
        <v>243</v>
      </c>
      <c r="N8" s="33">
        <v>353</v>
      </c>
      <c r="O8" s="33" t="s">
        <v>23</v>
      </c>
      <c r="P8" s="33">
        <v>402</v>
      </c>
      <c r="Q8" s="33">
        <v>98</v>
      </c>
      <c r="R8" s="33">
        <v>142</v>
      </c>
    </row>
    <row r="9" spans="1:18" ht="44">
      <c r="A9" s="33" t="s">
        <v>263</v>
      </c>
      <c r="B9" s="33" t="s">
        <v>259</v>
      </c>
      <c r="C9" s="33" t="s">
        <v>260</v>
      </c>
      <c r="D9" s="33" t="s">
        <v>261</v>
      </c>
      <c r="E9" s="33" t="s">
        <v>344</v>
      </c>
      <c r="F9" s="44" t="s">
        <v>343</v>
      </c>
      <c r="G9" s="33" t="s">
        <v>262</v>
      </c>
      <c r="H9" s="33">
        <v>100</v>
      </c>
      <c r="I9" s="38">
        <v>43940</v>
      </c>
      <c r="J9" s="38">
        <v>44154</v>
      </c>
      <c r="K9" s="38">
        <v>44252</v>
      </c>
      <c r="L9" s="33">
        <v>450</v>
      </c>
      <c r="M9" s="33" t="s">
        <v>264</v>
      </c>
      <c r="N9" s="33">
        <v>48</v>
      </c>
      <c r="O9" s="33" t="s">
        <v>23</v>
      </c>
      <c r="P9" s="33">
        <v>402</v>
      </c>
      <c r="Q9" s="33">
        <v>10</v>
      </c>
      <c r="R9" s="33">
        <v>142</v>
      </c>
    </row>
    <row r="10" spans="1:18" ht="33">
      <c r="A10" s="33" t="s">
        <v>265</v>
      </c>
      <c r="B10" s="33" t="s">
        <v>266</v>
      </c>
      <c r="C10" s="33" t="s">
        <v>267</v>
      </c>
      <c r="D10" s="33" t="s">
        <v>268</v>
      </c>
      <c r="E10" s="33"/>
      <c r="F10" s="33"/>
      <c r="G10" s="33" t="s">
        <v>269</v>
      </c>
      <c r="H10" s="33" t="s">
        <v>25</v>
      </c>
      <c r="I10" s="38">
        <v>43981</v>
      </c>
      <c r="J10" s="38">
        <v>44074</v>
      </c>
      <c r="K10" s="38">
        <v>44259</v>
      </c>
      <c r="L10" s="33">
        <v>179</v>
      </c>
      <c r="M10" s="33" t="s">
        <v>237</v>
      </c>
      <c r="N10" s="33">
        <v>91</v>
      </c>
      <c r="O10" s="33" t="s">
        <v>23</v>
      </c>
      <c r="P10" s="33">
        <v>88</v>
      </c>
      <c r="Q10" s="33">
        <v>11</v>
      </c>
      <c r="R10" s="33">
        <v>15</v>
      </c>
    </row>
    <row r="11" spans="1:18" ht="44">
      <c r="A11" s="33" t="s">
        <v>270</v>
      </c>
      <c r="B11" s="33" t="s">
        <v>271</v>
      </c>
      <c r="C11" s="33" t="s">
        <v>272</v>
      </c>
      <c r="D11" s="33" t="s">
        <v>273</v>
      </c>
      <c r="E11" s="33"/>
      <c r="F11" s="33"/>
      <c r="G11" s="33" t="s">
        <v>274</v>
      </c>
      <c r="H11" s="33">
        <v>26</v>
      </c>
      <c r="I11" s="38">
        <v>43918</v>
      </c>
      <c r="J11" s="38">
        <v>44015</v>
      </c>
      <c r="K11" s="38">
        <v>44259</v>
      </c>
      <c r="L11" s="33">
        <v>257</v>
      </c>
      <c r="M11" s="33" t="s">
        <v>275</v>
      </c>
      <c r="N11" s="33">
        <v>173</v>
      </c>
      <c r="O11" s="33" t="s">
        <v>276</v>
      </c>
      <c r="P11" s="33">
        <v>84</v>
      </c>
      <c r="Q11" s="33">
        <v>14</v>
      </c>
      <c r="R11" s="33">
        <v>7</v>
      </c>
    </row>
    <row r="12" spans="1:18" ht="44">
      <c r="A12" s="33" t="s">
        <v>277</v>
      </c>
      <c r="B12" s="33" t="s">
        <v>271</v>
      </c>
      <c r="C12" s="33" t="s">
        <v>272</v>
      </c>
      <c r="D12" s="33" t="s">
        <v>273</v>
      </c>
      <c r="E12" s="33"/>
      <c r="F12" s="33"/>
      <c r="G12" s="33" t="s">
        <v>274</v>
      </c>
      <c r="H12" s="33">
        <v>26</v>
      </c>
      <c r="I12" s="38">
        <v>43918</v>
      </c>
      <c r="J12" s="38">
        <v>44015</v>
      </c>
      <c r="K12" s="38">
        <v>44259</v>
      </c>
      <c r="L12" s="33">
        <v>243</v>
      </c>
      <c r="M12" s="33" t="s">
        <v>278</v>
      </c>
      <c r="N12" s="33">
        <v>159</v>
      </c>
      <c r="O12" s="33" t="s">
        <v>276</v>
      </c>
      <c r="P12" s="33">
        <v>84</v>
      </c>
      <c r="Q12" s="33">
        <v>16</v>
      </c>
      <c r="R12" s="33">
        <v>7</v>
      </c>
    </row>
    <row r="13" spans="1:18" ht="33">
      <c r="A13" s="33" t="s">
        <v>279</v>
      </c>
      <c r="B13" s="33" t="s">
        <v>280</v>
      </c>
      <c r="C13" s="33" t="s">
        <v>281</v>
      </c>
      <c r="D13" s="33" t="s">
        <v>268</v>
      </c>
      <c r="E13" s="33"/>
      <c r="F13" s="33"/>
      <c r="G13" s="33" t="s">
        <v>282</v>
      </c>
      <c r="H13" s="33">
        <v>28.1</v>
      </c>
      <c r="I13" s="38">
        <v>43953</v>
      </c>
      <c r="J13" s="38">
        <v>44019</v>
      </c>
      <c r="K13" s="39">
        <v>44295</v>
      </c>
      <c r="L13" s="33">
        <v>32</v>
      </c>
      <c r="M13" s="33" t="s">
        <v>283</v>
      </c>
      <c r="N13" s="33">
        <v>20</v>
      </c>
      <c r="O13" s="33" t="s">
        <v>23</v>
      </c>
      <c r="P13" s="33">
        <v>10</v>
      </c>
      <c r="Q13" s="33">
        <v>0</v>
      </c>
      <c r="R13" s="33">
        <v>3</v>
      </c>
    </row>
    <row r="14" spans="1:18" ht="33">
      <c r="A14" s="33" t="s">
        <v>284</v>
      </c>
      <c r="B14" s="33" t="s">
        <v>285</v>
      </c>
      <c r="C14" s="33" t="s">
        <v>286</v>
      </c>
      <c r="D14" s="33" t="s">
        <v>287</v>
      </c>
      <c r="E14" s="33"/>
      <c r="F14" s="33"/>
      <c r="G14" s="33" t="s">
        <v>288</v>
      </c>
      <c r="H14" s="33">
        <v>50</v>
      </c>
      <c r="I14" s="38">
        <v>43979</v>
      </c>
      <c r="J14" s="38">
        <v>44089</v>
      </c>
      <c r="K14" s="38">
        <v>44272</v>
      </c>
      <c r="L14" s="33">
        <v>40</v>
      </c>
      <c r="M14" s="33" t="s">
        <v>289</v>
      </c>
      <c r="N14" s="33">
        <v>21</v>
      </c>
      <c r="O14" s="33" t="s">
        <v>276</v>
      </c>
      <c r="P14" s="33">
        <v>19</v>
      </c>
      <c r="Q14" s="33">
        <v>1</v>
      </c>
      <c r="R14" s="33">
        <v>3</v>
      </c>
    </row>
    <row r="15" spans="1:18" ht="88">
      <c r="A15" s="33" t="s">
        <v>290</v>
      </c>
      <c r="B15" s="33" t="s">
        <v>291</v>
      </c>
      <c r="C15" s="33" t="s">
        <v>292</v>
      </c>
      <c r="D15" s="33" t="s">
        <v>353</v>
      </c>
      <c r="E15" s="33" t="s">
        <v>344</v>
      </c>
      <c r="F15" s="44" t="s">
        <v>343</v>
      </c>
      <c r="G15" s="33" t="s">
        <v>293</v>
      </c>
      <c r="H15" s="33">
        <v>100</v>
      </c>
      <c r="I15" s="38">
        <v>43979</v>
      </c>
      <c r="J15" s="38">
        <v>44209</v>
      </c>
      <c r="K15" s="38">
        <v>44303</v>
      </c>
      <c r="L15" s="33">
        <v>793</v>
      </c>
      <c r="M15" s="33" t="s">
        <v>294</v>
      </c>
      <c r="N15" s="33">
        <v>395</v>
      </c>
      <c r="O15" s="33" t="s">
        <v>248</v>
      </c>
      <c r="P15" s="33">
        <v>398</v>
      </c>
      <c r="Q15" s="33">
        <v>64</v>
      </c>
      <c r="R15" s="33">
        <v>74</v>
      </c>
    </row>
    <row r="16" spans="1:18" ht="55">
      <c r="A16" s="33" t="s">
        <v>295</v>
      </c>
      <c r="B16" s="33" t="s">
        <v>296</v>
      </c>
      <c r="C16" s="33" t="s">
        <v>297</v>
      </c>
      <c r="D16" s="33" t="s">
        <v>354</v>
      </c>
      <c r="E16" s="33" t="s">
        <v>344</v>
      </c>
      <c r="F16" s="44" t="s">
        <v>343</v>
      </c>
      <c r="G16" s="33" t="s">
        <v>298</v>
      </c>
      <c r="H16" s="33" t="s">
        <v>25</v>
      </c>
      <c r="I16" s="38">
        <v>43924</v>
      </c>
      <c r="J16" s="38">
        <v>43979</v>
      </c>
      <c r="K16" s="38">
        <v>44252</v>
      </c>
      <c r="L16" s="33">
        <v>438</v>
      </c>
      <c r="M16" s="33" t="s">
        <v>237</v>
      </c>
      <c r="N16" s="33">
        <v>294</v>
      </c>
      <c r="O16" s="33" t="s">
        <v>248</v>
      </c>
      <c r="P16" s="33">
        <v>144</v>
      </c>
      <c r="Q16" s="33">
        <v>58</v>
      </c>
      <c r="R16" s="33">
        <v>28</v>
      </c>
    </row>
    <row r="17" spans="1:18" ht="33">
      <c r="A17" s="33" t="s">
        <v>299</v>
      </c>
      <c r="B17" s="33" t="s">
        <v>300</v>
      </c>
      <c r="C17" s="33" t="s">
        <v>126</v>
      </c>
      <c r="D17" s="33" t="s">
        <v>301</v>
      </c>
      <c r="E17" s="33"/>
      <c r="F17" s="33"/>
      <c r="G17" s="33" t="s">
        <v>302</v>
      </c>
      <c r="H17" s="33">
        <v>54.6</v>
      </c>
      <c r="I17" s="38">
        <v>43944</v>
      </c>
      <c r="J17" s="38">
        <v>44220</v>
      </c>
      <c r="K17" s="38">
        <v>44317</v>
      </c>
      <c r="L17" s="33">
        <v>4116</v>
      </c>
      <c r="M17" s="33" t="s">
        <v>237</v>
      </c>
      <c r="N17" s="33">
        <v>2022</v>
      </c>
      <c r="O17" s="33" t="s">
        <v>23</v>
      </c>
      <c r="P17" s="33">
        <v>2094</v>
      </c>
      <c r="Q17" s="33">
        <v>621</v>
      </c>
      <c r="R17" s="33">
        <v>729</v>
      </c>
    </row>
    <row r="18" spans="1:18" ht="22">
      <c r="A18" s="33" t="s">
        <v>303</v>
      </c>
      <c r="B18" s="33" t="s">
        <v>304</v>
      </c>
      <c r="C18" s="33" t="s">
        <v>272</v>
      </c>
      <c r="D18" s="33" t="s">
        <v>20</v>
      </c>
      <c r="E18" s="33"/>
      <c r="F18" s="33"/>
      <c r="G18" s="33" t="s">
        <v>305</v>
      </c>
      <c r="H18" s="33">
        <v>72.400000000000006</v>
      </c>
      <c r="I18" s="38">
        <v>43908</v>
      </c>
      <c r="J18" s="45">
        <v>44013</v>
      </c>
      <c r="K18" s="38">
        <v>44497</v>
      </c>
      <c r="L18" s="33">
        <v>270</v>
      </c>
      <c r="M18" s="33" t="s">
        <v>275</v>
      </c>
      <c r="N18" s="33">
        <v>180</v>
      </c>
      <c r="O18" s="33" t="s">
        <v>276</v>
      </c>
      <c r="P18" s="33">
        <v>90</v>
      </c>
      <c r="Q18" s="33">
        <v>49</v>
      </c>
      <c r="R18" s="33">
        <v>24</v>
      </c>
    </row>
    <row r="19" spans="1:18" ht="22">
      <c r="A19" s="33" t="s">
        <v>306</v>
      </c>
      <c r="B19" s="33" t="s">
        <v>304</v>
      </c>
      <c r="C19" s="33" t="s">
        <v>272</v>
      </c>
      <c r="D19" s="33" t="s">
        <v>20</v>
      </c>
      <c r="E19" s="33"/>
      <c r="F19" s="33"/>
      <c r="G19" s="33" t="s">
        <v>305</v>
      </c>
      <c r="H19" s="33">
        <v>72.400000000000006</v>
      </c>
      <c r="I19" s="38">
        <v>43908</v>
      </c>
      <c r="J19" s="45">
        <v>44013</v>
      </c>
      <c r="K19" s="38">
        <v>44497</v>
      </c>
      <c r="L19" s="33">
        <v>277</v>
      </c>
      <c r="M19" s="33" t="s">
        <v>278</v>
      </c>
      <c r="N19" s="33">
        <v>187</v>
      </c>
      <c r="O19" s="33" t="s">
        <v>276</v>
      </c>
      <c r="P19" s="33">
        <v>90</v>
      </c>
      <c r="Q19" s="33">
        <v>60</v>
      </c>
      <c r="R19" s="33">
        <v>24</v>
      </c>
    </row>
    <row r="20" spans="1:18" ht="33">
      <c r="A20" s="33" t="s">
        <v>307</v>
      </c>
      <c r="B20" s="33" t="s">
        <v>308</v>
      </c>
      <c r="C20" s="33" t="s">
        <v>309</v>
      </c>
      <c r="D20" s="33" t="s">
        <v>310</v>
      </c>
      <c r="E20" s="33"/>
      <c r="F20" s="33"/>
      <c r="G20" s="33" t="s">
        <v>311</v>
      </c>
      <c r="H20" s="33">
        <v>98.5</v>
      </c>
      <c r="I20" s="38">
        <v>43950</v>
      </c>
      <c r="J20" s="38">
        <v>44046</v>
      </c>
      <c r="K20" s="38">
        <v>44468</v>
      </c>
      <c r="L20" s="33">
        <v>206</v>
      </c>
      <c r="M20" s="33" t="s">
        <v>312</v>
      </c>
      <c r="N20" s="33">
        <v>103</v>
      </c>
      <c r="O20" s="33" t="s">
        <v>248</v>
      </c>
      <c r="P20" s="33">
        <v>103</v>
      </c>
      <c r="Q20" s="33">
        <v>4</v>
      </c>
      <c r="R20" s="33">
        <v>4</v>
      </c>
    </row>
    <row r="21" spans="1:18" ht="33">
      <c r="A21" s="33" t="s">
        <v>313</v>
      </c>
      <c r="B21" s="33" t="s">
        <v>314</v>
      </c>
      <c r="C21" s="33" t="s">
        <v>315</v>
      </c>
      <c r="D21" s="33" t="s">
        <v>316</v>
      </c>
      <c r="E21" s="33"/>
      <c r="F21" s="33"/>
      <c r="G21" s="33" t="s">
        <v>317</v>
      </c>
      <c r="H21" s="33" t="s">
        <v>25</v>
      </c>
      <c r="I21" s="38">
        <v>43925</v>
      </c>
      <c r="J21" s="38">
        <v>44171</v>
      </c>
      <c r="K21" s="38">
        <v>44498</v>
      </c>
      <c r="L21" s="33">
        <v>231</v>
      </c>
      <c r="M21" s="33" t="s">
        <v>318</v>
      </c>
      <c r="N21" s="33">
        <v>113</v>
      </c>
      <c r="O21" s="33" t="s">
        <v>319</v>
      </c>
      <c r="P21" s="33">
        <v>118</v>
      </c>
      <c r="Q21" s="33">
        <v>15</v>
      </c>
      <c r="R21" s="33">
        <v>19</v>
      </c>
    </row>
    <row r="22" spans="1:18" ht="33">
      <c r="A22" s="33" t="s">
        <v>313</v>
      </c>
      <c r="B22" s="33" t="s">
        <v>314</v>
      </c>
      <c r="C22" s="33" t="s">
        <v>315</v>
      </c>
      <c r="D22" s="33" t="s">
        <v>316</v>
      </c>
      <c r="E22" s="33"/>
      <c r="F22" s="33"/>
      <c r="G22" s="33" t="s">
        <v>317</v>
      </c>
      <c r="H22" s="33" t="s">
        <v>25</v>
      </c>
      <c r="I22" s="38">
        <v>43925</v>
      </c>
      <c r="J22" s="38">
        <v>44171</v>
      </c>
      <c r="K22" s="38">
        <v>44498</v>
      </c>
      <c r="L22" s="33">
        <v>229</v>
      </c>
      <c r="M22" s="33" t="s">
        <v>320</v>
      </c>
      <c r="N22" s="33">
        <v>111</v>
      </c>
      <c r="O22" s="33" t="s">
        <v>319</v>
      </c>
      <c r="P22" s="33">
        <v>118</v>
      </c>
      <c r="Q22" s="33">
        <v>21</v>
      </c>
      <c r="R22" s="33">
        <v>19</v>
      </c>
    </row>
    <row r="23" spans="1:18" ht="44">
      <c r="A23" s="33" t="s">
        <v>321</v>
      </c>
      <c r="B23" s="33" t="s">
        <v>322</v>
      </c>
      <c r="C23" s="33" t="s">
        <v>323</v>
      </c>
      <c r="D23" s="33" t="s">
        <v>355</v>
      </c>
      <c r="E23" s="33" t="s">
        <v>351</v>
      </c>
      <c r="F23" s="33" t="s">
        <v>345</v>
      </c>
      <c r="G23" s="33" t="s">
        <v>324</v>
      </c>
      <c r="H23" s="33" t="s">
        <v>25</v>
      </c>
      <c r="I23" s="38">
        <v>43956</v>
      </c>
      <c r="J23" s="38">
        <v>44223</v>
      </c>
      <c r="K23" s="38">
        <v>44531</v>
      </c>
      <c r="L23" s="33">
        <v>479</v>
      </c>
      <c r="M23" s="33" t="s">
        <v>325</v>
      </c>
      <c r="N23" s="33">
        <v>236</v>
      </c>
      <c r="O23" s="33" t="s">
        <v>248</v>
      </c>
      <c r="P23" s="33">
        <v>243</v>
      </c>
      <c r="Q23" s="33">
        <v>24</v>
      </c>
      <c r="R23" s="33">
        <v>34</v>
      </c>
    </row>
    <row r="24" spans="1:18">
      <c r="A24" s="21"/>
    </row>
    <row r="25" spans="1:18">
      <c r="A25" s="21"/>
    </row>
    <row r="26" spans="1:18">
      <c r="A26" s="21"/>
    </row>
    <row r="27" spans="1:18">
      <c r="A27" s="21"/>
    </row>
    <row r="28" spans="1:18">
      <c r="A28" s="22"/>
    </row>
  </sheetData>
  <hyperlinks>
    <hyperlink ref="F2" r:id="rId1" xr:uid="{6E20E07D-A045-9144-808A-64F4A034E0DD}"/>
    <hyperlink ref="F8" r:id="rId2" xr:uid="{9BAF9103-7D3F-5140-935E-7D9F54B8A061}"/>
    <hyperlink ref="F9" r:id="rId3" xr:uid="{6EC38CCA-359F-C94E-ABC7-07190ECDB404}"/>
    <hyperlink ref="F15" r:id="rId4" xr:uid="{DCCF5F27-C9EA-A740-A65F-7E025041B234}"/>
    <hyperlink ref="F16" r:id="rId5" xr:uid="{11283F77-F77C-894E-851C-1D46D5FAB1FE}"/>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5EBB-84BE-624D-A5B2-53AB3B1C54A3}">
  <dimension ref="A1:M18"/>
  <sheetViews>
    <sheetView zoomScale="110" zoomScaleNormal="110" workbookViewId="0">
      <selection activeCell="C21" sqref="C21"/>
    </sheetView>
  </sheetViews>
  <sheetFormatPr baseColWidth="10" defaultRowHeight="16" customHeight="1"/>
  <cols>
    <col min="1" max="1" width="17" style="2" customWidth="1"/>
    <col min="2" max="2" width="5.33203125" style="2" customWidth="1"/>
    <col min="3" max="3" width="21.1640625" style="2" customWidth="1"/>
    <col min="4" max="5" width="13.6640625" style="2" customWidth="1"/>
    <col min="6" max="6" width="12.83203125" style="2" customWidth="1"/>
    <col min="7" max="7" width="11.6640625" style="2" customWidth="1"/>
    <col min="8" max="8" width="12" style="2" customWidth="1"/>
    <col min="9" max="9" width="14.1640625" style="2" customWidth="1"/>
    <col min="10" max="10" width="4.5" style="2" customWidth="1"/>
    <col min="11" max="11" width="14" style="2" customWidth="1"/>
    <col min="12" max="12" width="11.6640625" style="2" customWidth="1"/>
    <col min="13" max="13" width="24.1640625" style="2" customWidth="1"/>
    <col min="14" max="16384" width="10.83203125" style="2"/>
  </cols>
  <sheetData>
    <row r="1" spans="1:13" ht="16" customHeight="1">
      <c r="A1" s="35" t="s">
        <v>0</v>
      </c>
      <c r="B1" s="35" t="s">
        <v>19</v>
      </c>
      <c r="C1" s="35" t="s">
        <v>1</v>
      </c>
      <c r="D1" s="35" t="s">
        <v>9</v>
      </c>
      <c r="E1" s="35" t="s">
        <v>21</v>
      </c>
      <c r="F1" s="35" t="s">
        <v>8</v>
      </c>
      <c r="G1" s="35" t="s">
        <v>16</v>
      </c>
      <c r="H1" s="35" t="s">
        <v>17</v>
      </c>
      <c r="I1" s="35" t="s">
        <v>3</v>
      </c>
      <c r="J1" s="35" t="s">
        <v>13</v>
      </c>
      <c r="K1" s="35" t="s">
        <v>2</v>
      </c>
      <c r="L1" s="35" t="s">
        <v>37</v>
      </c>
      <c r="M1" s="11" t="s">
        <v>100</v>
      </c>
    </row>
    <row r="2" spans="1:13" ht="16" customHeight="1">
      <c r="A2" s="69" t="s">
        <v>61</v>
      </c>
      <c r="B2" s="70" t="s">
        <v>61</v>
      </c>
      <c r="C2" s="2" t="s">
        <v>6</v>
      </c>
      <c r="D2" s="2" t="s">
        <v>69</v>
      </c>
      <c r="E2" s="2" t="s">
        <v>125</v>
      </c>
      <c r="F2" s="8">
        <f>20552919/2</f>
        <v>10276459.5</v>
      </c>
      <c r="G2" s="2">
        <f>0.8*[1]!Table15[[#This Row],[Med]]</f>
        <v>8221167.6000000006</v>
      </c>
      <c r="H2" s="2">
        <f>1.2*[1]!Table15[[#This Row],[Med]]</f>
        <v>12331751.4</v>
      </c>
      <c r="I2" s="2" t="s">
        <v>12</v>
      </c>
      <c r="J2" s="2" t="s">
        <v>14</v>
      </c>
      <c r="K2" s="71" t="s">
        <v>143</v>
      </c>
      <c r="L2" s="2" t="s">
        <v>142</v>
      </c>
    </row>
    <row r="3" spans="1:13" ht="16" customHeight="1">
      <c r="A3" s="69" t="s">
        <v>61</v>
      </c>
      <c r="B3" s="70" t="s">
        <v>61</v>
      </c>
      <c r="C3" s="2" t="s">
        <v>7</v>
      </c>
      <c r="D3" s="2" t="s">
        <v>69</v>
      </c>
      <c r="E3" s="2" t="s">
        <v>125</v>
      </c>
      <c r="F3" s="8">
        <f>8670</f>
        <v>8670</v>
      </c>
      <c r="G3" s="2">
        <f>0.8*[1]!Table15[[#This Row],[Med]]</f>
        <v>6936</v>
      </c>
      <c r="H3" s="2">
        <f>1.2*[1]!Table15[[#This Row],[Med]]</f>
        <v>10404</v>
      </c>
      <c r="I3" s="2" t="s">
        <v>12</v>
      </c>
      <c r="J3" s="2" t="s">
        <v>14</v>
      </c>
      <c r="K3" s="37" t="s">
        <v>54</v>
      </c>
      <c r="L3" s="2" t="s">
        <v>141</v>
      </c>
    </row>
    <row r="4" spans="1:13" ht="16" customHeight="1">
      <c r="A4" s="69" t="s">
        <v>61</v>
      </c>
      <c r="B4" s="70" t="s">
        <v>61</v>
      </c>
      <c r="C4" s="2" t="s">
        <v>87</v>
      </c>
      <c r="D4" s="2" t="s">
        <v>69</v>
      </c>
      <c r="E4" s="2" t="s">
        <v>125</v>
      </c>
      <c r="F4" s="36">
        <v>100000</v>
      </c>
      <c r="G4" s="36"/>
      <c r="H4" s="36"/>
      <c r="I4" s="2" t="s">
        <v>25</v>
      </c>
      <c r="K4" s="37" t="s">
        <v>88</v>
      </c>
      <c r="L4" s="2" t="s">
        <v>89</v>
      </c>
    </row>
    <row r="5" spans="1:13" ht="16" customHeight="1">
      <c r="A5" s="69" t="s">
        <v>61</v>
      </c>
      <c r="B5" s="70" t="s">
        <v>61</v>
      </c>
      <c r="C5" s="2" t="s">
        <v>102</v>
      </c>
      <c r="D5" s="2" t="s">
        <v>30</v>
      </c>
      <c r="E5" s="2" t="s">
        <v>103</v>
      </c>
      <c r="F5" s="3">
        <v>14</v>
      </c>
      <c r="G5" s="3"/>
      <c r="H5" s="3"/>
      <c r="I5" s="2" t="s">
        <v>25</v>
      </c>
      <c r="K5" s="2" t="s">
        <v>29</v>
      </c>
      <c r="L5" s="2" t="s">
        <v>104</v>
      </c>
    </row>
    <row r="6" spans="1:13" ht="16" customHeight="1">
      <c r="A6" s="69" t="s">
        <v>61</v>
      </c>
      <c r="B6" s="70" t="s">
        <v>61</v>
      </c>
      <c r="C6" s="2" t="s">
        <v>105</v>
      </c>
      <c r="D6" s="2" t="s">
        <v>107</v>
      </c>
      <c r="F6" s="3">
        <v>0.8</v>
      </c>
      <c r="G6" s="3"/>
      <c r="H6" s="3"/>
      <c r="I6" s="2" t="s">
        <v>25</v>
      </c>
      <c r="K6" s="2" t="s">
        <v>29</v>
      </c>
      <c r="L6" s="2" t="s">
        <v>108</v>
      </c>
    </row>
    <row r="7" spans="1:13" ht="16" customHeight="1">
      <c r="A7" s="69" t="s">
        <v>61</v>
      </c>
      <c r="B7" s="70" t="s">
        <v>61</v>
      </c>
      <c r="C7" s="2" t="s">
        <v>106</v>
      </c>
      <c r="D7" s="2" t="s">
        <v>107</v>
      </c>
      <c r="F7" s="3">
        <v>0.2</v>
      </c>
      <c r="G7" s="3"/>
      <c r="H7" s="3"/>
      <c r="I7" s="2" t="s">
        <v>25</v>
      </c>
      <c r="K7" s="40" t="s">
        <v>29</v>
      </c>
      <c r="L7" s="2" t="s">
        <v>108</v>
      </c>
    </row>
    <row r="8" spans="1:13" ht="16" customHeight="1">
      <c r="A8" s="69" t="s">
        <v>61</v>
      </c>
      <c r="B8" s="70" t="s">
        <v>61</v>
      </c>
      <c r="C8" s="2" t="s">
        <v>71</v>
      </c>
      <c r="D8" s="2" t="s">
        <v>27</v>
      </c>
      <c r="F8" s="3">
        <f>3001/18183</f>
        <v>0.16504427212231204</v>
      </c>
      <c r="G8" s="2">
        <v>3001</v>
      </c>
      <c r="H8" s="2">
        <f>18183-3001</f>
        <v>15182</v>
      </c>
      <c r="I8" s="2" t="s">
        <v>10</v>
      </c>
      <c r="K8" s="2" t="s">
        <v>29</v>
      </c>
      <c r="L8" s="2" t="s">
        <v>73</v>
      </c>
    </row>
    <row r="9" spans="1:13" ht="16" customHeight="1">
      <c r="A9" s="69" t="s">
        <v>61</v>
      </c>
      <c r="B9" s="70" t="s">
        <v>61</v>
      </c>
      <c r="C9" s="36" t="s">
        <v>117</v>
      </c>
      <c r="D9" s="2" t="s">
        <v>69</v>
      </c>
      <c r="E9" s="2" t="s">
        <v>75</v>
      </c>
      <c r="F9" s="3">
        <f>542*7.5</f>
        <v>4065</v>
      </c>
      <c r="G9" s="2">
        <f>5*542</f>
        <v>2710</v>
      </c>
      <c r="H9" s="2">
        <f>10*542</f>
        <v>5420</v>
      </c>
      <c r="I9" s="2" t="s">
        <v>18</v>
      </c>
      <c r="K9" s="40" t="s">
        <v>127</v>
      </c>
      <c r="L9" s="2" t="s">
        <v>459</v>
      </c>
    </row>
    <row r="10" spans="1:13" ht="16" customHeight="1">
      <c r="A10" s="69" t="s">
        <v>61</v>
      </c>
      <c r="B10" s="70" t="s">
        <v>61</v>
      </c>
      <c r="C10" s="36" t="s">
        <v>116</v>
      </c>
      <c r="D10" s="2" t="s">
        <v>69</v>
      </c>
      <c r="E10" s="2" t="s">
        <v>75</v>
      </c>
      <c r="F10" s="3">
        <f>542*7.5</f>
        <v>4065</v>
      </c>
      <c r="G10" s="2">
        <f>5*542</f>
        <v>2710</v>
      </c>
      <c r="H10" s="2">
        <f>10*542</f>
        <v>5420</v>
      </c>
      <c r="I10" s="2" t="s">
        <v>18</v>
      </c>
      <c r="K10" s="40" t="s">
        <v>127</v>
      </c>
      <c r="L10" s="2" t="s">
        <v>459</v>
      </c>
    </row>
    <row r="11" spans="1:13" ht="16" customHeight="1">
      <c r="A11" s="69" t="s">
        <v>61</v>
      </c>
      <c r="B11" s="70" t="s">
        <v>61</v>
      </c>
      <c r="C11" s="36" t="s">
        <v>115</v>
      </c>
      <c r="D11" s="2" t="s">
        <v>30</v>
      </c>
      <c r="F11" s="3">
        <v>1</v>
      </c>
      <c r="G11" s="2">
        <v>1</v>
      </c>
      <c r="H11" s="2">
        <v>2</v>
      </c>
      <c r="I11" s="2" t="s">
        <v>18</v>
      </c>
      <c r="K11" s="40" t="s">
        <v>144</v>
      </c>
      <c r="L11" s="2" t="s">
        <v>365</v>
      </c>
    </row>
    <row r="12" spans="1:13" ht="16" customHeight="1">
      <c r="A12" s="69" t="s">
        <v>61</v>
      </c>
      <c r="B12" s="70" t="s">
        <v>61</v>
      </c>
      <c r="C12" s="36" t="s">
        <v>119</v>
      </c>
      <c r="D12" s="2" t="s">
        <v>30</v>
      </c>
      <c r="F12" s="3">
        <v>73</v>
      </c>
      <c r="I12" s="2" t="s">
        <v>25</v>
      </c>
      <c r="K12" s="2" t="s">
        <v>144</v>
      </c>
    </row>
    <row r="13" spans="1:13" ht="16" customHeight="1">
      <c r="A13" s="69" t="s">
        <v>61</v>
      </c>
      <c r="B13" s="70" t="s">
        <v>61</v>
      </c>
      <c r="C13" s="36" t="s">
        <v>123</v>
      </c>
      <c r="D13" s="2" t="s">
        <v>122</v>
      </c>
      <c r="E13" s="2" t="s">
        <v>140</v>
      </c>
      <c r="F13" s="3">
        <v>1</v>
      </c>
      <c r="I13" s="2" t="s">
        <v>25</v>
      </c>
      <c r="K13" s="2" t="s">
        <v>144</v>
      </c>
    </row>
    <row r="14" spans="1:13" ht="16" customHeight="1">
      <c r="A14" s="69" t="s">
        <v>61</v>
      </c>
      <c r="B14" s="70" t="s">
        <v>61</v>
      </c>
      <c r="C14" s="36" t="s">
        <v>118</v>
      </c>
      <c r="D14" s="2" t="s">
        <v>30</v>
      </c>
      <c r="F14" s="3">
        <v>0</v>
      </c>
      <c r="I14" s="2" t="s">
        <v>25</v>
      </c>
      <c r="K14" s="2" t="s">
        <v>144</v>
      </c>
    </row>
    <row r="15" spans="1:13" ht="16" customHeight="1">
      <c r="A15" s="69" t="s">
        <v>61</v>
      </c>
      <c r="B15" s="70" t="s">
        <v>61</v>
      </c>
      <c r="C15" s="36" t="s">
        <v>120</v>
      </c>
      <c r="D15" s="2" t="s">
        <v>30</v>
      </c>
      <c r="F15" s="3">
        <v>0</v>
      </c>
      <c r="I15" s="2" t="s">
        <v>25</v>
      </c>
      <c r="K15" s="2" t="s">
        <v>144</v>
      </c>
    </row>
    <row r="16" spans="1:13" ht="16" customHeight="1">
      <c r="A16" s="69" t="s">
        <v>61</v>
      </c>
      <c r="B16" s="70" t="s">
        <v>61</v>
      </c>
      <c r="C16" s="36" t="s">
        <v>114</v>
      </c>
      <c r="D16" s="2" t="s">
        <v>74</v>
      </c>
      <c r="E16" s="2" t="s">
        <v>103</v>
      </c>
      <c r="F16" s="3">
        <v>19</v>
      </c>
      <c r="G16" s="3">
        <f>ROUND(0.8*[1]!Table15[[#This Row],[Med]],0)</f>
        <v>15</v>
      </c>
      <c r="H16" s="2">
        <f>ROUND(1.2*[1]!Table15[[#This Row],[Med]],0)</f>
        <v>23</v>
      </c>
      <c r="I16" s="36" t="s">
        <v>18</v>
      </c>
      <c r="K16" s="2" t="s">
        <v>460</v>
      </c>
    </row>
    <row r="17" spans="1:11" ht="16" customHeight="1">
      <c r="A17" s="69" t="s">
        <v>61</v>
      </c>
      <c r="B17" s="70" t="s">
        <v>61</v>
      </c>
      <c r="C17" s="36" t="s">
        <v>113</v>
      </c>
      <c r="D17" s="2" t="s">
        <v>74</v>
      </c>
      <c r="E17" s="2" t="s">
        <v>103</v>
      </c>
      <c r="F17" s="3">
        <v>28</v>
      </c>
      <c r="G17" s="2">
        <f>ROUND(0.8*[1]!Table15[[#This Row],[Med]],0)</f>
        <v>22</v>
      </c>
      <c r="H17" s="2">
        <f>ROUND(1.2*[1]!Table15[[#This Row],[Med]],0)</f>
        <v>34</v>
      </c>
      <c r="I17" s="36" t="s">
        <v>18</v>
      </c>
      <c r="K17" s="2" t="s">
        <v>460</v>
      </c>
    </row>
    <row r="18" spans="1:11" ht="16" customHeight="1">
      <c r="A18" s="36"/>
      <c r="B18" s="36"/>
      <c r="F18" s="3"/>
      <c r="G18" s="3"/>
      <c r="H18" s="3"/>
    </row>
  </sheetData>
  <hyperlinks>
    <hyperlink ref="K3" r:id="rId1" xr:uid="{96CDFCE1-DD4B-D14B-AFA0-FAFED7A68EEA}"/>
    <hyperlink ref="K4" r:id="rId2" xr:uid="{87175F63-33DB-634C-9032-F1D331FD6753}"/>
    <hyperlink ref="K9" r:id="rId3" xr:uid="{720FA2C4-04A4-7E45-9D79-CF0452AB8EAF}"/>
    <hyperlink ref="K10" r:id="rId4" xr:uid="{3E02C913-1BD3-EA44-A685-CAA289F4931D}"/>
    <hyperlink ref="K7" r:id="rId5" xr:uid="{306E8019-D0D1-F74F-A535-ADA87CF1E835}"/>
  </hyperlinks>
  <pageMargins left="0.7" right="0.7" top="0.75" bottom="0.75" header="0.3" footer="0.3"/>
  <pageSetup paperSize="9" orientation="portrait" horizontalDpi="0" verticalDpi="0"/>
  <legacy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3BF3-BF12-5642-BD61-D7397AA0DD5F}">
  <dimension ref="A1:M30"/>
  <sheetViews>
    <sheetView workbookViewId="0">
      <selection activeCell="G32" sqref="G32"/>
    </sheetView>
  </sheetViews>
  <sheetFormatPr baseColWidth="10" defaultRowHeight="16"/>
  <cols>
    <col min="3" max="3" width="22.6640625" customWidth="1"/>
  </cols>
  <sheetData>
    <row r="1" spans="1:7">
      <c r="A1" s="1" t="s">
        <v>134</v>
      </c>
    </row>
    <row r="2" spans="1:7" s="16" customFormat="1">
      <c r="B2" s="16" t="s">
        <v>128</v>
      </c>
      <c r="D2" s="16" t="s">
        <v>132</v>
      </c>
      <c r="G2" s="16" t="s">
        <v>133</v>
      </c>
    </row>
    <row r="3" spans="1:7">
      <c r="A3" t="s">
        <v>129</v>
      </c>
      <c r="B3">
        <v>826</v>
      </c>
      <c r="D3">
        <f>B4/(B3+B4)</f>
        <v>0.53699551569506732</v>
      </c>
      <c r="G3">
        <f>B4/(B3+B4+B5)+(B5/(B3+B4+B5)*(B4/(B3+B4+B5)))</f>
        <v>0.44868349448328954</v>
      </c>
    </row>
    <row r="4" spans="1:7">
      <c r="A4" t="s">
        <v>130</v>
      </c>
      <c r="B4">
        <v>958</v>
      </c>
    </row>
    <row r="5" spans="1:7">
      <c r="A5" t="s">
        <v>131</v>
      </c>
      <c r="B5">
        <v>1217</v>
      </c>
    </row>
    <row r="6" spans="1:7">
      <c r="A6" s="1" t="s">
        <v>135</v>
      </c>
      <c r="B6" s="17">
        <f>SUM(B3:B5)</f>
        <v>3001</v>
      </c>
      <c r="D6">
        <f>B6*D3</f>
        <v>1611.5235426008969</v>
      </c>
      <c r="G6">
        <f>B6*G3</f>
        <v>1346.4991669443518</v>
      </c>
    </row>
    <row r="8" spans="1:7" s="16" customFormat="1">
      <c r="B8" s="16" t="s">
        <v>136</v>
      </c>
      <c r="D8" s="16" t="s">
        <v>132</v>
      </c>
      <c r="G8" s="16" t="s">
        <v>133</v>
      </c>
    </row>
    <row r="9" spans="1:7">
      <c r="A9" t="s">
        <v>129</v>
      </c>
      <c r="B9">
        <v>276</v>
      </c>
      <c r="D9">
        <f>B10/(B9+B10)</f>
        <v>0.6912751677852349</v>
      </c>
      <c r="G9">
        <f>B10/(B9+B10+B11)+(B11/(B9+B10+B11)*(B10/(B9+B10+B11)))</f>
        <v>0.54449458050378252</v>
      </c>
    </row>
    <row r="10" spans="1:7">
      <c r="A10" t="s">
        <v>130</v>
      </c>
      <c r="B10">
        <v>618</v>
      </c>
    </row>
    <row r="11" spans="1:7">
      <c r="A11" t="s">
        <v>131</v>
      </c>
      <c r="B11">
        <v>764</v>
      </c>
    </row>
    <row r="12" spans="1:7">
      <c r="A12" s="1" t="s">
        <v>135</v>
      </c>
      <c r="B12" s="1">
        <f>SUM(B9:B11)</f>
        <v>1658</v>
      </c>
      <c r="D12">
        <f>B12*D9</f>
        <v>1146.1342281879195</v>
      </c>
      <c r="G12">
        <f>B12*G9</f>
        <v>902.77201447527148</v>
      </c>
    </row>
    <row r="14" spans="1:7" s="16" customFormat="1">
      <c r="B14" s="16" t="s">
        <v>137</v>
      </c>
      <c r="D14" s="16" t="s">
        <v>132</v>
      </c>
      <c r="G14" s="16" t="s">
        <v>133</v>
      </c>
    </row>
    <row r="15" spans="1:7">
      <c r="A15" t="s">
        <v>129</v>
      </c>
      <c r="B15">
        <v>550</v>
      </c>
      <c r="D15">
        <f>B16/(B15+B16)</f>
        <v>0.38202247191011235</v>
      </c>
      <c r="G15">
        <f>B16/(B15+B16+B17)+(B17/(B15+B16+B17)*(B16/(B15+B16+B17)))</f>
        <v>0.33855811191645385</v>
      </c>
    </row>
    <row r="16" spans="1:7">
      <c r="A16" t="s">
        <v>130</v>
      </c>
      <c r="B16">
        <v>340</v>
      </c>
    </row>
    <row r="17" spans="1:13">
      <c r="A17" t="s">
        <v>131</v>
      </c>
      <c r="B17">
        <v>453</v>
      </c>
    </row>
    <row r="18" spans="1:13">
      <c r="A18" s="1" t="s">
        <v>135</v>
      </c>
      <c r="B18" s="1">
        <f>SUM(B15:B17)</f>
        <v>1343</v>
      </c>
      <c r="D18">
        <f>B18*D15</f>
        <v>513.05617977528084</v>
      </c>
      <c r="G18">
        <f>B18*G15</f>
        <v>454.68354430379753</v>
      </c>
    </row>
    <row r="20" spans="1:13" s="16" customFormat="1">
      <c r="B20" s="16" t="s">
        <v>131</v>
      </c>
      <c r="D20" s="16" t="s">
        <v>132</v>
      </c>
      <c r="G20" s="16" t="s">
        <v>133</v>
      </c>
    </row>
    <row r="21" spans="1:13">
      <c r="A21" t="s">
        <v>129</v>
      </c>
      <c r="B21">
        <v>8199</v>
      </c>
      <c r="D21">
        <f>B22/(B21+B22)</f>
        <v>0.38648608201137385</v>
      </c>
      <c r="G21">
        <f>B22/(B21+B22+B23)+(B23/(B21+B22+B23)*(B22/(B21+B22+B23)))</f>
        <v>0.34279770613682065</v>
      </c>
    </row>
    <row r="22" spans="1:13">
      <c r="A22" t="s">
        <v>130</v>
      </c>
      <c r="B22">
        <v>5165</v>
      </c>
    </row>
    <row r="23" spans="1:13">
      <c r="A23" t="s">
        <v>131</v>
      </c>
      <c r="B23">
        <v>6769</v>
      </c>
    </row>
    <row r="24" spans="1:13">
      <c r="A24" s="1" t="s">
        <v>135</v>
      </c>
      <c r="B24" s="1">
        <f>SUM(B21:B23)</f>
        <v>20133</v>
      </c>
      <c r="D24">
        <f>B24*D21</f>
        <v>7781.1242891349902</v>
      </c>
      <c r="G24">
        <f>B24*G21</f>
        <v>6901.5462176526098</v>
      </c>
    </row>
    <row r="27" spans="1:13">
      <c r="A27" s="2"/>
      <c r="B27" s="2"/>
      <c r="C27" s="4"/>
      <c r="D27" s="2"/>
      <c r="E27" s="2"/>
      <c r="F27" s="4"/>
      <c r="G27" s="4"/>
      <c r="H27" s="4"/>
      <c r="I27" s="2"/>
      <c r="J27" s="2"/>
      <c r="K27" s="2"/>
      <c r="L27" s="13"/>
      <c r="M27" s="2"/>
    </row>
    <row r="28" spans="1:13">
      <c r="A28" s="2"/>
      <c r="B28" s="2"/>
      <c r="C28" s="4"/>
      <c r="D28" s="2"/>
      <c r="E28" s="2"/>
      <c r="F28" s="4"/>
      <c r="G28" s="4"/>
      <c r="H28" s="4"/>
      <c r="I28" s="2"/>
      <c r="J28" s="2"/>
      <c r="K28" s="2"/>
      <c r="L28" s="13"/>
      <c r="M28" s="2"/>
    </row>
    <row r="29" spans="1:13">
      <c r="A29" s="2"/>
      <c r="B29" s="2"/>
      <c r="C29" s="4"/>
      <c r="D29" s="2"/>
      <c r="E29" s="2"/>
      <c r="F29" s="6"/>
      <c r="G29" s="4"/>
      <c r="H29" s="4"/>
      <c r="I29" s="2"/>
      <c r="J29" s="2"/>
      <c r="K29" s="2"/>
      <c r="L29" s="13"/>
      <c r="M29" s="2"/>
    </row>
    <row r="30" spans="1:13">
      <c r="A30" s="2"/>
      <c r="B30" s="2"/>
      <c r="C30" s="4"/>
      <c r="D30" s="2"/>
      <c r="E30" s="2"/>
      <c r="F30" s="6"/>
      <c r="G30" s="4"/>
      <c r="H30" s="4"/>
      <c r="I30" s="2"/>
      <c r="J30" s="2"/>
      <c r="K30" s="2"/>
      <c r="L30" s="13"/>
      <c r="M3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3633-E4C0-BF4E-84DA-7C29DF1C35C9}">
  <dimension ref="A1:A2"/>
  <sheetViews>
    <sheetView workbookViewId="0">
      <selection activeCell="A2" sqref="A2"/>
    </sheetView>
  </sheetViews>
  <sheetFormatPr baseColWidth="10" defaultRowHeight="16"/>
  <sheetData>
    <row r="1" spans="1:1">
      <c r="A1" t="s">
        <v>65</v>
      </c>
    </row>
    <row r="2" spans="1:1">
      <c r="A2" s="7" t="s">
        <v>66</v>
      </c>
    </row>
  </sheetData>
  <hyperlinks>
    <hyperlink ref="A2" r:id="rId1" display="https://www.usinflationcalculator.com/" xr:uid="{DD7FF678-F073-6240-955E-FF3DA00E5F6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9BF-F800-AC4B-9F56-EE2EE7C15FB3}">
  <dimension ref="A1:M48"/>
  <sheetViews>
    <sheetView tabSelected="1" zoomScale="87" workbookViewId="0">
      <selection activeCell="N41" sqref="N35:N41"/>
    </sheetView>
  </sheetViews>
  <sheetFormatPr baseColWidth="10" defaultRowHeight="16"/>
  <cols>
    <col min="3" max="3" width="19.5" customWidth="1"/>
    <col min="5" max="5" width="18.5" customWidth="1"/>
    <col min="7" max="7" width="15.83203125" customWidth="1"/>
    <col min="11" max="11" width="19.5" style="20" customWidth="1"/>
    <col min="12" max="12" width="21.33203125" style="20" customWidth="1"/>
  </cols>
  <sheetData>
    <row r="1" spans="1:13">
      <c r="A1" t="s">
        <v>145</v>
      </c>
      <c r="B1" t="s">
        <v>146</v>
      </c>
      <c r="C1" t="s">
        <v>147</v>
      </c>
      <c r="D1" t="s">
        <v>148</v>
      </c>
      <c r="E1" t="s">
        <v>152</v>
      </c>
      <c r="F1" t="s">
        <v>189</v>
      </c>
      <c r="G1" t="s">
        <v>154</v>
      </c>
      <c r="M1" t="s">
        <v>191</v>
      </c>
    </row>
    <row r="2" spans="1:13">
      <c r="A2" t="s">
        <v>149</v>
      </c>
      <c r="B2" s="18" t="s">
        <v>162</v>
      </c>
      <c r="C2" t="s">
        <v>151</v>
      </c>
      <c r="D2" s="7" t="s">
        <v>158</v>
      </c>
      <c r="E2" t="s">
        <v>157</v>
      </c>
      <c r="F2" t="s">
        <v>190</v>
      </c>
      <c r="G2" s="29" t="s">
        <v>159</v>
      </c>
    </row>
    <row r="3" spans="1:13">
      <c r="A3" s="27" t="s">
        <v>149</v>
      </c>
      <c r="B3" s="28" t="s">
        <v>208</v>
      </c>
      <c r="C3" s="27" t="s">
        <v>151</v>
      </c>
      <c r="D3" s="27" t="s">
        <v>206</v>
      </c>
      <c r="E3" s="27" t="s">
        <v>202</v>
      </c>
      <c r="F3" t="s">
        <v>196</v>
      </c>
      <c r="G3" s="29" t="s">
        <v>209</v>
      </c>
    </row>
    <row r="4" spans="1:13">
      <c r="A4" t="s">
        <v>149</v>
      </c>
      <c r="B4" s="18" t="s">
        <v>160</v>
      </c>
      <c r="C4" t="s">
        <v>151</v>
      </c>
      <c r="D4" s="7" t="s">
        <v>150</v>
      </c>
      <c r="E4" t="s">
        <v>153</v>
      </c>
      <c r="F4" t="s">
        <v>190</v>
      </c>
      <c r="G4" s="29" t="s">
        <v>338</v>
      </c>
    </row>
    <row r="5" spans="1:13">
      <c r="A5" t="s">
        <v>149</v>
      </c>
      <c r="B5" s="18" t="s">
        <v>163</v>
      </c>
      <c r="C5" t="s">
        <v>151</v>
      </c>
      <c r="D5" s="7" t="s">
        <v>164</v>
      </c>
      <c r="E5" t="s">
        <v>165</v>
      </c>
      <c r="F5" t="s">
        <v>190</v>
      </c>
      <c r="G5" s="29" t="s">
        <v>159</v>
      </c>
    </row>
    <row r="6" spans="1:13">
      <c r="A6" t="s">
        <v>149</v>
      </c>
      <c r="B6" s="18" t="s">
        <v>178</v>
      </c>
      <c r="C6" t="s">
        <v>179</v>
      </c>
      <c r="D6" t="s">
        <v>180</v>
      </c>
      <c r="E6" t="s">
        <v>157</v>
      </c>
      <c r="F6" t="s">
        <v>190</v>
      </c>
      <c r="G6" s="29" t="s">
        <v>181</v>
      </c>
    </row>
    <row r="7" spans="1:13">
      <c r="A7" t="s">
        <v>149</v>
      </c>
      <c r="B7" s="18" t="s">
        <v>171</v>
      </c>
      <c r="C7" t="s">
        <v>151</v>
      </c>
      <c r="D7" t="s">
        <v>172</v>
      </c>
      <c r="E7" t="s">
        <v>173</v>
      </c>
      <c r="F7" t="s">
        <v>190</v>
      </c>
      <c r="G7" s="29" t="s">
        <v>159</v>
      </c>
    </row>
    <row r="8" spans="1:13">
      <c r="A8" s="27" t="s">
        <v>149</v>
      </c>
      <c r="B8" s="28" t="s">
        <v>192</v>
      </c>
      <c r="C8" s="27" t="s">
        <v>151</v>
      </c>
      <c r="D8" s="27" t="s">
        <v>193</v>
      </c>
      <c r="E8" s="27" t="s">
        <v>194</v>
      </c>
      <c r="F8" t="s">
        <v>196</v>
      </c>
      <c r="G8" s="29" t="s">
        <v>195</v>
      </c>
    </row>
    <row r="9" spans="1:13">
      <c r="A9" t="s">
        <v>149</v>
      </c>
      <c r="B9" s="18" t="s">
        <v>174</v>
      </c>
      <c r="C9" t="s">
        <v>175</v>
      </c>
      <c r="D9" t="s">
        <v>176</v>
      </c>
      <c r="E9" t="s">
        <v>153</v>
      </c>
      <c r="F9" t="s">
        <v>190</v>
      </c>
      <c r="G9" s="29" t="s">
        <v>177</v>
      </c>
    </row>
    <row r="10" spans="1:13">
      <c r="A10" t="s">
        <v>149</v>
      </c>
      <c r="B10" s="18" t="s">
        <v>167</v>
      </c>
      <c r="C10" t="s">
        <v>166</v>
      </c>
      <c r="D10" s="7" t="s">
        <v>168</v>
      </c>
      <c r="E10" t="s">
        <v>169</v>
      </c>
      <c r="F10" t="s">
        <v>339</v>
      </c>
      <c r="G10" s="29" t="s">
        <v>170</v>
      </c>
    </row>
    <row r="11" spans="1:13">
      <c r="A11" t="s">
        <v>149</v>
      </c>
      <c r="B11" s="18" t="s">
        <v>161</v>
      </c>
      <c r="C11" t="s">
        <v>151</v>
      </c>
      <c r="D11" s="7" t="s">
        <v>156</v>
      </c>
      <c r="E11" t="s">
        <v>155</v>
      </c>
      <c r="F11" t="s">
        <v>190</v>
      </c>
      <c r="G11" s="29" t="s">
        <v>159</v>
      </c>
    </row>
    <row r="12" spans="1:13">
      <c r="A12" t="s">
        <v>149</v>
      </c>
      <c r="B12" s="18" t="s">
        <v>187</v>
      </c>
      <c r="C12" t="s">
        <v>184</v>
      </c>
      <c r="D12" t="s">
        <v>182</v>
      </c>
      <c r="E12" t="s">
        <v>173</v>
      </c>
      <c r="F12" t="s">
        <v>190</v>
      </c>
      <c r="G12" s="29" t="s">
        <v>185</v>
      </c>
    </row>
    <row r="13" spans="1:13">
      <c r="A13" t="s">
        <v>149</v>
      </c>
      <c r="B13" s="18" t="s">
        <v>186</v>
      </c>
      <c r="C13" t="s">
        <v>184</v>
      </c>
      <c r="D13" t="s">
        <v>182</v>
      </c>
      <c r="E13" t="s">
        <v>173</v>
      </c>
      <c r="F13" t="s">
        <v>190</v>
      </c>
      <c r="G13" s="29" t="s">
        <v>185</v>
      </c>
    </row>
    <row r="14" spans="1:13">
      <c r="A14" t="s">
        <v>149</v>
      </c>
      <c r="B14" s="18" t="s">
        <v>183</v>
      </c>
      <c r="C14" t="s">
        <v>179</v>
      </c>
      <c r="D14" t="s">
        <v>182</v>
      </c>
      <c r="E14" t="s">
        <v>173</v>
      </c>
      <c r="F14" t="s">
        <v>190</v>
      </c>
      <c r="G14" s="29" t="s">
        <v>188</v>
      </c>
    </row>
    <row r="15" spans="1:13">
      <c r="A15" s="27" t="s">
        <v>149</v>
      </c>
      <c r="B15" s="28" t="s">
        <v>200</v>
      </c>
      <c r="C15" s="27" t="s">
        <v>198</v>
      </c>
      <c r="D15" s="27" t="s">
        <v>201</v>
      </c>
      <c r="E15" s="27" t="s">
        <v>202</v>
      </c>
      <c r="F15" t="s">
        <v>196</v>
      </c>
      <c r="G15" s="29" t="s">
        <v>203</v>
      </c>
    </row>
    <row r="16" spans="1:13">
      <c r="A16" s="27" t="s">
        <v>149</v>
      </c>
      <c r="B16" s="28" t="s">
        <v>204</v>
      </c>
      <c r="C16" s="27" t="s">
        <v>205</v>
      </c>
      <c r="D16" s="27" t="s">
        <v>206</v>
      </c>
      <c r="E16" s="27" t="s">
        <v>202</v>
      </c>
      <c r="F16" t="s">
        <v>196</v>
      </c>
      <c r="G16" s="29" t="s">
        <v>207</v>
      </c>
    </row>
    <row r="17" spans="1:10">
      <c r="A17" s="27" t="s">
        <v>149</v>
      </c>
      <c r="B17" s="28" t="s">
        <v>326</v>
      </c>
      <c r="C17" s="27" t="s">
        <v>327</v>
      </c>
      <c r="D17" s="30" t="s">
        <v>328</v>
      </c>
      <c r="E17" s="27" t="s">
        <v>329</v>
      </c>
      <c r="F17" t="s">
        <v>196</v>
      </c>
      <c r="G17" s="29"/>
    </row>
    <row r="18" spans="1:10">
      <c r="A18" t="s">
        <v>149</v>
      </c>
      <c r="B18" s="18" t="s">
        <v>331</v>
      </c>
      <c r="C18" t="s">
        <v>332</v>
      </c>
      <c r="D18" t="s">
        <v>333</v>
      </c>
      <c r="E18" t="s">
        <v>155</v>
      </c>
      <c r="F18" t="s">
        <v>190</v>
      </c>
      <c r="G18" s="29" t="s">
        <v>159</v>
      </c>
    </row>
    <row r="19" spans="1:10">
      <c r="A19" s="27" t="s">
        <v>149</v>
      </c>
      <c r="B19" s="28" t="s">
        <v>197</v>
      </c>
      <c r="C19" s="27" t="s">
        <v>198</v>
      </c>
      <c r="D19" s="27" t="s">
        <v>199</v>
      </c>
      <c r="E19" s="27" t="s">
        <v>194</v>
      </c>
      <c r="F19" t="s">
        <v>196</v>
      </c>
      <c r="G19" s="29"/>
    </row>
    <row r="20" spans="1:10">
      <c r="A20" t="s">
        <v>149</v>
      </c>
      <c r="B20" s="18" t="s">
        <v>335</v>
      </c>
      <c r="C20" t="s">
        <v>151</v>
      </c>
      <c r="D20" t="s">
        <v>336</v>
      </c>
      <c r="E20" t="s">
        <v>334</v>
      </c>
      <c r="F20" t="s">
        <v>190</v>
      </c>
      <c r="G20" s="29" t="s">
        <v>337</v>
      </c>
    </row>
    <row r="21" spans="1:10">
      <c r="A21" s="27" t="s">
        <v>374</v>
      </c>
      <c r="C21" s="27" t="s">
        <v>350</v>
      </c>
      <c r="D21" t="s">
        <v>373</v>
      </c>
    </row>
    <row r="22" spans="1:10">
      <c r="A22" t="s">
        <v>149</v>
      </c>
      <c r="B22" s="18" t="s">
        <v>375</v>
      </c>
      <c r="C22" t="s">
        <v>179</v>
      </c>
      <c r="D22" t="s">
        <v>376</v>
      </c>
      <c r="E22" t="s">
        <v>155</v>
      </c>
    </row>
    <row r="25" spans="1:10" ht="17" thickBot="1">
      <c r="A25" s="49"/>
      <c r="B25" s="49" t="s">
        <v>378</v>
      </c>
      <c r="C25" s="49" t="s">
        <v>151</v>
      </c>
      <c r="D25" s="49" t="s">
        <v>198</v>
      </c>
    </row>
    <row r="26" spans="1:10" ht="17" thickBot="1">
      <c r="A26" t="s">
        <v>329</v>
      </c>
      <c r="B26" t="s">
        <v>377</v>
      </c>
      <c r="I26" s="23" t="s">
        <v>210</v>
      </c>
      <c r="J26" s="24" t="s">
        <v>330</v>
      </c>
    </row>
    <row r="27" spans="1:10" ht="154" thickBot="1">
      <c r="A27" t="s">
        <v>366</v>
      </c>
      <c r="C27" s="28">
        <v>44371</v>
      </c>
      <c r="D27" s="28" t="s">
        <v>197</v>
      </c>
      <c r="E27" s="81" t="s">
        <v>473</v>
      </c>
      <c r="I27" s="25" t="s">
        <v>226</v>
      </c>
      <c r="J27" s="26" t="s">
        <v>231</v>
      </c>
    </row>
    <row r="28" spans="1:10" ht="17" thickBot="1">
      <c r="A28" t="s">
        <v>264</v>
      </c>
      <c r="B28" t="s">
        <v>377</v>
      </c>
      <c r="I28" s="25" t="s">
        <v>232</v>
      </c>
      <c r="J28" s="26" t="s">
        <v>237</v>
      </c>
    </row>
    <row r="29" spans="1:10" ht="25" thickBot="1">
      <c r="A29" t="s">
        <v>367</v>
      </c>
      <c r="B29" t="s">
        <v>377</v>
      </c>
      <c r="I29" s="25" t="s">
        <v>238</v>
      </c>
      <c r="J29" s="26" t="s">
        <v>243</v>
      </c>
    </row>
    <row r="30" spans="1:10" ht="17" thickBot="1">
      <c r="A30" t="s">
        <v>289</v>
      </c>
      <c r="B30" t="s">
        <v>377</v>
      </c>
      <c r="I30" s="25" t="s">
        <v>244</v>
      </c>
      <c r="J30" s="26" t="s">
        <v>237</v>
      </c>
    </row>
    <row r="31" spans="1:10" ht="17" thickBot="1">
      <c r="A31" t="s">
        <v>368</v>
      </c>
      <c r="B31" t="s">
        <v>377</v>
      </c>
      <c r="D31" s="15"/>
      <c r="I31" s="25" t="s">
        <v>249</v>
      </c>
      <c r="J31" s="26" t="s">
        <v>237</v>
      </c>
    </row>
    <row r="32" spans="1:10" ht="17" thickBot="1">
      <c r="A32" t="s">
        <v>369</v>
      </c>
      <c r="B32" t="s">
        <v>377</v>
      </c>
      <c r="I32" s="25" t="s">
        <v>253</v>
      </c>
      <c r="J32" s="26" t="s">
        <v>237</v>
      </c>
    </row>
    <row r="33" spans="1:10" ht="37" thickBot="1">
      <c r="A33" t="s">
        <v>370</v>
      </c>
      <c r="B33" t="s">
        <v>377</v>
      </c>
      <c r="I33" s="25" t="s">
        <v>258</v>
      </c>
      <c r="J33" s="26" t="s">
        <v>243</v>
      </c>
    </row>
    <row r="34" spans="1:10" ht="37" thickBot="1">
      <c r="A34" t="s">
        <v>371</v>
      </c>
      <c r="B34" t="s">
        <v>377</v>
      </c>
      <c r="I34" s="25" t="s">
        <v>263</v>
      </c>
      <c r="J34" s="26" t="s">
        <v>264</v>
      </c>
    </row>
    <row r="35" spans="1:10" ht="17" thickBot="1">
      <c r="I35" s="25" t="s">
        <v>265</v>
      </c>
      <c r="J35" s="26" t="s">
        <v>237</v>
      </c>
    </row>
    <row r="36" spans="1:10" ht="25" thickBot="1">
      <c r="I36" s="25" t="s">
        <v>270</v>
      </c>
      <c r="J36" s="26" t="s">
        <v>275</v>
      </c>
    </row>
    <row r="37" spans="1:10" ht="25" thickBot="1">
      <c r="I37" s="25" t="s">
        <v>277</v>
      </c>
      <c r="J37" s="26" t="s">
        <v>278</v>
      </c>
    </row>
    <row r="38" spans="1:10" ht="25" thickBot="1">
      <c r="I38" s="25" t="s">
        <v>279</v>
      </c>
      <c r="J38" s="26" t="s">
        <v>283</v>
      </c>
    </row>
    <row r="39" spans="1:10">
      <c r="I39" s="78" t="s">
        <v>284</v>
      </c>
      <c r="J39" s="78" t="s">
        <v>289</v>
      </c>
    </row>
    <row r="40" spans="1:10">
      <c r="I40" s="79"/>
      <c r="J40" s="79"/>
    </row>
    <row r="41" spans="1:10" ht="17" thickBot="1">
      <c r="I41" s="80"/>
      <c r="J41" s="80"/>
    </row>
    <row r="42" spans="1:10" ht="25" thickBot="1">
      <c r="I42" s="25" t="s">
        <v>290</v>
      </c>
      <c r="J42" s="26" t="s">
        <v>294</v>
      </c>
    </row>
    <row r="43" spans="1:10" ht="25" thickBot="1">
      <c r="I43" s="25" t="s">
        <v>303</v>
      </c>
      <c r="J43" s="26" t="s">
        <v>275</v>
      </c>
    </row>
    <row r="44" spans="1:10" ht="25" thickBot="1">
      <c r="I44" s="25" t="s">
        <v>306</v>
      </c>
      <c r="J44" s="26" t="s">
        <v>278</v>
      </c>
    </row>
    <row r="45" spans="1:10" ht="25" thickBot="1">
      <c r="I45" s="25" t="s">
        <v>307</v>
      </c>
      <c r="J45" s="26" t="s">
        <v>372</v>
      </c>
    </row>
    <row r="46" spans="1:10" ht="37" thickBot="1">
      <c r="I46" s="25" t="s">
        <v>313</v>
      </c>
      <c r="J46" s="26" t="s">
        <v>318</v>
      </c>
    </row>
    <row r="47" spans="1:10" ht="37" thickBot="1">
      <c r="I47" s="25" t="s">
        <v>313</v>
      </c>
      <c r="J47" s="26" t="s">
        <v>320</v>
      </c>
    </row>
    <row r="48" spans="1:10" ht="25" thickBot="1">
      <c r="I48" s="25" t="s">
        <v>321</v>
      </c>
      <c r="J48" s="26" t="s">
        <v>325</v>
      </c>
    </row>
  </sheetData>
  <sortState xmlns:xlrd2="http://schemas.microsoft.com/office/spreadsheetml/2017/richdata2" ref="A2:G48">
    <sortCondition ref="B1:B48"/>
  </sortState>
  <mergeCells count="2">
    <mergeCell ref="I39:I41"/>
    <mergeCell ref="J39:J41"/>
  </mergeCells>
  <conditionalFormatting sqref="F1:F1048576">
    <cfRule type="cellIs" dxfId="2" priority="1" operator="equal">
      <formula>"unclear"</formula>
    </cfRule>
    <cfRule type="cellIs" dxfId="1" priority="2" operator="equal">
      <formula>"hospitalized"</formula>
    </cfRule>
    <cfRule type="cellIs" dxfId="0" priority="3" operator="equal">
      <formula>"outpatient"</formula>
    </cfRule>
  </conditionalFormatting>
  <hyperlinks>
    <hyperlink ref="D4" r:id="rId1" xr:uid="{D07D9321-9BE7-1045-A515-72D666838730}"/>
    <hyperlink ref="D11" r:id="rId2" xr:uid="{71AAB04E-9D92-0A49-89A5-DC8B5AF2A6D4}"/>
    <hyperlink ref="D2" r:id="rId3" xr:uid="{5A334EE2-FC53-9843-AD99-F84FB61BF540}"/>
    <hyperlink ref="D5" r:id="rId4" xr:uid="{1695BB36-3BB0-264F-9120-6E5E41A3BE85}"/>
    <hyperlink ref="D17" r:id="rId5" xr:uid="{53E85165-86F4-934E-AFCE-6ADFE7E62172}"/>
    <hyperlink ref="D10" r:id="rId6" xr:uid="{7B5CBC8E-562A-D540-9A75-F9394F91D96F}"/>
    <hyperlink ref="E27" r:id="rId7" display="https://www.hcplive.com/view/fda-approves-tocilizumab-covid-19-hospitalized-adults" xr:uid="{A60DA2B6-9CDA-5949-BF32-217DB2D1EC6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611A-780D-704F-9AB5-22708462715B}">
  <dimension ref="A1:I28"/>
  <sheetViews>
    <sheetView zoomScale="125" workbookViewId="0">
      <selection activeCell="F24" sqref="F24"/>
    </sheetView>
  </sheetViews>
  <sheetFormatPr baseColWidth="10" defaultRowHeight="19" customHeight="1"/>
  <cols>
    <col min="1" max="1" width="26.1640625" customWidth="1"/>
    <col min="2" max="2" width="17.83203125" customWidth="1"/>
    <col min="3" max="3" width="14.5" customWidth="1"/>
    <col min="4" max="4" width="12" bestFit="1" customWidth="1"/>
    <col min="5" max="5" width="28.6640625" customWidth="1"/>
  </cols>
  <sheetData>
    <row r="1" spans="1:9" ht="19" customHeight="1" thickBot="1">
      <c r="A1" s="34" t="s">
        <v>210</v>
      </c>
      <c r="B1" s="34" t="s">
        <v>80</v>
      </c>
      <c r="C1" s="34" t="s">
        <v>346</v>
      </c>
      <c r="D1" s="34" t="s">
        <v>347</v>
      </c>
      <c r="E1" s="34" t="s">
        <v>379</v>
      </c>
      <c r="F1" s="19"/>
      <c r="G1" s="32"/>
      <c r="H1" s="32"/>
      <c r="I1" s="32"/>
    </row>
    <row r="2" spans="1:9" ht="19" customHeight="1" thickBot="1">
      <c r="A2" s="42" t="s">
        <v>226</v>
      </c>
      <c r="B2" s="41">
        <v>0.5</v>
      </c>
      <c r="C2" s="41">
        <v>0.38</v>
      </c>
      <c r="D2" s="41" t="s">
        <v>348</v>
      </c>
      <c r="E2" s="50" t="s">
        <v>231</v>
      </c>
    </row>
    <row r="3" spans="1:9" ht="19" customHeight="1" thickBot="1">
      <c r="A3" s="42" t="s">
        <v>232</v>
      </c>
      <c r="B3" s="41">
        <v>0.78</v>
      </c>
      <c r="C3" s="41">
        <v>0.54</v>
      </c>
      <c r="D3" s="41" t="s">
        <v>348</v>
      </c>
      <c r="E3" s="50" t="s">
        <v>380</v>
      </c>
    </row>
    <row r="4" spans="1:9" ht="19" customHeight="1" thickBot="1">
      <c r="A4" s="42" t="s">
        <v>238</v>
      </c>
      <c r="B4" s="41">
        <v>0.87</v>
      </c>
      <c r="C4" s="41">
        <v>0.68</v>
      </c>
      <c r="D4" s="41" t="s">
        <v>348</v>
      </c>
      <c r="E4" s="50" t="s">
        <v>366</v>
      </c>
    </row>
    <row r="5" spans="1:9" ht="19" customHeight="1" thickBot="1">
      <c r="A5" s="42" t="s">
        <v>244</v>
      </c>
      <c r="B5" s="41">
        <v>1.01</v>
      </c>
      <c r="C5" s="41">
        <v>0.97</v>
      </c>
      <c r="D5" s="41" t="s">
        <v>350</v>
      </c>
      <c r="E5" s="50" t="s">
        <v>380</v>
      </c>
    </row>
    <row r="6" spans="1:9" ht="19" customHeight="1" thickBot="1">
      <c r="A6" s="42" t="s">
        <v>249</v>
      </c>
      <c r="B6" s="41">
        <v>1.1000000000000001</v>
      </c>
      <c r="C6" s="41">
        <v>0.56999999999999995</v>
      </c>
      <c r="D6" s="41" t="s">
        <v>350</v>
      </c>
      <c r="E6" s="50" t="s">
        <v>380</v>
      </c>
    </row>
    <row r="7" spans="1:9" ht="19" customHeight="1" thickBot="1">
      <c r="A7" s="42" t="s">
        <v>253</v>
      </c>
      <c r="B7" s="41">
        <v>1.3</v>
      </c>
      <c r="C7" s="41">
        <v>0.22</v>
      </c>
      <c r="D7" s="41" t="s">
        <v>350</v>
      </c>
      <c r="E7" s="50" t="s">
        <v>380</v>
      </c>
    </row>
    <row r="8" spans="1:9" ht="19" customHeight="1" thickBot="1">
      <c r="A8" s="42" t="s">
        <v>258</v>
      </c>
      <c r="B8" s="41">
        <v>0.99</v>
      </c>
      <c r="C8" s="41">
        <v>0.93</v>
      </c>
      <c r="D8" s="41" t="s">
        <v>348</v>
      </c>
      <c r="E8" s="50" t="s">
        <v>366</v>
      </c>
    </row>
    <row r="9" spans="1:9" ht="19" customHeight="1" thickBot="1">
      <c r="A9" s="42" t="s">
        <v>263</v>
      </c>
      <c r="B9" s="41">
        <v>0.93</v>
      </c>
      <c r="C9" s="41">
        <v>0.65</v>
      </c>
      <c r="D9" s="41" t="s">
        <v>348</v>
      </c>
      <c r="E9" s="50" t="s">
        <v>264</v>
      </c>
    </row>
    <row r="10" spans="1:9" ht="19" customHeight="1" thickBot="1">
      <c r="A10" s="42" t="s">
        <v>265</v>
      </c>
      <c r="B10" s="41">
        <v>0.88</v>
      </c>
      <c r="C10" s="41">
        <v>0.39</v>
      </c>
      <c r="D10" s="41" t="s">
        <v>348</v>
      </c>
      <c r="E10" s="50" t="s">
        <v>380</v>
      </c>
    </row>
    <row r="11" spans="1:9" ht="19" customHeight="1" thickBot="1">
      <c r="A11" s="42" t="s">
        <v>270</v>
      </c>
      <c r="B11" s="41">
        <v>0.87</v>
      </c>
      <c r="C11" s="41">
        <v>0.25</v>
      </c>
      <c r="D11" s="41" t="s">
        <v>348</v>
      </c>
      <c r="E11" s="50" t="s">
        <v>275</v>
      </c>
    </row>
    <row r="12" spans="1:9" ht="19" customHeight="1" thickBot="1">
      <c r="A12" s="42" t="s">
        <v>277</v>
      </c>
      <c r="B12" s="41">
        <v>0.87</v>
      </c>
      <c r="C12" s="41">
        <v>0.21</v>
      </c>
      <c r="D12" s="41" t="s">
        <v>348</v>
      </c>
      <c r="E12" s="50" t="s">
        <v>278</v>
      </c>
    </row>
    <row r="13" spans="1:9" ht="19" customHeight="1" thickBot="1">
      <c r="A13" s="42" t="s">
        <v>279</v>
      </c>
      <c r="B13" s="41">
        <v>0.9</v>
      </c>
      <c r="C13" s="41">
        <v>0.43</v>
      </c>
      <c r="D13" s="41" t="s">
        <v>348</v>
      </c>
      <c r="E13" s="50" t="s">
        <v>283</v>
      </c>
    </row>
    <row r="14" spans="1:9" ht="19" customHeight="1" thickBot="1">
      <c r="A14" s="43" t="s">
        <v>284</v>
      </c>
      <c r="B14" s="41">
        <v>0.88</v>
      </c>
      <c r="C14" s="41">
        <v>0.36</v>
      </c>
      <c r="D14" s="41" t="s">
        <v>348</v>
      </c>
      <c r="E14" s="50" t="s">
        <v>289</v>
      </c>
    </row>
    <row r="15" spans="1:9" ht="19" customHeight="1" thickBot="1">
      <c r="A15" s="42" t="s">
        <v>290</v>
      </c>
      <c r="B15" s="41">
        <v>0.87</v>
      </c>
      <c r="C15" s="41">
        <v>0.19</v>
      </c>
      <c r="D15" s="41" t="s">
        <v>348</v>
      </c>
      <c r="E15" s="50" t="s">
        <v>294</v>
      </c>
    </row>
    <row r="16" spans="1:9" ht="19" customHeight="1" thickBot="1">
      <c r="A16" s="42" t="s">
        <v>295</v>
      </c>
      <c r="B16" s="41">
        <v>0.88</v>
      </c>
      <c r="C16" s="41">
        <v>0.16</v>
      </c>
      <c r="D16" s="41" t="s">
        <v>348</v>
      </c>
      <c r="E16" s="50" t="s">
        <v>380</v>
      </c>
    </row>
    <row r="17" spans="1:6" ht="19" customHeight="1" thickBot="1">
      <c r="A17" s="42" t="s">
        <v>299</v>
      </c>
      <c r="B17" s="41">
        <v>0.88</v>
      </c>
      <c r="C17" s="41">
        <v>0.02</v>
      </c>
      <c r="D17" s="41" t="s">
        <v>349</v>
      </c>
      <c r="E17" s="50" t="s">
        <v>380</v>
      </c>
    </row>
    <row r="18" spans="1:6" ht="19" customHeight="1" thickBot="1">
      <c r="A18" s="42" t="s">
        <v>303</v>
      </c>
      <c r="B18" s="41">
        <v>0.88</v>
      </c>
      <c r="C18" s="41">
        <v>0.01</v>
      </c>
      <c r="D18" s="41" t="s">
        <v>349</v>
      </c>
      <c r="E18" s="50" t="s">
        <v>275</v>
      </c>
    </row>
    <row r="19" spans="1:6" ht="19" customHeight="1" thickBot="1">
      <c r="A19" s="42" t="s">
        <v>306</v>
      </c>
      <c r="B19" s="41">
        <v>0.9</v>
      </c>
      <c r="C19" s="41">
        <v>7.0000000000000007E-2</v>
      </c>
      <c r="D19" s="41" t="s">
        <v>348</v>
      </c>
      <c r="E19" s="50" t="s">
        <v>278</v>
      </c>
    </row>
    <row r="20" spans="1:6" ht="19" customHeight="1" thickBot="1">
      <c r="A20" s="42" t="s">
        <v>307</v>
      </c>
      <c r="B20" s="41">
        <v>0.89</v>
      </c>
      <c r="C20" s="41">
        <v>0.01</v>
      </c>
      <c r="D20" s="41" t="s">
        <v>349</v>
      </c>
      <c r="E20" s="50" t="s">
        <v>372</v>
      </c>
    </row>
    <row r="21" spans="1:6" ht="19" customHeight="1" thickBot="1">
      <c r="A21" s="42" t="s">
        <v>313</v>
      </c>
      <c r="B21" s="41">
        <v>0.89</v>
      </c>
      <c r="C21" s="41">
        <v>0.01</v>
      </c>
      <c r="D21" s="41" t="s">
        <v>349</v>
      </c>
      <c r="E21" s="50" t="s">
        <v>381</v>
      </c>
    </row>
    <row r="22" spans="1:6" ht="19" customHeight="1" thickBot="1">
      <c r="A22" s="42" t="s">
        <v>313</v>
      </c>
      <c r="B22" s="41">
        <v>0.89</v>
      </c>
      <c r="C22" s="41">
        <v>0.01</v>
      </c>
      <c r="D22" s="41" t="s">
        <v>349</v>
      </c>
      <c r="E22" s="50" t="s">
        <v>320</v>
      </c>
    </row>
    <row r="23" spans="1:6" ht="19" customHeight="1" thickBot="1">
      <c r="A23" s="42" t="s">
        <v>321</v>
      </c>
      <c r="B23" s="41">
        <v>0.89</v>
      </c>
      <c r="C23" s="41">
        <v>0.01</v>
      </c>
      <c r="D23" s="41" t="s">
        <v>349</v>
      </c>
      <c r="E23" s="50" t="s">
        <v>325</v>
      </c>
    </row>
    <row r="24" spans="1:6" ht="19" customHeight="1">
      <c r="A24" s="21"/>
      <c r="F24" s="21"/>
    </row>
    <row r="25" spans="1:6" ht="19" customHeight="1">
      <c r="A25" s="21"/>
    </row>
    <row r="26" spans="1:6" ht="19" customHeight="1">
      <c r="A26" s="21"/>
    </row>
    <row r="27" spans="1:6" ht="19" customHeight="1">
      <c r="A27" s="21"/>
    </row>
    <row r="28" spans="1:6" ht="19" customHeight="1">
      <c r="A28" s="2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F3382-C246-E448-A0D8-5C7F2B102ED1}">
  <dimension ref="A1:AA27"/>
  <sheetViews>
    <sheetView topLeftCell="G1" zoomScale="96" workbookViewId="0">
      <selection activeCell="S7" sqref="S7"/>
    </sheetView>
  </sheetViews>
  <sheetFormatPr baseColWidth="10" defaultRowHeight="16"/>
  <cols>
    <col min="1" max="1" width="3.6640625" customWidth="1"/>
    <col min="2" max="2" width="4.6640625" customWidth="1"/>
    <col min="3" max="3" width="4.33203125" style="51" customWidth="1"/>
    <col min="4" max="4" width="23" customWidth="1"/>
    <col min="6" max="6" width="13.1640625" customWidth="1"/>
    <col min="12" max="12" width="10.83203125" style="20"/>
    <col min="15" max="15" width="33.1640625" customWidth="1"/>
    <col min="17" max="17" width="13" customWidth="1"/>
    <col min="24" max="24" width="18" customWidth="1"/>
    <col min="25" max="25" width="8.83203125" customWidth="1"/>
  </cols>
  <sheetData>
    <row r="1" spans="1:27" ht="24">
      <c r="A1" t="s">
        <v>470</v>
      </c>
      <c r="B1" s="62" t="s">
        <v>383</v>
      </c>
      <c r="C1" s="60" t="s">
        <v>469</v>
      </c>
      <c r="D1" s="63" t="s">
        <v>384</v>
      </c>
      <c r="E1" s="60" t="s">
        <v>447</v>
      </c>
      <c r="F1" s="60" t="s">
        <v>435</v>
      </c>
      <c r="G1" s="60" t="s">
        <v>449</v>
      </c>
      <c r="H1" s="64" t="s">
        <v>456</v>
      </c>
      <c r="I1" s="65" t="s">
        <v>397</v>
      </c>
      <c r="J1" s="66" t="s">
        <v>385</v>
      </c>
      <c r="K1" s="66" t="s">
        <v>386</v>
      </c>
      <c r="L1" s="66" t="s">
        <v>458</v>
      </c>
      <c r="M1" s="66" t="s">
        <v>457</v>
      </c>
      <c r="N1" s="65" t="s">
        <v>388</v>
      </c>
      <c r="O1" s="60" t="s">
        <v>389</v>
      </c>
      <c r="P1" s="60" t="s">
        <v>390</v>
      </c>
      <c r="Q1" s="60" t="s">
        <v>391</v>
      </c>
      <c r="R1" s="60" t="s">
        <v>392</v>
      </c>
      <c r="S1" s="60" t="s">
        <v>394</v>
      </c>
      <c r="T1" s="60" t="s">
        <v>395</v>
      </c>
      <c r="U1" s="60" t="s">
        <v>396</v>
      </c>
      <c r="V1" s="60" t="s">
        <v>398</v>
      </c>
      <c r="W1" s="60" t="s">
        <v>438</v>
      </c>
      <c r="X1" s="60" t="s">
        <v>393</v>
      </c>
      <c r="Y1" s="60" t="s">
        <v>472</v>
      </c>
      <c r="Z1" s="66" t="s">
        <v>462</v>
      </c>
      <c r="AA1" s="66" t="s">
        <v>471</v>
      </c>
    </row>
    <row r="2" spans="1:27" ht="73" thickBot="1">
      <c r="A2">
        <v>1</v>
      </c>
      <c r="B2" s="62">
        <v>15</v>
      </c>
      <c r="C2" s="61">
        <v>14</v>
      </c>
      <c r="D2" s="63" t="s">
        <v>419</v>
      </c>
      <c r="E2" s="65" t="s">
        <v>296</v>
      </c>
      <c r="F2" s="61" t="s">
        <v>297</v>
      </c>
      <c r="G2" s="65" t="s">
        <v>453</v>
      </c>
      <c r="H2" s="72" t="s">
        <v>298</v>
      </c>
      <c r="I2" s="60">
        <v>68.7</v>
      </c>
      <c r="J2" s="66">
        <v>43924</v>
      </c>
      <c r="K2" s="66">
        <v>44010</v>
      </c>
      <c r="L2" s="74">
        <v>44086</v>
      </c>
      <c r="M2" s="66">
        <v>44308</v>
      </c>
      <c r="N2" s="65">
        <v>438</v>
      </c>
      <c r="O2" s="60" t="s">
        <v>432</v>
      </c>
      <c r="P2" s="60">
        <v>294</v>
      </c>
      <c r="Q2" s="60" t="s">
        <v>430</v>
      </c>
      <c r="R2" s="60">
        <v>144</v>
      </c>
      <c r="S2" s="60">
        <v>58</v>
      </c>
      <c r="T2" s="60">
        <v>28</v>
      </c>
      <c r="U2" s="61" t="s">
        <v>401</v>
      </c>
      <c r="V2" s="61" t="s">
        <v>404</v>
      </c>
      <c r="W2" s="61" t="s">
        <v>441</v>
      </c>
      <c r="X2" s="60" t="s">
        <v>400</v>
      </c>
      <c r="Y2" s="77" t="s">
        <v>441</v>
      </c>
      <c r="Z2" s="73" t="s">
        <v>441</v>
      </c>
      <c r="AA2" s="73" t="s">
        <v>466</v>
      </c>
    </row>
    <row r="3" spans="1:27" ht="37" thickBot="1">
      <c r="A3">
        <v>2</v>
      </c>
      <c r="B3" s="62">
        <v>1</v>
      </c>
      <c r="C3" s="61">
        <v>1</v>
      </c>
      <c r="D3" s="63" t="s">
        <v>399</v>
      </c>
      <c r="E3" s="65" t="s">
        <v>227</v>
      </c>
      <c r="F3" s="61" t="s">
        <v>228</v>
      </c>
      <c r="G3" s="65" t="s">
        <v>450</v>
      </c>
      <c r="H3" s="72" t="s">
        <v>230</v>
      </c>
      <c r="I3" s="60">
        <v>60</v>
      </c>
      <c r="J3" s="66">
        <v>43921</v>
      </c>
      <c r="K3" s="66">
        <v>43945</v>
      </c>
      <c r="L3" s="66">
        <v>44102</v>
      </c>
      <c r="M3" s="66">
        <v>44102</v>
      </c>
      <c r="N3" s="60">
        <v>30</v>
      </c>
      <c r="O3" s="60" t="s">
        <v>431</v>
      </c>
      <c r="P3" s="60">
        <v>15</v>
      </c>
      <c r="Q3" s="60" t="s">
        <v>428</v>
      </c>
      <c r="R3" s="60">
        <v>15</v>
      </c>
      <c r="S3" s="60">
        <v>2</v>
      </c>
      <c r="T3" s="60">
        <v>4</v>
      </c>
      <c r="U3" s="61" t="s">
        <v>401</v>
      </c>
      <c r="V3" s="61" t="s">
        <v>351</v>
      </c>
      <c r="W3" s="61" t="s">
        <v>443</v>
      </c>
      <c r="X3" s="60" t="s">
        <v>400</v>
      </c>
      <c r="Y3" s="77"/>
      <c r="Z3" s="73"/>
      <c r="AA3" s="73"/>
    </row>
    <row r="4" spans="1:27" ht="61" thickBot="1">
      <c r="A4">
        <v>3</v>
      </c>
      <c r="B4" s="62">
        <v>2</v>
      </c>
      <c r="C4" s="61">
        <v>2</v>
      </c>
      <c r="D4" s="63" t="s">
        <v>402</v>
      </c>
      <c r="E4" s="65" t="s">
        <v>233</v>
      </c>
      <c r="F4" s="61" t="s">
        <v>234</v>
      </c>
      <c r="G4" s="65" t="s">
        <v>235</v>
      </c>
      <c r="H4" s="72" t="s">
        <v>236</v>
      </c>
      <c r="I4" s="60">
        <v>0</v>
      </c>
      <c r="J4" s="66">
        <v>43921</v>
      </c>
      <c r="K4" s="66">
        <v>43939</v>
      </c>
      <c r="L4" s="66">
        <v>44124</v>
      </c>
      <c r="M4" s="66">
        <v>44124</v>
      </c>
      <c r="N4" s="65">
        <v>131</v>
      </c>
      <c r="O4" s="60" t="s">
        <v>432</v>
      </c>
      <c r="P4" s="60">
        <v>63</v>
      </c>
      <c r="Q4" s="60" t="s">
        <v>428</v>
      </c>
      <c r="R4" s="60">
        <v>67</v>
      </c>
      <c r="S4" s="60">
        <v>7</v>
      </c>
      <c r="T4" s="60">
        <v>8</v>
      </c>
      <c r="U4" s="61" t="s">
        <v>403</v>
      </c>
      <c r="V4" s="61" t="s">
        <v>404</v>
      </c>
      <c r="W4" s="61" t="s">
        <v>443</v>
      </c>
      <c r="X4" s="60" t="s">
        <v>400</v>
      </c>
      <c r="Y4" s="77" t="s">
        <v>441</v>
      </c>
      <c r="Z4" s="73"/>
      <c r="AA4" s="73"/>
    </row>
    <row r="5" spans="1:27" ht="73" thickBot="1">
      <c r="A5">
        <v>4</v>
      </c>
      <c r="B5" s="62">
        <v>3</v>
      </c>
      <c r="C5" s="61">
        <v>3</v>
      </c>
      <c r="D5" s="63" t="s">
        <v>405</v>
      </c>
      <c r="E5" s="65" t="s">
        <v>239</v>
      </c>
      <c r="F5" s="61" t="s">
        <v>240</v>
      </c>
      <c r="G5" s="65" t="s">
        <v>241</v>
      </c>
      <c r="H5" s="72" t="s">
        <v>242</v>
      </c>
      <c r="I5" s="60">
        <v>0</v>
      </c>
      <c r="J5" s="66">
        <v>43921</v>
      </c>
      <c r="K5" s="66">
        <v>43993</v>
      </c>
      <c r="L5" s="75">
        <v>44124</v>
      </c>
      <c r="M5" s="66">
        <v>44124</v>
      </c>
      <c r="N5" s="60">
        <v>126</v>
      </c>
      <c r="O5" s="60" t="s">
        <v>406</v>
      </c>
      <c r="P5" s="60">
        <v>60</v>
      </c>
      <c r="Q5" s="60" t="s">
        <v>428</v>
      </c>
      <c r="R5" s="60">
        <v>66</v>
      </c>
      <c r="S5" s="60">
        <v>2</v>
      </c>
      <c r="T5" s="60">
        <v>1</v>
      </c>
      <c r="U5" s="61" t="s">
        <v>403</v>
      </c>
      <c r="V5" s="61" t="s">
        <v>404</v>
      </c>
      <c r="W5" s="61" t="s">
        <v>443</v>
      </c>
      <c r="X5" s="60" t="s">
        <v>407</v>
      </c>
      <c r="Y5" s="77" t="s">
        <v>441</v>
      </c>
      <c r="Z5" s="73"/>
      <c r="AA5" s="73"/>
    </row>
    <row r="6" spans="1:27" ht="49" thickBot="1">
      <c r="A6">
        <v>5</v>
      </c>
      <c r="B6" s="62">
        <v>5</v>
      </c>
      <c r="C6" s="61">
        <v>4</v>
      </c>
      <c r="D6" s="63" t="s">
        <v>249</v>
      </c>
      <c r="E6" s="65" t="s">
        <v>250</v>
      </c>
      <c r="F6" s="61" t="s">
        <v>251</v>
      </c>
      <c r="G6" s="65" t="s">
        <v>455</v>
      </c>
      <c r="H6" s="72" t="s">
        <v>252</v>
      </c>
      <c r="I6" s="60">
        <v>26.5</v>
      </c>
      <c r="J6" s="66">
        <v>43965</v>
      </c>
      <c r="K6" s="66">
        <v>44061</v>
      </c>
      <c r="L6" s="74">
        <v>44127</v>
      </c>
      <c r="M6" s="66">
        <v>44203</v>
      </c>
      <c r="N6" s="60">
        <v>377</v>
      </c>
      <c r="O6" s="60" t="s">
        <v>432</v>
      </c>
      <c r="P6" s="60">
        <v>249</v>
      </c>
      <c r="Q6" s="60" t="s">
        <v>430</v>
      </c>
      <c r="R6" s="60">
        <v>128</v>
      </c>
      <c r="S6" s="60">
        <v>26</v>
      </c>
      <c r="T6" s="60">
        <v>11</v>
      </c>
      <c r="U6" s="61" t="s">
        <v>403</v>
      </c>
      <c r="V6" s="61" t="s">
        <v>404</v>
      </c>
      <c r="W6" s="61" t="s">
        <v>441</v>
      </c>
      <c r="X6" s="60" t="s">
        <v>400</v>
      </c>
      <c r="Y6" s="77" t="s">
        <v>441</v>
      </c>
      <c r="Z6" s="73" t="s">
        <v>441</v>
      </c>
      <c r="AA6" s="73" t="s">
        <v>461</v>
      </c>
    </row>
    <row r="7" spans="1:27" ht="61" thickBot="1">
      <c r="A7">
        <v>6</v>
      </c>
      <c r="B7" s="62">
        <v>12</v>
      </c>
      <c r="C7" s="61">
        <v>12</v>
      </c>
      <c r="D7" s="63" t="s">
        <v>279</v>
      </c>
      <c r="E7" s="65" t="s">
        <v>280</v>
      </c>
      <c r="F7" s="60" t="s">
        <v>279</v>
      </c>
      <c r="G7" s="65" t="s">
        <v>268</v>
      </c>
      <c r="H7" s="72" t="s">
        <v>282</v>
      </c>
      <c r="I7" s="60">
        <v>28.1</v>
      </c>
      <c r="J7" s="66">
        <v>43953</v>
      </c>
      <c r="K7" s="66">
        <v>44019</v>
      </c>
      <c r="L7" s="67">
        <v>44167</v>
      </c>
      <c r="M7" s="66">
        <v>44295</v>
      </c>
      <c r="N7" s="60">
        <v>32</v>
      </c>
      <c r="O7" s="60" t="s">
        <v>416</v>
      </c>
      <c r="P7" s="60">
        <v>20</v>
      </c>
      <c r="Q7" s="60" t="s">
        <v>428</v>
      </c>
      <c r="R7" s="60">
        <v>10</v>
      </c>
      <c r="S7" s="60">
        <v>0</v>
      </c>
      <c r="T7" s="60">
        <v>3</v>
      </c>
      <c r="U7" s="61" t="s">
        <v>411</v>
      </c>
      <c r="V7" s="61" t="s">
        <v>351</v>
      </c>
      <c r="W7" s="61" t="s">
        <v>443</v>
      </c>
      <c r="X7" s="60" t="s">
        <v>417</v>
      </c>
      <c r="Y7" s="77"/>
      <c r="Z7" s="73" t="s">
        <v>441</v>
      </c>
      <c r="AA7" s="73" t="s">
        <v>464</v>
      </c>
    </row>
    <row r="8" spans="1:27" ht="49" thickBot="1">
      <c r="A8">
        <v>7</v>
      </c>
      <c r="B8" s="62">
        <v>7</v>
      </c>
      <c r="C8" s="61">
        <v>6</v>
      </c>
      <c r="D8" s="63" t="s">
        <v>408</v>
      </c>
      <c r="E8" s="65" t="s">
        <v>259</v>
      </c>
      <c r="F8" s="61" t="s">
        <v>439</v>
      </c>
      <c r="G8" s="65" t="s">
        <v>451</v>
      </c>
      <c r="H8" s="72" t="s">
        <v>262</v>
      </c>
      <c r="I8" s="60">
        <v>100</v>
      </c>
      <c r="J8" s="66">
        <v>43899</v>
      </c>
      <c r="K8" s="66">
        <v>44154</v>
      </c>
      <c r="L8" s="68">
        <v>44205</v>
      </c>
      <c r="M8" s="66">
        <v>44252</v>
      </c>
      <c r="N8" s="60">
        <v>755</v>
      </c>
      <c r="O8" s="60" t="s">
        <v>243</v>
      </c>
      <c r="P8" s="60">
        <v>353</v>
      </c>
      <c r="Q8" s="60" t="s">
        <v>428</v>
      </c>
      <c r="R8" s="60">
        <v>402</v>
      </c>
      <c r="S8" s="60">
        <f>353-266</f>
        <v>87</v>
      </c>
      <c r="T8" s="60">
        <f>402-268</f>
        <v>134</v>
      </c>
      <c r="U8" s="61" t="s">
        <v>409</v>
      </c>
      <c r="V8" s="61" t="s">
        <v>404</v>
      </c>
      <c r="W8" s="61" t="s">
        <v>443</v>
      </c>
      <c r="X8" s="60" t="s">
        <v>407</v>
      </c>
      <c r="Y8" s="77" t="s">
        <v>441</v>
      </c>
      <c r="Z8" s="73" t="s">
        <v>441</v>
      </c>
      <c r="AA8" s="73" t="s">
        <v>463</v>
      </c>
    </row>
    <row r="9" spans="1:27" ht="49" thickBot="1">
      <c r="A9">
        <v>8</v>
      </c>
      <c r="B9" s="62">
        <v>8</v>
      </c>
      <c r="C9" s="61">
        <v>7</v>
      </c>
      <c r="D9" s="63" t="s">
        <v>410</v>
      </c>
      <c r="E9" s="65" t="s">
        <v>259</v>
      </c>
      <c r="F9" s="61" t="s">
        <v>440</v>
      </c>
      <c r="G9" s="65" t="s">
        <v>451</v>
      </c>
      <c r="H9" s="72" t="s">
        <v>262</v>
      </c>
      <c r="I9" s="60">
        <v>100</v>
      </c>
      <c r="J9" s="66">
        <v>43899</v>
      </c>
      <c r="K9" s="66">
        <v>44154</v>
      </c>
      <c r="L9" s="76">
        <v>44205</v>
      </c>
      <c r="M9" s="66">
        <v>44252</v>
      </c>
      <c r="N9" s="60">
        <v>450</v>
      </c>
      <c r="O9" s="60" t="s">
        <v>382</v>
      </c>
      <c r="P9" s="60">
        <v>48</v>
      </c>
      <c r="Q9" s="60" t="s">
        <v>428</v>
      </c>
      <c r="R9" s="60">
        <v>402</v>
      </c>
      <c r="S9" s="60">
        <f>48-37</f>
        <v>11</v>
      </c>
      <c r="T9" s="60">
        <f>402-268</f>
        <v>134</v>
      </c>
      <c r="U9" s="61" t="s">
        <v>409</v>
      </c>
      <c r="V9" s="61" t="s">
        <v>351</v>
      </c>
      <c r="W9" s="61" t="s">
        <v>443</v>
      </c>
      <c r="X9" s="60" t="s">
        <v>407</v>
      </c>
      <c r="Y9" s="77" t="s">
        <v>441</v>
      </c>
      <c r="Z9" s="73" t="s">
        <v>441</v>
      </c>
      <c r="AA9" s="73" t="s">
        <v>463</v>
      </c>
    </row>
    <row r="10" spans="1:27" ht="73" thickBot="1">
      <c r="A10">
        <v>9</v>
      </c>
      <c r="B10" s="62">
        <v>6</v>
      </c>
      <c r="C10" s="61">
        <v>5</v>
      </c>
      <c r="D10" s="63" t="s">
        <v>253</v>
      </c>
      <c r="E10" s="65" t="s">
        <v>254</v>
      </c>
      <c r="F10" s="61" t="s">
        <v>255</v>
      </c>
      <c r="G10" s="65" t="s">
        <v>256</v>
      </c>
      <c r="H10" s="72" t="s">
        <v>257</v>
      </c>
      <c r="I10" s="60">
        <v>48.1</v>
      </c>
      <c r="J10" s="66">
        <v>43959</v>
      </c>
      <c r="K10" s="66">
        <v>44029</v>
      </c>
      <c r="L10" s="66">
        <v>44216</v>
      </c>
      <c r="M10" s="66">
        <v>44216</v>
      </c>
      <c r="N10" s="60">
        <v>129</v>
      </c>
      <c r="O10" s="60" t="s">
        <v>432</v>
      </c>
      <c r="P10" s="60">
        <v>65</v>
      </c>
      <c r="Q10" s="60" t="s">
        <v>428</v>
      </c>
      <c r="R10" s="60">
        <v>64</v>
      </c>
      <c r="S10" s="60">
        <v>14</v>
      </c>
      <c r="T10" s="60">
        <v>6</v>
      </c>
      <c r="U10" s="61" t="s">
        <v>401</v>
      </c>
      <c r="V10" s="61" t="s">
        <v>404</v>
      </c>
      <c r="W10" s="61" t="s">
        <v>443</v>
      </c>
      <c r="X10" s="60" t="s">
        <v>400</v>
      </c>
      <c r="Y10" s="77" t="s">
        <v>441</v>
      </c>
      <c r="Z10" s="73"/>
      <c r="AA10" s="73"/>
    </row>
    <row r="11" spans="1:27" ht="61" thickBot="1">
      <c r="A11">
        <v>10</v>
      </c>
      <c r="B11" s="62">
        <v>16</v>
      </c>
      <c r="C11" s="61">
        <v>15</v>
      </c>
      <c r="D11" s="63" t="s">
        <v>420</v>
      </c>
      <c r="E11" s="65" t="s">
        <v>300</v>
      </c>
      <c r="F11" s="61" t="s">
        <v>126</v>
      </c>
      <c r="G11" s="65" t="s">
        <v>454</v>
      </c>
      <c r="H11" s="72" t="s">
        <v>302</v>
      </c>
      <c r="I11" s="60">
        <v>54.6</v>
      </c>
      <c r="J11" s="66">
        <v>43944</v>
      </c>
      <c r="K11" s="66">
        <v>44220</v>
      </c>
      <c r="L11" s="66">
        <v>44238</v>
      </c>
      <c r="M11" s="66">
        <v>44317</v>
      </c>
      <c r="N11" s="60">
        <v>4116</v>
      </c>
      <c r="O11" s="60" t="s">
        <v>432</v>
      </c>
      <c r="P11" s="60">
        <v>2022</v>
      </c>
      <c r="Q11" s="60" t="s">
        <v>428</v>
      </c>
      <c r="R11" s="60">
        <v>2094</v>
      </c>
      <c r="S11" s="60">
        <v>621</v>
      </c>
      <c r="T11" s="60">
        <v>729</v>
      </c>
      <c r="U11" s="61" t="s">
        <v>401</v>
      </c>
      <c r="V11" s="61" t="s">
        <v>404</v>
      </c>
      <c r="W11" s="61" t="s">
        <v>441</v>
      </c>
      <c r="X11" s="60" t="s">
        <v>400</v>
      </c>
      <c r="Y11" s="77" t="s">
        <v>441</v>
      </c>
      <c r="Z11" s="73" t="s">
        <v>441</v>
      </c>
      <c r="AA11" s="73" t="s">
        <v>467</v>
      </c>
    </row>
    <row r="12" spans="1:27" ht="73" thickBot="1">
      <c r="A12">
        <v>11</v>
      </c>
      <c r="B12" s="62">
        <v>9</v>
      </c>
      <c r="C12" s="61">
        <v>8</v>
      </c>
      <c r="D12" s="63" t="s">
        <v>265</v>
      </c>
      <c r="E12" s="65" t="s">
        <v>266</v>
      </c>
      <c r="F12" s="61" t="s">
        <v>267</v>
      </c>
      <c r="G12" s="65" t="s">
        <v>268</v>
      </c>
      <c r="H12" s="72" t="s">
        <v>269</v>
      </c>
      <c r="I12" s="60">
        <v>57</v>
      </c>
      <c r="J12" s="66">
        <v>43981</v>
      </c>
      <c r="K12" s="66">
        <v>44074</v>
      </c>
      <c r="L12" s="66">
        <v>44259</v>
      </c>
      <c r="M12" s="66">
        <v>44259</v>
      </c>
      <c r="N12" s="60">
        <v>179</v>
      </c>
      <c r="O12" s="60" t="s">
        <v>432</v>
      </c>
      <c r="P12" s="60">
        <v>91</v>
      </c>
      <c r="Q12" s="60" t="s">
        <v>428</v>
      </c>
      <c r="R12" s="60">
        <v>88</v>
      </c>
      <c r="S12" s="60">
        <v>11</v>
      </c>
      <c r="T12" s="60">
        <v>15</v>
      </c>
      <c r="U12" s="61" t="s">
        <v>411</v>
      </c>
      <c r="V12" s="61" t="s">
        <v>404</v>
      </c>
      <c r="W12" s="61" t="s">
        <v>443</v>
      </c>
      <c r="X12" s="60" t="s">
        <v>400</v>
      </c>
      <c r="Y12" s="77" t="s">
        <v>441</v>
      </c>
      <c r="AA12" s="73"/>
    </row>
    <row r="13" spans="1:27" ht="73" thickBot="1">
      <c r="A13">
        <v>12</v>
      </c>
      <c r="B13" s="62">
        <v>10</v>
      </c>
      <c r="C13" s="61">
        <v>9</v>
      </c>
      <c r="D13" s="63" t="s">
        <v>412</v>
      </c>
      <c r="E13" s="65" t="s">
        <v>271</v>
      </c>
      <c r="F13" s="60" t="s">
        <v>412</v>
      </c>
      <c r="G13" s="65" t="s">
        <v>273</v>
      </c>
      <c r="H13" s="72" t="s">
        <v>274</v>
      </c>
      <c r="I13" s="60">
        <v>25.3</v>
      </c>
      <c r="J13" s="66">
        <v>43918</v>
      </c>
      <c r="K13" s="66">
        <v>44015</v>
      </c>
      <c r="L13" s="75">
        <v>44259</v>
      </c>
      <c r="M13" s="66">
        <v>44259</v>
      </c>
      <c r="N13" s="60">
        <v>257</v>
      </c>
      <c r="O13" s="60" t="s">
        <v>275</v>
      </c>
      <c r="P13" s="60">
        <v>173</v>
      </c>
      <c r="Q13" s="60" t="s">
        <v>276</v>
      </c>
      <c r="R13" s="60">
        <v>84</v>
      </c>
      <c r="S13" s="60">
        <v>14</v>
      </c>
      <c r="T13" s="60">
        <v>7</v>
      </c>
      <c r="U13" s="61" t="s">
        <v>413</v>
      </c>
      <c r="V13" s="61" t="s">
        <v>351</v>
      </c>
      <c r="W13" s="61" t="s">
        <v>443</v>
      </c>
      <c r="X13" s="60" t="s">
        <v>400</v>
      </c>
      <c r="Y13" s="77" t="s">
        <v>441</v>
      </c>
      <c r="Z13" s="73"/>
      <c r="AA13" s="73"/>
    </row>
    <row r="14" spans="1:27" ht="73" thickBot="1">
      <c r="A14">
        <v>13</v>
      </c>
      <c r="B14" s="62">
        <v>11</v>
      </c>
      <c r="C14" s="61">
        <v>10</v>
      </c>
      <c r="D14" s="63" t="s">
        <v>414</v>
      </c>
      <c r="E14" s="65" t="s">
        <v>271</v>
      </c>
      <c r="F14" s="60" t="s">
        <v>414</v>
      </c>
      <c r="G14" s="65" t="s">
        <v>273</v>
      </c>
      <c r="H14" s="72" t="s">
        <v>274</v>
      </c>
      <c r="I14" s="60">
        <v>26.7</v>
      </c>
      <c r="J14" s="66">
        <v>43918</v>
      </c>
      <c r="K14" s="66">
        <v>44015</v>
      </c>
      <c r="L14" s="66">
        <v>44259</v>
      </c>
      <c r="M14" s="66">
        <v>44259</v>
      </c>
      <c r="N14" s="60">
        <v>243</v>
      </c>
      <c r="O14" s="60" t="s">
        <v>278</v>
      </c>
      <c r="P14" s="60">
        <v>159</v>
      </c>
      <c r="Q14" s="60" t="s">
        <v>276</v>
      </c>
      <c r="R14" s="60">
        <v>84</v>
      </c>
      <c r="S14" s="60">
        <v>16</v>
      </c>
      <c r="T14" s="60">
        <v>7</v>
      </c>
      <c r="U14" s="61" t="s">
        <v>415</v>
      </c>
      <c r="V14" s="61" t="s">
        <v>351</v>
      </c>
      <c r="W14" s="61" t="s">
        <v>443</v>
      </c>
      <c r="X14" s="60" t="s">
        <v>400</v>
      </c>
      <c r="Y14" s="77" t="s">
        <v>441</v>
      </c>
      <c r="Z14" s="73"/>
      <c r="AA14" s="73"/>
    </row>
    <row r="15" spans="1:27" ht="61" thickBot="1">
      <c r="A15">
        <v>14</v>
      </c>
      <c r="B15" s="62">
        <v>13</v>
      </c>
      <c r="C15" s="61">
        <v>11</v>
      </c>
      <c r="D15" s="63" t="s">
        <v>284</v>
      </c>
      <c r="E15" s="65" t="s">
        <v>448</v>
      </c>
      <c r="F15" s="61" t="s">
        <v>286</v>
      </c>
      <c r="G15" s="65" t="s">
        <v>20</v>
      </c>
      <c r="H15" s="72" t="s">
        <v>288</v>
      </c>
      <c r="I15" s="60">
        <v>50</v>
      </c>
      <c r="J15" s="66">
        <v>43979</v>
      </c>
      <c r="K15" s="66">
        <v>44089</v>
      </c>
      <c r="L15" s="75">
        <v>44272</v>
      </c>
      <c r="M15" s="66">
        <v>44272</v>
      </c>
      <c r="N15" s="60">
        <v>40</v>
      </c>
      <c r="O15" s="60" t="s">
        <v>289</v>
      </c>
      <c r="P15" s="60">
        <v>21</v>
      </c>
      <c r="Q15" s="60" t="s">
        <v>276</v>
      </c>
      <c r="R15" s="60">
        <v>19</v>
      </c>
      <c r="S15" s="60">
        <v>1</v>
      </c>
      <c r="T15" s="60">
        <v>3</v>
      </c>
      <c r="U15" s="61" t="s">
        <v>411</v>
      </c>
      <c r="V15" s="61" t="s">
        <v>351</v>
      </c>
      <c r="W15" s="61" t="s">
        <v>443</v>
      </c>
      <c r="X15" s="60" t="s">
        <v>400</v>
      </c>
      <c r="Y15" s="77"/>
      <c r="Z15" s="73"/>
      <c r="AA15" s="73"/>
    </row>
    <row r="16" spans="1:27" ht="121" thickBot="1">
      <c r="A16">
        <v>15</v>
      </c>
      <c r="B16" s="62">
        <v>14</v>
      </c>
      <c r="C16" s="61">
        <v>13</v>
      </c>
      <c r="D16" s="63" t="s">
        <v>290</v>
      </c>
      <c r="E16" s="65" t="s">
        <v>291</v>
      </c>
      <c r="F16" s="61" t="s">
        <v>292</v>
      </c>
      <c r="G16" s="65" t="s">
        <v>452</v>
      </c>
      <c r="H16" s="72" t="s">
        <v>293</v>
      </c>
      <c r="I16" s="60">
        <v>100</v>
      </c>
      <c r="J16" s="66">
        <v>43979</v>
      </c>
      <c r="K16" s="66">
        <v>44209</v>
      </c>
      <c r="L16" s="75">
        <v>44303</v>
      </c>
      <c r="M16" s="66">
        <v>44303</v>
      </c>
      <c r="N16" s="60">
        <v>793</v>
      </c>
      <c r="O16" s="60" t="s">
        <v>418</v>
      </c>
      <c r="P16" s="60">
        <v>395</v>
      </c>
      <c r="Q16" s="60" t="s">
        <v>430</v>
      </c>
      <c r="R16" s="60">
        <v>398</v>
      </c>
      <c r="S16" s="60">
        <v>64</v>
      </c>
      <c r="T16" s="60">
        <v>74</v>
      </c>
      <c r="U16" s="61" t="s">
        <v>411</v>
      </c>
      <c r="V16" s="61" t="s">
        <v>351</v>
      </c>
      <c r="W16" s="61" t="s">
        <v>443</v>
      </c>
      <c r="X16" s="60" t="s">
        <v>400</v>
      </c>
      <c r="Y16" s="77"/>
      <c r="Z16" s="73" t="s">
        <v>441</v>
      </c>
      <c r="AA16" s="73" t="s">
        <v>465</v>
      </c>
    </row>
    <row r="17" spans="1:27" ht="37" thickBot="1">
      <c r="A17">
        <v>16</v>
      </c>
      <c r="B17" s="62">
        <v>22</v>
      </c>
      <c r="C17" s="61">
        <v>16</v>
      </c>
      <c r="D17" s="63" t="s">
        <v>421</v>
      </c>
      <c r="E17" s="65" t="s">
        <v>322</v>
      </c>
      <c r="F17" s="61" t="s">
        <v>323</v>
      </c>
      <c r="G17" s="65" t="s">
        <v>355</v>
      </c>
      <c r="H17" s="72" t="s">
        <v>324</v>
      </c>
      <c r="I17" s="60">
        <v>41</v>
      </c>
      <c r="J17" s="66">
        <v>43956</v>
      </c>
      <c r="K17" s="66">
        <v>44223</v>
      </c>
      <c r="L17" s="66">
        <v>44321</v>
      </c>
      <c r="M17" s="66">
        <v>44321</v>
      </c>
      <c r="N17" s="60">
        <v>479</v>
      </c>
      <c r="O17" s="60" t="s">
        <v>422</v>
      </c>
      <c r="P17" s="60">
        <v>236</v>
      </c>
      <c r="Q17" s="60" t="s">
        <v>430</v>
      </c>
      <c r="R17" s="60">
        <v>243</v>
      </c>
      <c r="S17" s="60">
        <v>24</v>
      </c>
      <c r="T17" s="60">
        <f>ROUND(13.9/100*R17,0)</f>
        <v>34</v>
      </c>
      <c r="U17" s="61" t="s">
        <v>403</v>
      </c>
      <c r="V17" s="61" t="s">
        <v>351</v>
      </c>
      <c r="W17" s="61" t="s">
        <v>443</v>
      </c>
      <c r="X17" s="60" t="s">
        <v>400</v>
      </c>
      <c r="Y17" s="77"/>
      <c r="Z17" s="73" t="s">
        <v>441</v>
      </c>
      <c r="AA17" s="73" t="s">
        <v>468</v>
      </c>
    </row>
    <row r="18" spans="1:27" ht="17" thickBot="1">
      <c r="A18">
        <v>17</v>
      </c>
      <c r="B18" s="62">
        <v>17</v>
      </c>
      <c r="C18" s="61">
        <v>17</v>
      </c>
      <c r="D18" s="63" t="s">
        <v>423</v>
      </c>
      <c r="E18" s="65" t="s">
        <v>304</v>
      </c>
      <c r="F18" s="60" t="s">
        <v>423</v>
      </c>
      <c r="G18" s="65" t="s">
        <v>20</v>
      </c>
      <c r="H18" s="72" t="s">
        <v>305</v>
      </c>
      <c r="I18" s="60">
        <v>71.900000000000006</v>
      </c>
      <c r="J18" s="66">
        <v>43908</v>
      </c>
      <c r="K18" s="66">
        <v>44013</v>
      </c>
      <c r="L18" s="66">
        <v>44447</v>
      </c>
      <c r="M18" s="66">
        <v>44447</v>
      </c>
      <c r="N18" s="60">
        <v>270</v>
      </c>
      <c r="O18" s="60" t="s">
        <v>275</v>
      </c>
      <c r="P18" s="60">
        <v>180</v>
      </c>
      <c r="Q18" s="60" t="s">
        <v>276</v>
      </c>
      <c r="R18" s="60">
        <v>90</v>
      </c>
      <c r="S18" s="60">
        <v>42</v>
      </c>
      <c r="T18" s="60">
        <v>19</v>
      </c>
      <c r="U18" s="61" t="s">
        <v>401</v>
      </c>
      <c r="V18" s="61" t="s">
        <v>351</v>
      </c>
      <c r="W18" s="61" t="s">
        <v>443</v>
      </c>
      <c r="X18" s="60" t="s">
        <v>442</v>
      </c>
      <c r="Y18" s="77" t="s">
        <v>441</v>
      </c>
      <c r="Z18" s="73"/>
      <c r="AA18" s="73"/>
    </row>
    <row r="19" spans="1:27" ht="17" thickBot="1">
      <c r="A19">
        <v>18</v>
      </c>
      <c r="B19" s="62">
        <v>18</v>
      </c>
      <c r="C19" s="61">
        <v>18</v>
      </c>
      <c r="D19" s="63" t="s">
        <v>424</v>
      </c>
      <c r="E19" s="65" t="s">
        <v>304</v>
      </c>
      <c r="F19" s="60" t="s">
        <v>424</v>
      </c>
      <c r="G19" s="65" t="s">
        <v>20</v>
      </c>
      <c r="H19" s="72" t="s">
        <v>305</v>
      </c>
      <c r="I19" s="60">
        <v>72.900000000000006</v>
      </c>
      <c r="J19" s="66">
        <v>43908</v>
      </c>
      <c r="K19" s="66">
        <v>44013</v>
      </c>
      <c r="L19" s="66">
        <v>44447</v>
      </c>
      <c r="M19" s="66">
        <v>44447</v>
      </c>
      <c r="N19" s="60">
        <v>277</v>
      </c>
      <c r="O19" s="60" t="s">
        <v>278</v>
      </c>
      <c r="P19" s="60">
        <v>187</v>
      </c>
      <c r="Q19" s="60" t="s">
        <v>276</v>
      </c>
      <c r="R19" s="60">
        <v>90</v>
      </c>
      <c r="S19" s="60">
        <v>55</v>
      </c>
      <c r="T19" s="60">
        <v>19</v>
      </c>
      <c r="U19" s="61" t="s">
        <v>401</v>
      </c>
      <c r="V19" s="61" t="s">
        <v>351</v>
      </c>
      <c r="W19" s="61" t="s">
        <v>443</v>
      </c>
      <c r="X19" s="60" t="s">
        <v>442</v>
      </c>
      <c r="Y19" s="77" t="s">
        <v>441</v>
      </c>
      <c r="Z19" s="73"/>
      <c r="AA19" s="73"/>
    </row>
    <row r="20" spans="1:27" ht="73" thickBot="1">
      <c r="A20">
        <v>19</v>
      </c>
      <c r="B20" s="62">
        <v>19</v>
      </c>
      <c r="C20" s="61">
        <v>19</v>
      </c>
      <c r="D20" s="63" t="s">
        <v>307</v>
      </c>
      <c r="E20" s="65" t="s">
        <v>308</v>
      </c>
      <c r="F20" s="61" t="s">
        <v>309</v>
      </c>
      <c r="G20" s="65" t="s">
        <v>310</v>
      </c>
      <c r="H20" s="72" t="s">
        <v>311</v>
      </c>
      <c r="I20" s="61">
        <v>0</v>
      </c>
      <c r="J20" s="66">
        <v>43950</v>
      </c>
      <c r="K20" s="66">
        <v>44046</v>
      </c>
      <c r="L20" s="66">
        <v>44468</v>
      </c>
      <c r="M20" s="66">
        <v>44468</v>
      </c>
      <c r="N20" s="60">
        <v>206</v>
      </c>
      <c r="O20" s="60" t="s">
        <v>425</v>
      </c>
      <c r="P20" s="60">
        <v>103</v>
      </c>
      <c r="Q20" s="60" t="s">
        <v>430</v>
      </c>
      <c r="R20" s="60">
        <v>103</v>
      </c>
      <c r="S20" s="60">
        <v>4</v>
      </c>
      <c r="T20" s="60">
        <v>4</v>
      </c>
      <c r="U20" s="61" t="s">
        <v>401</v>
      </c>
      <c r="V20" s="61" t="s">
        <v>351</v>
      </c>
      <c r="W20" s="61" t="s">
        <v>443</v>
      </c>
      <c r="X20" s="60" t="s">
        <v>407</v>
      </c>
      <c r="Y20" s="77"/>
      <c r="Z20" s="73"/>
      <c r="AA20" s="73"/>
    </row>
    <row r="21" spans="1:27" ht="73" thickBot="1">
      <c r="A21">
        <v>20</v>
      </c>
      <c r="B21" s="62">
        <v>20</v>
      </c>
      <c r="C21" s="61">
        <v>20</v>
      </c>
      <c r="D21" s="63" t="s">
        <v>426</v>
      </c>
      <c r="E21" s="65" t="s">
        <v>314</v>
      </c>
      <c r="F21" s="61" t="s">
        <v>436</v>
      </c>
      <c r="G21" s="65" t="s">
        <v>316</v>
      </c>
      <c r="H21" s="72" t="s">
        <v>317</v>
      </c>
      <c r="I21" s="61">
        <v>49.5</v>
      </c>
      <c r="J21" s="66">
        <v>43925</v>
      </c>
      <c r="K21" s="66">
        <v>44171</v>
      </c>
      <c r="L21" s="66">
        <v>44498</v>
      </c>
      <c r="M21" s="66">
        <v>44498</v>
      </c>
      <c r="N21" s="60">
        <v>231</v>
      </c>
      <c r="O21" s="60" t="s">
        <v>433</v>
      </c>
      <c r="P21" s="60">
        <v>113</v>
      </c>
      <c r="Q21" s="60" t="s">
        <v>429</v>
      </c>
      <c r="R21" s="60">
        <v>118</v>
      </c>
      <c r="S21" s="60">
        <f>ROUND(0.13*32+0.11*81,0)</f>
        <v>13</v>
      </c>
      <c r="T21" s="60">
        <f>ROUND(0.16*44+0.1*74,0)</f>
        <v>14</v>
      </c>
      <c r="U21" s="61" t="s">
        <v>401</v>
      </c>
      <c r="V21" s="61" t="s">
        <v>404</v>
      </c>
      <c r="W21" s="61" t="s">
        <v>443</v>
      </c>
      <c r="X21" s="60" t="s">
        <v>400</v>
      </c>
      <c r="Y21" s="77" t="s">
        <v>441</v>
      </c>
      <c r="Z21" s="73"/>
      <c r="AA21" s="73"/>
    </row>
    <row r="22" spans="1:27" ht="73" thickBot="1">
      <c r="A22">
        <v>21</v>
      </c>
      <c r="B22" s="62">
        <v>21</v>
      </c>
      <c r="C22" s="61">
        <v>21</v>
      </c>
      <c r="D22" s="63" t="s">
        <v>427</v>
      </c>
      <c r="E22" s="65" t="s">
        <v>314</v>
      </c>
      <c r="F22" s="61" t="s">
        <v>437</v>
      </c>
      <c r="G22" s="65" t="s">
        <v>316</v>
      </c>
      <c r="H22" s="72" t="s">
        <v>317</v>
      </c>
      <c r="I22" s="61">
        <v>49.5</v>
      </c>
      <c r="J22" s="66">
        <v>43925</v>
      </c>
      <c r="K22" s="66">
        <v>44171</v>
      </c>
      <c r="L22" s="66">
        <v>44498</v>
      </c>
      <c r="M22" s="66">
        <v>44498</v>
      </c>
      <c r="N22" s="60">
        <v>229</v>
      </c>
      <c r="O22" s="60" t="s">
        <v>434</v>
      </c>
      <c r="P22" s="60">
        <v>111</v>
      </c>
      <c r="Q22" s="60" t="s">
        <v>429</v>
      </c>
      <c r="R22" s="60">
        <v>118</v>
      </c>
      <c r="S22" s="60">
        <f>ROUND(0.17*36+0.13*75,0)</f>
        <v>16</v>
      </c>
      <c r="T22" s="60">
        <f>ROUND(0.16*44+0.1*74,0)</f>
        <v>14</v>
      </c>
      <c r="U22" s="61" t="s">
        <v>401</v>
      </c>
      <c r="V22" s="61" t="s">
        <v>351</v>
      </c>
      <c r="W22" s="61" t="s">
        <v>443</v>
      </c>
      <c r="X22" s="60" t="s">
        <v>400</v>
      </c>
      <c r="Y22" s="77" t="s">
        <v>441</v>
      </c>
      <c r="Z22" s="73"/>
      <c r="AA22" s="73"/>
    </row>
    <row r="23" spans="1:27" ht="49" thickBot="1">
      <c r="A23">
        <v>22</v>
      </c>
      <c r="B23" s="62">
        <v>4</v>
      </c>
      <c r="C23" s="61">
        <v>22</v>
      </c>
      <c r="D23" s="63" t="s">
        <v>244</v>
      </c>
      <c r="E23" s="65" t="s">
        <v>245</v>
      </c>
      <c r="F23" s="61" t="s">
        <v>246</v>
      </c>
      <c r="G23" s="65" t="s">
        <v>20</v>
      </c>
      <c r="H23" s="72" t="s">
        <v>247</v>
      </c>
      <c r="I23" s="60">
        <v>4.5</v>
      </c>
      <c r="J23" s="66">
        <v>43941</v>
      </c>
      <c r="K23" s="66">
        <v>44025</v>
      </c>
      <c r="L23" s="66">
        <v>44540</v>
      </c>
      <c r="M23" s="66">
        <v>44540</v>
      </c>
      <c r="N23" s="60">
        <v>242</v>
      </c>
      <c r="O23" s="60" t="s">
        <v>432</v>
      </c>
      <c r="P23" s="60">
        <v>161</v>
      </c>
      <c r="Q23" s="60" t="s">
        <v>430</v>
      </c>
      <c r="R23" s="60">
        <v>81</v>
      </c>
      <c r="S23" s="60">
        <v>9</v>
      </c>
      <c r="T23" s="60">
        <v>3</v>
      </c>
      <c r="U23" s="61" t="s">
        <v>403</v>
      </c>
      <c r="V23" s="61" t="s">
        <v>404</v>
      </c>
      <c r="W23" s="61" t="s">
        <v>443</v>
      </c>
      <c r="X23" s="60" t="s">
        <v>400</v>
      </c>
      <c r="Y23" s="77" t="s">
        <v>441</v>
      </c>
      <c r="Z23" s="73"/>
      <c r="AA23" s="73"/>
    </row>
    <row r="26" spans="1:27">
      <c r="E26" s="21"/>
    </row>
    <row r="27" spans="1:27">
      <c r="E27" s="22"/>
    </row>
  </sheetData>
  <sortState xmlns:xlrd2="http://schemas.microsoft.com/office/spreadsheetml/2017/richdata2" ref="A2:AA29">
    <sortCondition ref="L15:L29"/>
  </sortStat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C583-24A2-BD45-9EFA-5640CDD1A048}">
  <dimension ref="A1:R20"/>
  <sheetViews>
    <sheetView workbookViewId="0">
      <selection activeCell="L10" sqref="L10"/>
    </sheetView>
  </sheetViews>
  <sheetFormatPr baseColWidth="10" defaultRowHeight="16"/>
  <cols>
    <col min="1" max="16384" width="10.83203125" style="2"/>
  </cols>
  <sheetData>
    <row r="1" spans="1:18" ht="34">
      <c r="A1" s="53" t="s">
        <v>383</v>
      </c>
      <c r="B1" s="53" t="s">
        <v>435</v>
      </c>
      <c r="C1" s="54" t="s">
        <v>384</v>
      </c>
      <c r="D1" s="55" t="s">
        <v>385</v>
      </c>
      <c r="E1" s="55" t="s">
        <v>386</v>
      </c>
      <c r="F1" s="55" t="s">
        <v>387</v>
      </c>
      <c r="G1" s="56" t="s">
        <v>388</v>
      </c>
      <c r="H1" s="53" t="s">
        <v>389</v>
      </c>
      <c r="I1" s="53" t="s">
        <v>390</v>
      </c>
      <c r="J1" s="53" t="s">
        <v>391</v>
      </c>
      <c r="K1" s="53" t="s">
        <v>392</v>
      </c>
      <c r="L1" s="53" t="s">
        <v>393</v>
      </c>
      <c r="M1" s="53" t="s">
        <v>394</v>
      </c>
      <c r="N1" s="53" t="s">
        <v>395</v>
      </c>
      <c r="O1" s="53" t="s">
        <v>396</v>
      </c>
      <c r="P1" s="56" t="s">
        <v>397</v>
      </c>
      <c r="Q1" s="53" t="s">
        <v>398</v>
      </c>
      <c r="R1" s="53" t="s">
        <v>438</v>
      </c>
    </row>
    <row r="2" spans="1:18">
      <c r="A2" s="53">
        <v>2</v>
      </c>
      <c r="B2" s="57" t="s">
        <v>297</v>
      </c>
      <c r="C2" s="58" t="s">
        <v>419</v>
      </c>
      <c r="D2" s="55">
        <v>43924</v>
      </c>
      <c r="E2" s="55">
        <v>44010</v>
      </c>
      <c r="F2" s="74">
        <v>44086</v>
      </c>
      <c r="G2" s="56">
        <v>438</v>
      </c>
      <c r="H2" s="53" t="s">
        <v>432</v>
      </c>
      <c r="I2" s="53">
        <v>294</v>
      </c>
      <c r="J2" s="53" t="s">
        <v>430</v>
      </c>
      <c r="K2" s="53">
        <v>144</v>
      </c>
      <c r="L2" s="53" t="s">
        <v>400</v>
      </c>
      <c r="M2" s="53">
        <v>58</v>
      </c>
      <c r="N2" s="53">
        <v>28</v>
      </c>
      <c r="O2" s="57" t="s">
        <v>401</v>
      </c>
      <c r="P2" s="53">
        <v>68.7</v>
      </c>
      <c r="Q2" s="57" t="s">
        <v>404</v>
      </c>
      <c r="R2" s="57" t="s">
        <v>441</v>
      </c>
    </row>
    <row r="3" spans="1:18">
      <c r="A3" s="53">
        <v>5</v>
      </c>
      <c r="B3" s="57" t="s">
        <v>251</v>
      </c>
      <c r="C3" s="53" t="s">
        <v>249</v>
      </c>
      <c r="D3" s="55">
        <v>43965</v>
      </c>
      <c r="E3" s="55">
        <v>44061</v>
      </c>
      <c r="F3" s="74">
        <v>44127</v>
      </c>
      <c r="G3" s="53">
        <v>377</v>
      </c>
      <c r="H3" s="53" t="s">
        <v>432</v>
      </c>
      <c r="I3" s="53">
        <v>249</v>
      </c>
      <c r="J3" s="53" t="s">
        <v>430</v>
      </c>
      <c r="K3" s="53">
        <v>128</v>
      </c>
      <c r="L3" s="53" t="s">
        <v>400</v>
      </c>
      <c r="M3" s="53">
        <v>26</v>
      </c>
      <c r="N3" s="53">
        <v>11</v>
      </c>
      <c r="O3" s="57" t="s">
        <v>403</v>
      </c>
      <c r="P3" s="53">
        <v>26.5</v>
      </c>
      <c r="Q3" s="57" t="s">
        <v>404</v>
      </c>
      <c r="R3" s="57" t="s">
        <v>441</v>
      </c>
    </row>
    <row r="4" spans="1:18">
      <c r="A4" s="53">
        <v>3</v>
      </c>
      <c r="B4" s="57" t="s">
        <v>126</v>
      </c>
      <c r="C4" s="53" t="s">
        <v>420</v>
      </c>
      <c r="D4" s="55">
        <v>43944</v>
      </c>
      <c r="E4" s="55">
        <v>44220</v>
      </c>
      <c r="F4" s="66">
        <v>44238</v>
      </c>
      <c r="G4" s="53">
        <v>4116</v>
      </c>
      <c r="H4" s="53" t="s">
        <v>432</v>
      </c>
      <c r="I4" s="53">
        <v>2022</v>
      </c>
      <c r="J4" s="53" t="s">
        <v>428</v>
      </c>
      <c r="K4" s="53">
        <v>2094</v>
      </c>
      <c r="L4" s="53" t="s">
        <v>400</v>
      </c>
      <c r="M4" s="53">
        <v>621</v>
      </c>
      <c r="N4" s="53">
        <v>729</v>
      </c>
      <c r="O4" s="57" t="s">
        <v>401</v>
      </c>
      <c r="P4" s="53">
        <v>54.6</v>
      </c>
      <c r="Q4" s="57" t="s">
        <v>404</v>
      </c>
      <c r="R4" s="57" t="s">
        <v>441</v>
      </c>
    </row>
    <row r="5" spans="1:18">
      <c r="A5" s="57">
        <v>23</v>
      </c>
      <c r="B5" s="57" t="s">
        <v>444</v>
      </c>
      <c r="C5" s="57" t="s">
        <v>295</v>
      </c>
      <c r="D5" s="59">
        <v>43998</v>
      </c>
      <c r="E5" s="59">
        <v>44263</v>
      </c>
      <c r="F5" s="59">
        <v>44474</v>
      </c>
      <c r="G5" s="57">
        <v>649</v>
      </c>
      <c r="H5" s="57" t="s">
        <v>445</v>
      </c>
      <c r="I5" s="57">
        <v>434</v>
      </c>
      <c r="J5" s="57" t="s">
        <v>446</v>
      </c>
      <c r="K5" s="57">
        <v>215</v>
      </c>
      <c r="L5" s="53" t="s">
        <v>400</v>
      </c>
      <c r="M5" s="57">
        <v>78</v>
      </c>
      <c r="N5" s="57">
        <v>42</v>
      </c>
      <c r="O5" s="57" t="s">
        <v>401</v>
      </c>
      <c r="P5" s="57">
        <f>ROUND((94+45+69+39+15+40)/649*100,1)</f>
        <v>46.5</v>
      </c>
      <c r="Q5" s="57" t="s">
        <v>404</v>
      </c>
      <c r="R5" s="57" t="s">
        <v>441</v>
      </c>
    </row>
    <row r="15" spans="1:18" ht="21">
      <c r="F15" s="5"/>
      <c r="G15" s="52"/>
      <c r="H15" s="52"/>
    </row>
    <row r="16" spans="1:18" ht="21">
      <c r="F16" s="52"/>
      <c r="G16" s="74"/>
      <c r="H16" s="52"/>
    </row>
    <row r="17" spans="6:8" ht="21">
      <c r="F17" s="52"/>
      <c r="G17" s="52"/>
      <c r="H17" s="52"/>
    </row>
    <row r="18" spans="6:8" ht="21">
      <c r="F18" s="52"/>
      <c r="G18" s="52"/>
      <c r="H18" s="52"/>
    </row>
    <row r="19" spans="6:8" ht="21">
      <c r="F19" s="52"/>
      <c r="G19" s="52"/>
      <c r="H19" s="52"/>
    </row>
    <row r="20" spans="6:8" ht="21">
      <c r="F20" s="52"/>
      <c r="G20" s="52"/>
      <c r="H20" s="5"/>
    </row>
  </sheetData>
  <sortState xmlns:xlrd2="http://schemas.microsoft.com/office/spreadsheetml/2017/richdata2" ref="A2:R20">
    <sortCondition ref="F1:F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799C-FD07-254E-AC1E-7AC2F2F55E54}">
  <dimension ref="A1:G28"/>
  <sheetViews>
    <sheetView zoomScale="125" workbookViewId="0">
      <selection activeCell="A25" sqref="A25"/>
    </sheetView>
  </sheetViews>
  <sheetFormatPr baseColWidth="10" defaultRowHeight="17" customHeight="1"/>
  <cols>
    <col min="1" max="1" width="26.1640625" customWidth="1"/>
    <col min="2" max="2" width="17.83203125" customWidth="1"/>
    <col min="3" max="3" width="14.5" customWidth="1"/>
    <col min="4" max="4" width="12" bestFit="1" customWidth="1"/>
    <col min="6" max="6" width="13" customWidth="1"/>
    <col min="7" max="7" width="12.33203125" customWidth="1"/>
  </cols>
  <sheetData>
    <row r="1" spans="1:7" ht="34" customHeight="1">
      <c r="A1" s="46" t="s">
        <v>210</v>
      </c>
      <c r="B1" s="46" t="s">
        <v>357</v>
      </c>
      <c r="C1" s="46" t="s">
        <v>358</v>
      </c>
      <c r="D1" s="46" t="s">
        <v>360</v>
      </c>
      <c r="E1" s="46" t="s">
        <v>361</v>
      </c>
      <c r="F1" s="46" t="s">
        <v>362</v>
      </c>
      <c r="G1" s="46" t="s">
        <v>359</v>
      </c>
    </row>
    <row r="2" spans="1:7" ht="17" customHeight="1">
      <c r="A2" s="47" t="s">
        <v>226</v>
      </c>
      <c r="B2" s="47">
        <v>60</v>
      </c>
      <c r="C2" s="47">
        <v>30</v>
      </c>
      <c r="D2">
        <f>B2/100*C2</f>
        <v>18</v>
      </c>
      <c r="E2">
        <f>C2</f>
        <v>30</v>
      </c>
      <c r="F2">
        <f>D2</f>
        <v>18</v>
      </c>
      <c r="G2">
        <f>F2/E2</f>
        <v>0.6</v>
      </c>
    </row>
    <row r="3" spans="1:7" ht="17" customHeight="1">
      <c r="A3" s="47" t="s">
        <v>232</v>
      </c>
      <c r="B3" s="47">
        <v>100</v>
      </c>
      <c r="C3" s="47">
        <v>131</v>
      </c>
      <c r="D3">
        <f t="shared" ref="D3:D23" si="0">B3/100*C3</f>
        <v>131</v>
      </c>
      <c r="E3">
        <f>C3+E2</f>
        <v>161</v>
      </c>
      <c r="F3">
        <f>D3+F2</f>
        <v>149</v>
      </c>
      <c r="G3">
        <f t="shared" ref="G3:G23" si="1">F3/E3</f>
        <v>0.92546583850931674</v>
      </c>
    </row>
    <row r="4" spans="1:7" ht="17" customHeight="1">
      <c r="A4" s="47" t="s">
        <v>238</v>
      </c>
      <c r="B4" s="47">
        <v>100</v>
      </c>
      <c r="C4" s="47">
        <v>126</v>
      </c>
      <c r="D4">
        <f t="shared" si="0"/>
        <v>126</v>
      </c>
      <c r="E4">
        <f>C4+E3</f>
        <v>287</v>
      </c>
      <c r="F4">
        <f>D4+F3</f>
        <v>275</v>
      </c>
      <c r="G4">
        <f t="shared" si="1"/>
        <v>0.95818815331010454</v>
      </c>
    </row>
    <row r="5" spans="1:7" ht="17" customHeight="1">
      <c r="A5" s="47" t="s">
        <v>244</v>
      </c>
      <c r="B5" s="47"/>
      <c r="C5" s="47"/>
      <c r="D5">
        <f t="shared" si="0"/>
        <v>0</v>
      </c>
      <c r="E5">
        <f t="shared" ref="E5:E23" si="2">C5+E4</f>
        <v>287</v>
      </c>
      <c r="F5">
        <f t="shared" ref="F5:F23" si="3">D5+F4</f>
        <v>275</v>
      </c>
      <c r="G5">
        <f t="shared" si="1"/>
        <v>0.95818815331010454</v>
      </c>
    </row>
    <row r="6" spans="1:7" ht="17" customHeight="1">
      <c r="A6" s="47" t="s">
        <v>249</v>
      </c>
      <c r="B6" s="47"/>
      <c r="C6" s="47"/>
      <c r="D6">
        <f t="shared" si="0"/>
        <v>0</v>
      </c>
      <c r="E6">
        <f t="shared" si="2"/>
        <v>287</v>
      </c>
      <c r="F6">
        <f t="shared" si="3"/>
        <v>275</v>
      </c>
      <c r="G6">
        <f t="shared" si="1"/>
        <v>0.95818815331010454</v>
      </c>
    </row>
    <row r="7" spans="1:7" ht="17" customHeight="1">
      <c r="A7" s="47" t="s">
        <v>253</v>
      </c>
      <c r="B7" s="47"/>
      <c r="C7" s="47"/>
      <c r="D7">
        <f t="shared" si="0"/>
        <v>0</v>
      </c>
      <c r="E7">
        <f t="shared" si="2"/>
        <v>287</v>
      </c>
      <c r="F7">
        <f t="shared" si="3"/>
        <v>275</v>
      </c>
      <c r="G7">
        <f t="shared" si="1"/>
        <v>0.95818815331010454</v>
      </c>
    </row>
    <row r="8" spans="1:7" ht="36" customHeight="1">
      <c r="A8" s="47" t="s">
        <v>258</v>
      </c>
      <c r="B8" s="47">
        <v>100</v>
      </c>
      <c r="C8" s="47">
        <v>755</v>
      </c>
      <c r="D8">
        <f t="shared" si="0"/>
        <v>755</v>
      </c>
      <c r="E8">
        <f t="shared" si="2"/>
        <v>1042</v>
      </c>
      <c r="F8">
        <f t="shared" si="3"/>
        <v>1030</v>
      </c>
      <c r="G8">
        <f t="shared" si="1"/>
        <v>0.98848368522072938</v>
      </c>
    </row>
    <row r="9" spans="1:7" ht="35" customHeight="1">
      <c r="A9" s="47" t="s">
        <v>263</v>
      </c>
      <c r="B9" s="47">
        <v>100</v>
      </c>
      <c r="C9" s="47">
        <v>450</v>
      </c>
      <c r="D9">
        <f t="shared" si="0"/>
        <v>450</v>
      </c>
      <c r="E9">
        <f t="shared" si="2"/>
        <v>1492</v>
      </c>
      <c r="F9">
        <f t="shared" si="3"/>
        <v>1480</v>
      </c>
      <c r="G9">
        <f t="shared" si="1"/>
        <v>0.99195710455764075</v>
      </c>
    </row>
    <row r="10" spans="1:7" ht="17" customHeight="1">
      <c r="A10" s="47" t="s">
        <v>265</v>
      </c>
      <c r="B10" s="47"/>
      <c r="C10" s="47"/>
      <c r="D10">
        <f t="shared" si="0"/>
        <v>0</v>
      </c>
      <c r="E10">
        <f t="shared" si="2"/>
        <v>1492</v>
      </c>
      <c r="F10">
        <f t="shared" si="3"/>
        <v>1480</v>
      </c>
      <c r="G10">
        <f t="shared" si="1"/>
        <v>0.99195710455764075</v>
      </c>
    </row>
    <row r="11" spans="1:7" ht="17" customHeight="1">
      <c r="A11" s="47" t="s">
        <v>270</v>
      </c>
      <c r="B11" s="47">
        <v>26</v>
      </c>
      <c r="C11" s="47">
        <v>257</v>
      </c>
      <c r="D11">
        <f t="shared" si="0"/>
        <v>66.820000000000007</v>
      </c>
      <c r="E11">
        <f t="shared" si="2"/>
        <v>1749</v>
      </c>
      <c r="F11">
        <f t="shared" si="3"/>
        <v>1546.82</v>
      </c>
      <c r="G11">
        <f t="shared" si="1"/>
        <v>0.88440251572327044</v>
      </c>
    </row>
    <row r="12" spans="1:7" ht="17" customHeight="1">
      <c r="A12" s="47" t="s">
        <v>277</v>
      </c>
      <c r="B12" s="47">
        <v>26</v>
      </c>
      <c r="C12" s="47">
        <v>243</v>
      </c>
      <c r="D12">
        <f t="shared" si="0"/>
        <v>63.18</v>
      </c>
      <c r="E12">
        <f t="shared" si="2"/>
        <v>1992</v>
      </c>
      <c r="F12">
        <f t="shared" si="3"/>
        <v>1610</v>
      </c>
      <c r="G12">
        <f t="shared" si="1"/>
        <v>0.80823293172690758</v>
      </c>
    </row>
    <row r="13" spans="1:7" ht="17" customHeight="1">
      <c r="A13" s="47" t="s">
        <v>279</v>
      </c>
      <c r="B13" s="47">
        <v>28.1</v>
      </c>
      <c r="C13" s="47">
        <v>32</v>
      </c>
      <c r="D13">
        <f t="shared" si="0"/>
        <v>8.9920000000000009</v>
      </c>
      <c r="E13">
        <f t="shared" si="2"/>
        <v>2024</v>
      </c>
      <c r="F13">
        <f t="shared" si="3"/>
        <v>1618.992</v>
      </c>
      <c r="G13">
        <f t="shared" si="1"/>
        <v>0.79989723320158101</v>
      </c>
    </row>
    <row r="14" spans="1:7" ht="17" customHeight="1">
      <c r="A14" s="48" t="s">
        <v>284</v>
      </c>
      <c r="B14" s="47">
        <v>50</v>
      </c>
      <c r="C14" s="47">
        <v>40</v>
      </c>
      <c r="D14">
        <f t="shared" si="0"/>
        <v>20</v>
      </c>
      <c r="E14">
        <f t="shared" si="2"/>
        <v>2064</v>
      </c>
      <c r="F14">
        <f t="shared" si="3"/>
        <v>1638.992</v>
      </c>
      <c r="G14">
        <f t="shared" si="1"/>
        <v>0.79408527131782947</v>
      </c>
    </row>
    <row r="15" spans="1:7" ht="17" customHeight="1">
      <c r="A15" s="47" t="s">
        <v>290</v>
      </c>
      <c r="B15" s="47">
        <v>100</v>
      </c>
      <c r="C15" s="47">
        <v>793</v>
      </c>
      <c r="D15">
        <f t="shared" si="0"/>
        <v>793</v>
      </c>
      <c r="E15">
        <f t="shared" si="2"/>
        <v>2857</v>
      </c>
      <c r="F15">
        <f t="shared" si="3"/>
        <v>2431.9920000000002</v>
      </c>
      <c r="G15">
        <f t="shared" si="1"/>
        <v>0.85123976198809947</v>
      </c>
    </row>
    <row r="16" spans="1:7" ht="17" customHeight="1">
      <c r="A16" s="47" t="s">
        <v>295</v>
      </c>
      <c r="B16" s="47"/>
      <c r="C16" s="47"/>
      <c r="D16">
        <f t="shared" si="0"/>
        <v>0</v>
      </c>
      <c r="E16">
        <f t="shared" si="2"/>
        <v>2857</v>
      </c>
      <c r="F16">
        <f t="shared" si="3"/>
        <v>2431.9920000000002</v>
      </c>
      <c r="G16">
        <f t="shared" si="1"/>
        <v>0.85123976198809947</v>
      </c>
    </row>
    <row r="17" spans="1:7" ht="17" customHeight="1">
      <c r="A17" s="47" t="s">
        <v>299</v>
      </c>
      <c r="B17" s="47">
        <v>54.6</v>
      </c>
      <c r="C17" s="47">
        <v>4116</v>
      </c>
      <c r="D17">
        <f t="shared" si="0"/>
        <v>2247.3360000000002</v>
      </c>
      <c r="E17">
        <f t="shared" si="2"/>
        <v>6973</v>
      </c>
      <c r="F17">
        <f t="shared" si="3"/>
        <v>4679.3280000000004</v>
      </c>
      <c r="G17">
        <f t="shared" si="1"/>
        <v>0.67106381758210243</v>
      </c>
    </row>
    <row r="18" spans="1:7" ht="17" customHeight="1">
      <c r="A18" s="47" t="s">
        <v>303</v>
      </c>
      <c r="B18" s="47">
        <v>72.400000000000006</v>
      </c>
      <c r="C18" s="47">
        <v>270</v>
      </c>
      <c r="D18">
        <f t="shared" si="0"/>
        <v>195.48000000000002</v>
      </c>
      <c r="E18">
        <f t="shared" si="2"/>
        <v>7243</v>
      </c>
      <c r="F18">
        <f t="shared" si="3"/>
        <v>4874.8080000000009</v>
      </c>
      <c r="G18">
        <f t="shared" si="1"/>
        <v>0.67303713930691711</v>
      </c>
    </row>
    <row r="19" spans="1:7" ht="17" customHeight="1">
      <c r="A19" s="47" t="s">
        <v>306</v>
      </c>
      <c r="B19" s="47">
        <v>72.400000000000006</v>
      </c>
      <c r="C19" s="47">
        <v>277</v>
      </c>
      <c r="D19">
        <f t="shared" si="0"/>
        <v>200.54800000000003</v>
      </c>
      <c r="E19">
        <f t="shared" si="2"/>
        <v>7520</v>
      </c>
      <c r="F19">
        <f t="shared" si="3"/>
        <v>5075.3560000000007</v>
      </c>
      <c r="G19">
        <f t="shared" si="1"/>
        <v>0.67491436170212771</v>
      </c>
    </row>
    <row r="20" spans="1:7" ht="17" customHeight="1">
      <c r="A20" s="47" t="s">
        <v>307</v>
      </c>
      <c r="B20" s="47">
        <v>98.5</v>
      </c>
      <c r="C20" s="47">
        <v>206</v>
      </c>
      <c r="D20">
        <f t="shared" si="0"/>
        <v>202.91</v>
      </c>
      <c r="E20">
        <f t="shared" si="2"/>
        <v>7726</v>
      </c>
      <c r="F20">
        <f t="shared" si="3"/>
        <v>5278.2660000000005</v>
      </c>
      <c r="G20">
        <f t="shared" si="1"/>
        <v>0.68318224178099929</v>
      </c>
    </row>
    <row r="21" spans="1:7" ht="17" customHeight="1">
      <c r="A21" s="47" t="s">
        <v>313</v>
      </c>
      <c r="B21" s="47"/>
      <c r="C21" s="47"/>
      <c r="D21">
        <f t="shared" si="0"/>
        <v>0</v>
      </c>
      <c r="E21">
        <f t="shared" si="2"/>
        <v>7726</v>
      </c>
      <c r="F21">
        <f t="shared" si="3"/>
        <v>5278.2660000000005</v>
      </c>
      <c r="G21">
        <f t="shared" si="1"/>
        <v>0.68318224178099929</v>
      </c>
    </row>
    <row r="22" spans="1:7" ht="17" customHeight="1">
      <c r="A22" s="47" t="s">
        <v>313</v>
      </c>
      <c r="B22" s="47"/>
      <c r="C22" s="47"/>
      <c r="D22">
        <f t="shared" si="0"/>
        <v>0</v>
      </c>
      <c r="E22">
        <f t="shared" si="2"/>
        <v>7726</v>
      </c>
      <c r="F22">
        <f t="shared" si="3"/>
        <v>5278.2660000000005</v>
      </c>
      <c r="G22">
        <f t="shared" si="1"/>
        <v>0.68318224178099929</v>
      </c>
    </row>
    <row r="23" spans="1:7" ht="17" customHeight="1">
      <c r="A23" s="47" t="s">
        <v>321</v>
      </c>
      <c r="B23" s="47"/>
      <c r="C23" s="47"/>
      <c r="D23">
        <f t="shared" si="0"/>
        <v>0</v>
      </c>
      <c r="E23">
        <f t="shared" si="2"/>
        <v>7726</v>
      </c>
      <c r="F23">
        <f t="shared" si="3"/>
        <v>5278.2660000000005</v>
      </c>
      <c r="G23">
        <f t="shared" si="1"/>
        <v>0.68318224178099929</v>
      </c>
    </row>
    <row r="24" spans="1:7" ht="17" customHeight="1">
      <c r="A24" s="21"/>
    </row>
    <row r="25" spans="1:7" ht="17" customHeight="1">
      <c r="A25" s="21" t="s">
        <v>363</v>
      </c>
    </row>
    <row r="26" spans="1:7" ht="17" customHeight="1">
      <c r="A26" s="21" t="s">
        <v>364</v>
      </c>
    </row>
    <row r="27" spans="1:7" ht="17" customHeight="1">
      <c r="A27" s="21"/>
    </row>
    <row r="28" spans="1:7" ht="17" customHeight="1">
      <c r="A28" s="22"/>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cohort</vt:lpstr>
      <vt:lpstr>Rx</vt:lpstr>
      <vt:lpstr>transition probabilities</vt:lpstr>
      <vt:lpstr>conversion USD</vt:lpstr>
      <vt:lpstr>policy_notes</vt:lpstr>
      <vt:lpstr>cumulative-ma</vt:lpstr>
      <vt:lpstr>MA_input</vt:lpstr>
      <vt:lpstr>FDA_MA_input</vt:lpstr>
      <vt:lpstr>severity</vt:lpstr>
      <vt:lpstr>ma-sr-paper-overview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Stijntje Dijk</cp:lastModifiedBy>
  <dcterms:created xsi:type="dcterms:W3CDTF">2020-05-28T13:39:13Z</dcterms:created>
  <dcterms:modified xsi:type="dcterms:W3CDTF">2023-07-11T13:21:12Z</dcterms:modified>
</cp:coreProperties>
</file>