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elinekrijkamp/Dropbox/Emerging Therapies for COVID-19 - Decision model &amp; VOI/Github/R code/data/"/>
    </mc:Choice>
  </mc:AlternateContent>
  <xr:revisionPtr revIDLastSave="0" documentId="13_ncr:1_{0E47195E-62A8-FE45-BF56-BA8CA586D1F0}" xr6:coauthVersionLast="36" xr6:coauthVersionMax="45" xr10:uidLastSave="{00000000-0000-0000-0000-000000000000}"/>
  <bookViews>
    <workbookView xWindow="1060" yWindow="460" windowWidth="20400" windowHeight="14880" activeTab="1" xr2:uid="{00000000-000D-0000-FFFF-FFFF00000000}"/>
  </bookViews>
  <sheets>
    <sheet name="Rx" sheetId="1" r:id="rId1"/>
    <sheet name="cohort" sheetId="2" r:id="rId2"/>
    <sheet name="transition probabilities" sheetId="7" r:id="rId3"/>
    <sheet name="conversion USD" sheetId="3" r:id="rId4"/>
  </sheets>
  <calcPr calcId="181029"/>
</workbook>
</file>

<file path=xl/calcChain.xml><?xml version="1.0" encoding="utf-8"?>
<calcChain xmlns="http://schemas.openxmlformats.org/spreadsheetml/2006/main">
  <c r="H3" i="1" l="1"/>
  <c r="G3" i="1"/>
  <c r="H2" i="1"/>
  <c r="G2" i="1"/>
  <c r="F13" i="1"/>
  <c r="F12" i="1"/>
  <c r="H94" i="1"/>
  <c r="G94" i="1"/>
  <c r="H93" i="1"/>
  <c r="G93" i="1"/>
  <c r="H92" i="1"/>
  <c r="F92" i="1"/>
  <c r="H85" i="1"/>
  <c r="G85" i="1"/>
  <c r="F85" i="1"/>
  <c r="H84" i="1"/>
  <c r="G84" i="1"/>
  <c r="F84" i="1"/>
  <c r="H83" i="1"/>
  <c r="G83" i="1"/>
  <c r="F83" i="1"/>
  <c r="H82" i="1"/>
  <c r="G82" i="1"/>
  <c r="F82" i="1"/>
  <c r="H72" i="1"/>
  <c r="G72" i="1"/>
  <c r="F72" i="1"/>
  <c r="H71" i="1"/>
  <c r="G71" i="1"/>
  <c r="F71" i="1"/>
  <c r="H70" i="1"/>
  <c r="F70" i="1"/>
  <c r="H68" i="1"/>
  <c r="F68" i="1"/>
  <c r="H60" i="1"/>
  <c r="G60" i="1"/>
  <c r="H59" i="1"/>
  <c r="G59" i="1"/>
  <c r="H57" i="1"/>
  <c r="F57" i="1"/>
  <c r="H56" i="1"/>
  <c r="G56" i="1"/>
  <c r="H55" i="1"/>
  <c r="G55" i="1"/>
  <c r="F54" i="1"/>
  <c r="H49" i="1"/>
  <c r="G49" i="1"/>
  <c r="F49" i="1"/>
  <c r="H48" i="1"/>
  <c r="G48" i="1"/>
  <c r="F48" i="1"/>
  <c r="H46" i="1"/>
  <c r="F46" i="1"/>
  <c r="H45" i="1"/>
  <c r="G45" i="1"/>
  <c r="H44" i="1"/>
  <c r="G44" i="1"/>
  <c r="F43" i="1"/>
  <c r="H39" i="1"/>
  <c r="G39" i="1"/>
  <c r="F39" i="1"/>
  <c r="G38" i="1"/>
  <c r="F38" i="1"/>
  <c r="G37" i="1"/>
  <c r="F37" i="1"/>
  <c r="F33" i="1"/>
  <c r="H28" i="1"/>
  <c r="G28" i="1"/>
  <c r="H27" i="1"/>
  <c r="G27" i="1"/>
  <c r="H26" i="1"/>
  <c r="F26" i="1"/>
  <c r="H24" i="1"/>
  <c r="G24" i="1"/>
  <c r="H23" i="1"/>
  <c r="G23" i="1"/>
  <c r="F18" i="1"/>
  <c r="H13" i="1"/>
  <c r="G13" i="1"/>
  <c r="H12" i="1"/>
  <c r="G12" i="1"/>
  <c r="F3" i="1"/>
  <c r="F2" i="1"/>
  <c r="G20" i="2" l="1"/>
  <c r="H20" i="2"/>
  <c r="H14" i="2" l="1"/>
  <c r="H13" i="2"/>
  <c r="H12" i="2"/>
  <c r="H11" i="2"/>
  <c r="B25" i="7"/>
  <c r="G22" i="7"/>
  <c r="D22" i="7"/>
  <c r="B19" i="7"/>
  <c r="G16" i="7"/>
  <c r="D16" i="7"/>
  <c r="B7" i="7"/>
  <c r="B13" i="7"/>
  <c r="G10" i="7"/>
  <c r="D10" i="7"/>
  <c r="G4" i="7"/>
  <c r="D4" i="7"/>
  <c r="D7" i="7" l="1"/>
  <c r="D25" i="7"/>
  <c r="G25" i="7"/>
  <c r="G19" i="7"/>
  <c r="D19" i="7"/>
  <c r="D13" i="7"/>
  <c r="G13" i="7"/>
  <c r="G7" i="7"/>
  <c r="F26" i="2" l="1"/>
  <c r="G6" i="2" l="1"/>
  <c r="H6" i="2"/>
  <c r="H5" i="2"/>
  <c r="G5" i="2"/>
  <c r="H8" i="2" l="1"/>
  <c r="G8" i="2"/>
  <c r="H7" i="2"/>
  <c r="G7" i="2"/>
  <c r="F9" i="2" l="1"/>
  <c r="G9" i="2"/>
  <c r="H10" i="2"/>
  <c r="F10" i="2"/>
  <c r="F16" i="2" l="1"/>
  <c r="H16" i="2"/>
  <c r="H15" i="2" l="1"/>
  <c r="F15" i="2" s="1"/>
</calcChain>
</file>

<file path=xl/sharedStrings.xml><?xml version="1.0" encoding="utf-8"?>
<sst xmlns="http://schemas.openxmlformats.org/spreadsheetml/2006/main" count="1019" uniqueCount="240">
  <si>
    <t>Treatment</t>
  </si>
  <si>
    <t>Param</t>
  </si>
  <si>
    <t>source</t>
  </si>
  <si>
    <t>Distribution</t>
  </si>
  <si>
    <t xml:space="preserve">https://www.kff.org/health-costs/state-indicator/expenses-per-inpatient-day/?currentTimeframe=0&amp;sortModel=%7B%22colId%22:%22Location%22,%22sort%22:%22asc%22%7D </t>
  </si>
  <si>
    <t>c_D</t>
  </si>
  <si>
    <t>c_RCT_fixed</t>
  </si>
  <si>
    <t>c_RCT_ppo</t>
  </si>
  <si>
    <t>Med</t>
  </si>
  <si>
    <t>Unit</t>
  </si>
  <si>
    <t>Beta</t>
  </si>
  <si>
    <t>Lognormal</t>
  </si>
  <si>
    <t>Uniform</t>
  </si>
  <si>
    <t>years</t>
  </si>
  <si>
    <t>Lo_alpha</t>
  </si>
  <si>
    <t>Hi_beta</t>
  </si>
  <si>
    <t>Triangular</t>
  </si>
  <si>
    <t>Unit_amount</t>
  </si>
  <si>
    <t>utility</t>
  </si>
  <si>
    <t>u_H</t>
  </si>
  <si>
    <t>NA</t>
  </si>
  <si>
    <t>u_D</t>
  </si>
  <si>
    <t>probability</t>
  </si>
  <si>
    <t>p_vent</t>
  </si>
  <si>
    <t>https://www.bmj.com/content/bmj/369/bmj.m1985.full.pdf</t>
  </si>
  <si>
    <t>number</t>
  </si>
  <si>
    <t>c_recovery</t>
  </si>
  <si>
    <t>c_I_vent</t>
  </si>
  <si>
    <t>c_I_noVent</t>
  </si>
  <si>
    <t>72.0</t>
  </si>
  <si>
    <t xml:space="preserve">No cost associated with dying </t>
  </si>
  <si>
    <t>dollars</t>
  </si>
  <si>
    <t>https://www.gilead.com/news-and-press/press-room/press-releases/2020/6/an-open-letter-from-daniel-oday-chairman--ceo-gilead-sciences</t>
  </si>
  <si>
    <t>description</t>
  </si>
  <si>
    <t>c_Healthcare</t>
  </si>
  <si>
    <t>Assume 20% uniform distribution</t>
  </si>
  <si>
    <t>Mean age of the population upon which transition probabilities are based. Based on a Multicenter observational cohort in the UK.</t>
  </si>
  <si>
    <t>Empirical study calculating mean costs after stabilization, estimated from 253 US hospitals with 51009 patients, 2005</t>
  </si>
  <si>
    <t>28 days</t>
  </si>
  <si>
    <t>Costs estimated based on mean expected recovery needs (Dutch National Health Authority: 30 sessions physiotherapy, 5 hours occupational therapy, 4 hours dietician) and US estimated prices (Physical therapy $75/h, Occupational therapy $225/h, Dietician $70/h)</t>
  </si>
  <si>
    <t>https://www.zorginstituutnederland.nl/actueel/nieuws/2020/07/13/zorginstituut-adviseert-tijdelijk-ruimere-vergoeding-paramedische-herstelzorg-voor-patienten-met-ernstige-covid-19</t>
  </si>
  <si>
    <t>https://journals.lww.com/ccmjournal/Abstract/2005/06000/Daily_cost_of_an_intensive_care_unit_day__The.13.aspx</t>
  </si>
  <si>
    <t>https://meps.ahrq.gov/mepstrends/hc_use/</t>
  </si>
  <si>
    <t>Mean healthcare expenditure per person per year for people aged 65+. Based on the US Medical Expenditure Panel Survey 1996-2017</t>
  </si>
  <si>
    <t>p_Private_insurance</t>
  </si>
  <si>
    <t>https://www.census.gov/library/publications/2019/demo/p60-267.html</t>
  </si>
  <si>
    <t>Probability someone in the ICU requires mechanical ventilation. Based on a Multicenter observational cohort study from the UK.</t>
  </si>
  <si>
    <t>Proportion of population that is male, in study upon which transition probabilities are based. Based on a Multicenter observational cohort study.</t>
  </si>
  <si>
    <t xml:space="preserve">US government price of Remdesivir per vial as announced by Gilead. </t>
  </si>
  <si>
    <t xml:space="preserve">US private insurance price of Remdesivir per vial as announced by Gilead. </t>
  </si>
  <si>
    <t>Mean expected number of required vials, estimated as total used over period of 6 days</t>
  </si>
  <si>
    <t>https://journals.sagepub.com/doi/abs/10.1177/1740774520907609</t>
  </si>
  <si>
    <t>https://www.nejm.org/doi/full/10.1056/NEJMoa2021436</t>
  </si>
  <si>
    <t>https://www.nejm.org/doi/full/10.1056/NEJMoa2007764</t>
  </si>
  <si>
    <t>Normal</t>
  </si>
  <si>
    <t>https://www.drugs.com/price-guide/dexamethasone</t>
  </si>
  <si>
    <t>Price of Dexamethasone per dosage. Calculated as prices from website as dosages of 4 mg * 1,5 to estimate price of dosage for COVID-treatment</t>
  </si>
  <si>
    <t>u_R_H</t>
  </si>
  <si>
    <t>https://ccforum.biomedcentral.com/articles/10.1186/cc8848</t>
  </si>
  <si>
    <t>n_age</t>
  </si>
  <si>
    <t>p_men</t>
  </si>
  <si>
    <t>u_R_IC</t>
  </si>
  <si>
    <t>u_I</t>
  </si>
  <si>
    <t>All</t>
  </si>
  <si>
    <t>2020USD, per day</t>
  </si>
  <si>
    <t>2020USD, per year</t>
  </si>
  <si>
    <t>2020USD, per person, per 6 months</t>
  </si>
  <si>
    <t>Conversion to 2020 USD</t>
  </si>
  <si>
    <t xml:space="preserve">https://www.usinflationcalculator.com </t>
  </si>
  <si>
    <t>c_Hospital</t>
  </si>
  <si>
    <t>2020USD</t>
  </si>
  <si>
    <t>28-73 days</t>
  </si>
  <si>
    <t>Number of days follow up on which the treatment is based</t>
  </si>
  <si>
    <t>p_H</t>
  </si>
  <si>
    <t>p_IC</t>
  </si>
  <si>
    <t>Probability to be admitted only to the hospital ward, but not the ICU. Based on a multicenter observational cohort from the UK</t>
  </si>
  <si>
    <t>Probability to be admitted to the ICU. Based on a multicenter observational cohort from the UK</t>
  </si>
  <si>
    <t>Mean length of stay in Remdesivir group vs usual care group. Based on a Randomized controlled trial with 1063 participants. Used for utility and cost calculations.</t>
  </si>
  <si>
    <t>number of days</t>
  </si>
  <si>
    <t xml:space="preserve">Median length of stay  if treated (no IQR provided). </t>
  </si>
  <si>
    <t xml:space="preserve">Median length of stay if receiving care as usual (no IQR provided). </t>
  </si>
  <si>
    <t>per dose</t>
  </si>
  <si>
    <t>Used beta_param function Dampack to calculate shape1 and shape 2</t>
  </si>
  <si>
    <t>e_H</t>
  </si>
  <si>
    <t>e_D</t>
  </si>
  <si>
    <t>effect</t>
  </si>
  <si>
    <t>p_R_IC_D</t>
  </si>
  <si>
    <t>p_R_H_D</t>
  </si>
  <si>
    <t>e_R_H</t>
  </si>
  <si>
    <t>e_R_IC</t>
  </si>
  <si>
    <t>wtp</t>
  </si>
  <si>
    <t>https://pdfs.semanticscholar.org/ca63/720f6a0148d0b4d869831823d2fc5c98de62.pdf</t>
  </si>
  <si>
    <t>n_H_year</t>
  </si>
  <si>
    <t>Hospital adjusted expenses per inpatient day in the US, with mean cost as mean, and most and least expensive states as minimum and maximum</t>
  </si>
  <si>
    <t>No costs are assigned to the dead state</t>
  </si>
  <si>
    <t>Utility of being dead is 0</t>
  </si>
  <si>
    <t>Utility of being in the hospital ward</t>
  </si>
  <si>
    <t>Utility after recovery from the ICU, assessed using the EuroQOL-5D tool. Based on a prospective study on utility 5 years post intensive care treatment. Mean = 0.677 and SD = 0.301. Our assumption is that COVID-19 post-ICU patients experience the same quality of life as the general post-ICU population</t>
  </si>
  <si>
    <t>https://papers.ssrn.com/sol3/papers.cfm?abstract_id=3586694</t>
  </si>
  <si>
    <t xml:space="preserve">Utility of being in the ICU; Based EQ-5D Index Scores collected from the U.S. Medical Expenditure Panel Survey (MEPS). </t>
  </si>
  <si>
    <t>https://www.ncbi.nlm.nih.gov/pmc/articles/PMC2634296/</t>
  </si>
  <si>
    <t>Utility of having recovered from the hospital ward. Reverts back to the utility of the general population. We assumed the U.S. population average was 0.88 QALYs</t>
  </si>
  <si>
    <t>t_Die_mj</t>
  </si>
  <si>
    <t>days</t>
  </si>
  <si>
    <t>Number of days in which the majority of patients dies, based on the cohort study by Docherty et al.</t>
  </si>
  <si>
    <t>p_Die_1</t>
  </si>
  <si>
    <t>p_Die_2</t>
  </si>
  <si>
    <t>proportion</t>
  </si>
  <si>
    <t>Proportion of patients that dies in the first timeperiod (majority), based on the cohort study</t>
  </si>
  <si>
    <t>p_R_IC_D_vent</t>
  </si>
  <si>
    <t>p_R_IC_D_novent</t>
  </si>
  <si>
    <t>LOS_Trt</t>
  </si>
  <si>
    <t>LOS_noTrt</t>
  </si>
  <si>
    <t>n_Trt</t>
  </si>
  <si>
    <t>c_Trt_public</t>
  </si>
  <si>
    <t>c_Trt_private</t>
  </si>
  <si>
    <t>n_days_timespan2</t>
  </si>
  <si>
    <t>n_days_timespan1</t>
  </si>
  <si>
    <t>hr_D_Trt_timespan1</t>
  </si>
  <si>
    <t>hr_D_Trt_timespan2</t>
  </si>
  <si>
    <t>hr_D_Trt_timespan1_novent</t>
  </si>
  <si>
    <t>hr_D_Trt_timespan2_novent</t>
  </si>
  <si>
    <t>hr_D_Trt_timespan1_vent</t>
  </si>
  <si>
    <t>hr_D_Trt_timespan2_vent</t>
  </si>
  <si>
    <t>https://www.nejm.org/doi/full/10.1056/NEJMoa2022926?query=RP</t>
  </si>
  <si>
    <t>https://www.drugs.com/price-guide/Lopinavir-Ritonavir</t>
  </si>
  <si>
    <t>https://www.drugs.com/price-guide/hydroxychloroquine</t>
  </si>
  <si>
    <t>Price Hydroxychloroquine per dosage.  Estimate price of dosage for COVID-treatment</t>
  </si>
  <si>
    <t>In the hydroxychloroquine group, patients received hydroxychloroquine sulfate (in the form of a 200-mg tablet containing a 155-mg base equivalent) in a loading dose of four tablets (total dose, 800 mg) at baseline and at 6 hours, which was followed by two tablets (total dose, 400 mg) starting at 12 hours after the initial dose and then every 12 hours for the next 9 days or until discharge. Total dose: 4+4+4*number of days. The median duration of treatment was 6 days (interquartile range, 3 to 10 days); dosages: 4+4+4*6 ( 4+4+4*3 - 4+4+4*10)</t>
  </si>
  <si>
    <t>https://www.bmj.com/content/370/bmj.m3379</t>
  </si>
  <si>
    <t>28 - 73 days</t>
  </si>
  <si>
    <t>https://www.drugs.com/price-guide/rebif</t>
  </si>
  <si>
    <t>8749 USD for Refib, 44mcg/0.5mL, price for 6 mL, divide by 12 for 1 dosage</t>
  </si>
  <si>
    <t>Three doses over six days of 44µg subcutaneous Interferon-ß1a;</t>
  </si>
  <si>
    <t>https://www.bmj.com/content/bmj/suppl/2020/05/22/bmj.m1985.DC1/doca057402.ww1.pdf</t>
  </si>
  <si>
    <t>No length of stay provided, only that there is no significant difference between treat and no treat. Mean hospital stay from cohort used, figure E4 supplement</t>
  </si>
  <si>
    <t>No length of stay provided, only that there is no significant difference between treat and no treat. Mean hospital stay from cohort used, Figure E4 supplement</t>
  </si>
  <si>
    <t>Remdesivir_2020-10-15</t>
  </si>
  <si>
    <t>p_IC_notrt</t>
  </si>
  <si>
    <t>HR</t>
  </si>
  <si>
    <t>RR</t>
  </si>
  <si>
    <t>rr_D_Trt_timespan1</t>
  </si>
  <si>
    <t>rr_D_Trt_timespan2</t>
  </si>
  <si>
    <t>Distribution with SD as 20% of the mean</t>
  </si>
  <si>
    <t>usual_care</t>
  </si>
  <si>
    <t>https://www.nejm.org/doi/full/10.1056/NEJMoa2023184?query=TOC</t>
  </si>
  <si>
    <t>per treatment course</t>
  </si>
  <si>
    <t>dollar</t>
  </si>
  <si>
    <t>Dexamethasone_2020-07-17</t>
  </si>
  <si>
    <t>Estimate price of dosage for COVID-treatment</t>
  </si>
  <si>
    <t>Hydroxychloroquine_2020-11-19</t>
  </si>
  <si>
    <t>Interferon-B1a_2020-12-02</t>
  </si>
  <si>
    <t>https://www.thelancet.com/journals/lancet/article/PIIS0140-6736(20)32013-4/fulltext</t>
  </si>
  <si>
    <t>Lopinavir-Ritonavir_2020-10-05</t>
  </si>
  <si>
    <t>https://covid19.healthdata.org/united-states-of-america</t>
  </si>
  <si>
    <t>Hazard ratio of dying in Dexamethasone group vs usual care group between 28 days and 73 days after randomization. Based on a Randomized controlled trial with 2104 participants as part of the RECOVERY study</t>
  </si>
  <si>
    <t>Hazard ratio of dying in Dexamethasone group vs usual care group within 28 days after randomization. Based on a Randomized controlled trial with 2104 participants as part of the RECOVERY study</t>
  </si>
  <si>
    <t>Cost Tocilizumab per 8mg; 490.95 per 4 ml</t>
  </si>
  <si>
    <t>https://www.drugs.com/price-guide/actemra</t>
  </si>
  <si>
    <t>Cost Tocilizumab per 8mg; 20 mg/mL per mL 122.74 USD; *0.4 to get price accurate dosis price</t>
  </si>
  <si>
    <t>Baricitinib-Remdesivir_2020-12-11</t>
  </si>
  <si>
    <t>https://www.drugs.com/price-guide/olumiant</t>
  </si>
  <si>
    <t>14 days of 4-mg daily dose or until discharge; mean length of stay 7 days for treatment group, lower bound 6</t>
  </si>
  <si>
    <t>https://www.nejm.org/doi/full/10.1056/NEJMoa2031994?query=RP</t>
  </si>
  <si>
    <t>ICU</t>
  </si>
  <si>
    <t>Alive</t>
  </si>
  <si>
    <t xml:space="preserve">Dead </t>
  </si>
  <si>
    <t>Hospital</t>
  </si>
  <si>
    <t>Dead with censoring</t>
  </si>
  <si>
    <t>Dead without censoring, assume if still in hospital after 2 cycles = alive</t>
  </si>
  <si>
    <t>Total</t>
  </si>
  <si>
    <t>ICU - Vent</t>
  </si>
  <si>
    <t>ICU - no Vent</t>
  </si>
  <si>
    <t>https://www.nejm.org/doi/full/10.1056/NEJMoa2030340?query=pfw&amp;jwd=000020005985&amp;jspc=R</t>
  </si>
  <si>
    <t>or_D_Trt_timespan1</t>
  </si>
  <si>
    <t>or_D_Trt_timespan2</t>
  </si>
  <si>
    <t>OR</t>
  </si>
  <si>
    <t>n_H_trial</t>
  </si>
  <si>
    <t>Estimated per patient cost of running a new RCT, based on the mean cost per person included in both government and industry funded trials across 21 sites, converted to 2020 USD</t>
  </si>
  <si>
    <t>Estimated cost of running a new RCT. Based on a review of 59 novel therapeutic drugs using annual summary reports from the FDA Center for Drug Evaluation and Research, 2016. The median cost of these trials was 19 Million USD (10.3 in 2020USD). Considering that  this was the median cost for trials up to 26 weeks, and our RCT is much shorter (3 months), we adjust the fixed cost to a 0.5 proportion of the costs reported in this paper.</t>
  </si>
  <si>
    <t>https://www-nejm-org.eur.idm.oclc.org/doi/full/10.1056/NEJMoa2100433</t>
  </si>
  <si>
    <t>Tocilizumab_2021-04-22</t>
  </si>
  <si>
    <t>Calculating transition probabilities cohort from Docherty et al paper</t>
  </si>
  <si>
    <t xml:space="preserve">https://jamanetwork.com/journals/jamainternalmedicine/fullarticle/2702287 </t>
  </si>
  <si>
    <t>Placeholder</t>
  </si>
  <si>
    <t>Based on the IDSA guidelines, Tocilizumab is only given to patients receiving Dexamethasone, which is the ICU only population. The source study only reports patients in an ICU setting. This has mainly been the reason to choose to model the REMAP CAP study and not the meta-analysis from the RECOVERY paper</t>
  </si>
  <si>
    <t>Length of stay (time until discharge), length of stay was only reported up until 50th percentile; LOS was used from Tocilizumab paper from earlier trial December 2020. Readers can adjust LOS in the R shiny application to test this assumption</t>
  </si>
  <si>
    <t>As we have a population of elderly patients, we include the proportions for public and privately insured patients, but not uninsured. By excluding the uninsured the probability is slightly different than the 0.673 reported in tabel 1 of the source paper.</t>
  </si>
  <si>
    <t xml:space="preserve">Placeholder. This number is calculated using IHME data in the code, the parameter values are overwritten. </t>
  </si>
  <si>
    <t>Remaining number of days in hospitalization period, when treatment effect is no longer applied</t>
  </si>
  <si>
    <t>Number of days follow up on which the treatment is based. Treatment effect in the original paper is calculated at 90 days, however, our model simulates hospitalization to a maximum of 73 days after which all patients recover. Treatment effect is only applied during hospitalization.</t>
  </si>
  <si>
    <t xml:space="preserve">Patients receive standard care plus one or two doses of either intravenous tocilizumab (8 mg per kilogram of body weight, to a maximum of 800 mg per dose) or placebo. Mean weight all patients (supplement): 91.22kg (SD 24.58); calculated as 91.22 mean * 1.5 (between 1 and 2 doses), distribution mean +-1.96*SD </t>
  </si>
  <si>
    <t>Odds ratio of dying in Tocilizumab group compared to usual care group.</t>
  </si>
  <si>
    <t>Rate ratio of dying in Remdesivir group vs usual care group between 28 days and 73 days. We take the most conservative estimate and in our baseline model assume no benefit after the reported follow-up period, and in the PSA take into account the most conservative estimate and the effect of the first 14 days if it continued. Based on meta-analysis as described in the SOLIDARITY trial paper, including a mix of high and low risk groups, in total 387+3818+408+3782 patients</t>
  </si>
  <si>
    <t>Relative Risk of dying in treatment group vs care as usual after 28 days of treatment. We take the conservative estimate of no lasting treatment effect after reported trial data.</t>
  </si>
  <si>
    <t>73-73 days</t>
  </si>
  <si>
    <t>Odds ratio of dying in Tocilizumab group compared to usual care group inremaining number of days in hospitalization period, when treatment effect is no longer applied. Not applicable in this study</t>
  </si>
  <si>
    <t>Mean length of stay in care as usual group</t>
  </si>
  <si>
    <t>Mean length of stay in treatment group</t>
  </si>
  <si>
    <t>Hazard ratio for mortality in Baricitinib-Remdesivir vs care as usual. Based on ACTT-2 Trial results.</t>
  </si>
  <si>
    <t>Because Remdesivir is given to both the treat and no-treat group and we are interested in incremental costs, we are only calculating the cost of the additional Baricitinib; Patients received remdesivir intravenously as a 200-mg loading dose on day 1, followed by a 100-mg maintenance dose administered daily on days 2 through 10 or until hospital discharge or death. Baricitinib was administered as a 4-mg daily dose (either orally [two 2-mg tablets] or through a nasogastric tube) for 14 days or until hospital discharge. 1 tablet of 1mg costs 79.14 USD</t>
  </si>
  <si>
    <t>No difference public and private prices</t>
  </si>
  <si>
    <t>Relative Risk for dying Hydroxychloroquine vs care as usual</t>
  </si>
  <si>
    <t>Relative Risk for dying Interferon-beta 1a vs care as usual</t>
  </si>
  <si>
    <t>https://papers.ssrn.com/sol3/papers.cfm?abstract_id=3586694 which cites this paper: https://www.ncbi.nlm.nih.gov/pmc/articles/PMC3320437/</t>
  </si>
  <si>
    <t>Country</t>
  </si>
  <si>
    <t>USA</t>
  </si>
  <si>
    <t>Casirivimab-Imdevimab_2021_06_16</t>
  </si>
  <si>
    <t>https://investor.regeneron.com/news-releases/news-release-details/regeneron-announces-new-us-government-agreement-purchase/#:~:text=Under%20the%20new%20agreement%2C%20Regeneron,July%202020%20and%20January%202021%20</t>
  </si>
  <si>
    <t xml:space="preserve">Number of days follow up on which the treatment is based. </t>
  </si>
  <si>
    <t>21-73 days</t>
  </si>
  <si>
    <t>Length of stay (time until discharge)</t>
  </si>
  <si>
    <t>Single dose of Casirivimab-Imdevimab as per agreement between the US Government and Regeneron for a single dosage of 1200mg. It should be noted that the dosage in the RECOVERY trial that the effectiveness is based on is higher (4000mg Casirivimab, 4000mg Imdevimab), however, the authorized dosage is 600 mg of casirivimab and 600 mg of imdevimab administered (https://www.regeneron.com/downloads/treatment-covid19-eua-fact-sheet-for-hcp.pdf), and so the cost assumed here is that of a single dose of 1200mg.</t>
  </si>
  <si>
    <t>RECOVERY. Relative Risk of dying in Casirivimab-Imdevimab group compared to usual care group. Treatment effect was based on the overall group (including both seropositive and seronegative patients).</t>
  </si>
  <si>
    <t>Relative Risk of dying in Casirivimab-Imdevimab  group compared to usual care group in remaining number of days in hospitalization period, when treatment effect is no longer applied. Not applicable in this study</t>
  </si>
  <si>
    <t>Hazard Ratio in Dexamethasone group vs usual care group within 28 days after randomization. Based on a Randomized controlled trial with 2104 participants as part of the RECOVERY study. Note: Currently, this parameter is not used in the presented analysis. If information is present on ventalation (i.e. if for a specific drug a hr_D_Trt_timespan1_vent parameter exists, we apply the treatment effect that is specific to mechanical ventilation/no mechanical ventilation. The information is kept in the parameter excel to allow someone not interested in ventilation specific effects to run the analysis without those parameters.</t>
  </si>
  <si>
    <t>additional assumptions</t>
  </si>
  <si>
    <t>Assume 20% triangular distribution. Assume no significant difference between private and public treatment cost.</t>
  </si>
  <si>
    <t>Assume 20% triangular distribution</t>
  </si>
  <si>
    <t>Willingness to pay level for the US (default). Based on Neumann et al 2014. Where relevant a range of wtp thresholds is applied.</t>
  </si>
  <si>
    <t>Most deaths take place in the first days of hospitalization</t>
  </si>
  <si>
    <t>Dexamethasone is only given to patients on the IC, following the IDSA treatment guidelines</t>
  </si>
  <si>
    <t>The analysis is only applied to an ICU population. This takes into account the proportion of ICU patients during hospital stay as well as the number of current/future patients affected by the treatment/research strategy decision</t>
  </si>
  <si>
    <t>We assume the treatment effect is only applied during the days for which it is reported in the study, after which the hazard ratio/relative risk/odds ratio reverts back to 1</t>
  </si>
  <si>
    <t>Rate ratio of dying in Remdesivir group vs usual care group within 28 days after randomization. Based on meta-analysis as described in the SOLIDARITY trial paper, including a mix of high and low risk groups, in total 387+3818+408+3782 patients</t>
  </si>
  <si>
    <t>Patients received up to 10 dosages of 6 mg Dexamethasone once daily, 3-10 dosages was reported as IQR</t>
  </si>
  <si>
    <t>Patients received 5 days (IQR 2–8) treatment in study. Dosage:  Lopinavir–ritonavir (400 mg and 100 mg, respectively) by mouth for 10 days or until discharge.</t>
  </si>
  <si>
    <t>Relative Risk of dying in treatment group vs care as usual within 28 days after randomization. Based on Randomized controlled trial.</t>
  </si>
  <si>
    <t>Median length of stay if receiving care as usual (authors: we observed no significant difference in time until discharge)</t>
  </si>
  <si>
    <t>Median length of stay  if treated (authors: we observed no significant difference in time until discharge)</t>
  </si>
  <si>
    <t xml:space="preserve">Hazard of dying in treatment group compared to usual care group in remaining number of days in hospitalization period, when treatment effect is no longer applied. </t>
  </si>
  <si>
    <t>Probability someone has private health insurance, conditional on having health insurance. As reported by the United States Census Bureau, November 2018, based on information collected in the Current Population Survey Annual Social and Economic Supplement and the American Community Survey. A differentiation in private versus public insurance treatment costs is only applied for drugs with a specified difference in the Rx tab, where the differences between treatment costs were shown to be substantial</t>
  </si>
  <si>
    <t>Effect of being alive is 1</t>
  </si>
  <si>
    <t>Effect of being dead is 0</t>
  </si>
  <si>
    <t>Died while being on the ICU during hospital stay study. Used to calculated together with the deaths from the hospital admission the deads during the using.</t>
  </si>
  <si>
    <t>Calculated from the paper by Docherty et al. The transition probabilities as reported in the paper include censoring, meaning that not all patients were followed up at time of reporting. Here we assume that if patients are still in hospital after 2 transition cycles of hospitalization, they are allocated to the surviver group.</t>
  </si>
  <si>
    <t>Died while being in the hospital ward during hospital stay study.</t>
  </si>
  <si>
    <t>Died while being on the ICU during hospital stay study, for the group receiving mechanical ventilation</t>
  </si>
  <si>
    <t>Died while being on the ICU during hospital stay study, for the group receiving no mechanical ventilation</t>
  </si>
  <si>
    <t>Calculated from the paper by Docherty et al. The transition probabilities as reported in the paper include censoring, meaning that not all patients were followed up at time of reporting. Here we assume that if patients are still in hospital after 2 transition cycles of hospitalization, they are allocated to the surviver group. The final numbers added to the data input sheet is found in the "Dead wihout censoring" column. Taking the raw data estimate, "Dead with censoring", would give the transition probabilities conditional on completing 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</si>
</sst>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scheme val="minor"/>
    </font>
    <font>
      <u/>
      <sz val="12"/>
      <color theme="1"/>
      <name val="Calibri"/>
      <family val="2"/>
      <scheme val="minor"/>
    </font>
    <font>
      <b/>
      <sz val="12"/>
      <color rgb="FF000000"/>
      <name val="Calibri"/>
      <family val="2"/>
      <scheme val="minor"/>
    </font>
    <font>
      <sz val="12"/>
      <color rgb="FF000000"/>
      <name val="Calibri"/>
      <family val="2"/>
      <scheme val="minor"/>
    </font>
    <font>
      <sz val="12"/>
      <color theme="1"/>
      <name val="ArialMT"/>
    </font>
    <font>
      <sz val="8"/>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tint="-0.14999847407452621"/>
        <bgColor theme="0" tint="-0.14999847407452621"/>
      </patternFill>
    </fill>
    <fill>
      <patternFill patternType="solid">
        <fgColor theme="0"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64" fontId="2" fillId="0" borderId="0" xfId="0" applyNumberFormat="1" applyFont="1" applyAlignment="1">
      <alignment horizontal="left"/>
    </xf>
    <xf numFmtId="0" fontId="3" fillId="0" borderId="0" xfId="1"/>
    <xf numFmtId="0" fontId="0" fillId="0" borderId="0" xfId="0" applyFont="1"/>
    <xf numFmtId="0" fontId="0" fillId="0" borderId="0" xfId="0" applyFont="1" applyFill="1" applyAlignment="1">
      <alignment horizontal="left"/>
    </xf>
    <xf numFmtId="0" fontId="0" fillId="0" borderId="0" xfId="0" applyFont="1" applyAlignment="1">
      <alignment horizontal="left" wrapText="1"/>
    </xf>
    <xf numFmtId="164" fontId="0" fillId="0" borderId="0" xfId="0" applyNumberFormat="1" applyFont="1" applyFill="1" applyAlignment="1">
      <alignment horizontal="left"/>
    </xf>
    <xf numFmtId="0" fontId="0" fillId="2" borderId="0" xfId="0" applyFill="1"/>
    <xf numFmtId="0" fontId="5" fillId="0" borderId="0" xfId="0" applyFont="1"/>
    <xf numFmtId="0" fontId="1" fillId="0" borderId="0" xfId="0" applyFont="1" applyFill="1" applyAlignment="1">
      <alignment horizontal="left"/>
    </xf>
    <xf numFmtId="0" fontId="0" fillId="0" borderId="0" xfId="0" applyFont="1" applyFill="1" applyAlignment="1"/>
    <xf numFmtId="1" fontId="0" fillId="0" borderId="0" xfId="0" applyNumberFormat="1" applyFont="1" applyFill="1" applyAlignment="1">
      <alignment horizontal="left"/>
    </xf>
    <xf numFmtId="0" fontId="4" fillId="0" borderId="0" xfId="1" applyFont="1" applyFill="1" applyAlignment="1">
      <alignment horizontal="left"/>
    </xf>
    <xf numFmtId="0" fontId="0" fillId="0" borderId="0" xfId="0" applyFont="1" applyFill="1" applyBorder="1" applyAlignment="1">
      <alignment horizontal="left"/>
    </xf>
    <xf numFmtId="164" fontId="0" fillId="0" borderId="0" xfId="0" applyNumberFormat="1" applyFont="1" applyFill="1" applyBorder="1" applyAlignment="1">
      <alignment horizontal="left"/>
    </xf>
    <xf numFmtId="0" fontId="4" fillId="0" borderId="0" xfId="1" applyFont="1" applyFill="1" applyAlignment="1">
      <alignment horizontal="left" vertical="center"/>
    </xf>
    <xf numFmtId="0" fontId="1" fillId="0" borderId="0" xfId="0" applyFont="1" applyFill="1" applyAlignment="1"/>
    <xf numFmtId="0" fontId="0" fillId="3" borderId="0" xfId="0" applyFill="1" applyAlignment="1">
      <alignment horizontal="left"/>
    </xf>
    <xf numFmtId="0" fontId="6" fillId="0" borderId="0" xfId="0" applyFont="1" applyFill="1" applyAlignment="1">
      <alignment horizontal="left"/>
    </xf>
    <xf numFmtId="0" fontId="1" fillId="4" borderId="0" xfId="0" applyFont="1" applyFill="1" applyBorder="1" applyAlignment="1">
      <alignment horizontal="left"/>
    </xf>
    <xf numFmtId="0" fontId="0" fillId="4" borderId="0" xfId="0" applyFont="1" applyFill="1" applyBorder="1" applyAlignment="1">
      <alignment horizontal="left"/>
    </xf>
    <xf numFmtId="1" fontId="0" fillId="0" borderId="0" xfId="0" applyNumberFormat="1" applyFont="1" applyFill="1" applyBorder="1" applyAlignment="1">
      <alignment horizontal="left"/>
    </xf>
    <xf numFmtId="0" fontId="4" fillId="0" borderId="0" xfId="1" applyFont="1" applyFill="1" applyBorder="1" applyAlignment="1"/>
    <xf numFmtId="0" fontId="4" fillId="0" borderId="0" xfId="1" applyFont="1" applyFill="1" applyBorder="1" applyAlignment="1">
      <alignment horizontal="left"/>
    </xf>
    <xf numFmtId="164" fontId="0" fillId="4" borderId="0" xfId="0" applyNumberFormat="1" applyFont="1" applyFill="1" applyBorder="1" applyAlignment="1">
      <alignment horizontal="left"/>
    </xf>
    <xf numFmtId="0" fontId="4" fillId="4" borderId="0" xfId="1" applyFont="1" applyFill="1" applyBorder="1" applyAlignment="1">
      <alignment horizontal="left"/>
    </xf>
    <xf numFmtId="0" fontId="0" fillId="0" borderId="0" xfId="0" applyFont="1" applyFill="1" applyBorder="1"/>
    <xf numFmtId="0" fontId="4" fillId="0" borderId="0" xfId="0" applyFont="1" applyFill="1" applyBorder="1" applyAlignment="1">
      <alignment horizontal="left"/>
    </xf>
    <xf numFmtId="0" fontId="7" fillId="0" borderId="0" xfId="0" applyFont="1" applyFill="1" applyBorder="1"/>
  </cellXfs>
  <cellStyles count="2">
    <cellStyle name="Hyperlink" xfId="1" builtinId="8"/>
    <cellStyle name="Normal" xfId="0" builtinId="0"/>
  </cellStyles>
  <dxfs count="28">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numFmt numFmtId="164" formatCode="0.000"/>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none">
          <bgColor auto="1"/>
        </patternFill>
      </fill>
      <alignment textRotation="0" wrapText="0" indent="0" justifyLastLine="0" shrinkToFit="0" readingOrder="0"/>
    </dxf>
    <dxf>
      <font>
        <strike val="0"/>
        <outline val="0"/>
        <shadow val="0"/>
        <vertAlign val="baseline"/>
        <sz val="12"/>
        <color theme="1"/>
        <family val="2"/>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numFmt numFmtId="164" formatCode="0.000"/>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vertAlign val="baseline"/>
        <sz val="12"/>
        <color theme="1"/>
        <family val="2"/>
      </font>
      <fill>
        <patternFill patternType="none">
          <bgColor auto="1"/>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0.49998474074526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5ED3CE-5966-E549-856F-2059E4F51F1F}" name="Table14" displayName="Table14" ref="A1:L101" totalsRowShown="0" headerRowDxfId="27" dataDxfId="26">
  <autoFilter ref="A1:L101" xr:uid="{383F4C7B-6D76-1F4D-AAC2-C8CB2C854D44}"/>
  <sortState ref="A2:J24">
    <sortCondition ref="C1:C24"/>
  </sortState>
  <tableColumns count="12">
    <tableColumn id="1" xr3:uid="{C3E43751-5EBB-7D45-8BCB-A041CFE57979}" name="Treatment" dataDxfId="25"/>
    <tableColumn id="15" xr3:uid="{88C4A4A0-66BB-E44C-90CC-3EF58F959767}" name="Country" dataDxfId="24"/>
    <tableColumn id="2" xr3:uid="{794F2A6E-3FFF-E048-B09E-00F4ED7529A4}" name="Param" dataDxfId="23"/>
    <tableColumn id="10" xr3:uid="{756A205A-1878-CE4B-B795-65360FA9B078}" name="Unit" dataDxfId="22"/>
    <tableColumn id="11" xr3:uid="{C440E584-FB0C-FE44-9956-4FF367337941}" name="Unit_amount" dataDxfId="21"/>
    <tableColumn id="5" xr3:uid="{A4543299-EF4F-9341-8D4F-931716A773BD}" name="Med" dataDxfId="20"/>
    <tableColumn id="6" xr3:uid="{14F9BF74-A529-284A-9AB5-1D28DA02358D}" name="Lo_alpha" dataDxfId="19"/>
    <tableColumn id="7" xr3:uid="{1976251B-14D6-B848-9401-0424D99829C5}" name="Hi_beta" dataDxfId="18"/>
    <tableColumn id="13" xr3:uid="{0548CCCE-E036-DE4D-9DE6-F6C6E7535BCF}" name="Distribution" dataDxfId="17"/>
    <tableColumn id="9" xr3:uid="{C5165F0A-0BE4-6F42-8860-4DF4362962FC}" name="source" dataDxfId="16"/>
    <tableColumn id="3" xr3:uid="{61602584-355D-8345-90FB-46872DDDC018}" name="description" dataDxfId="15"/>
    <tableColumn id="4" xr3:uid="{FF353504-E1E4-764F-9855-6E3A00C806C0}" name="additional assumptions" dataDxfId="14"/>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L26" totalsRowShown="0" headerRowDxfId="13" dataDxfId="12">
  <autoFilter ref="A1:L26" xr:uid="{00000000-0009-0000-0100-000002000000}"/>
  <sortState ref="A2:J25">
    <sortCondition ref="C1:C25"/>
  </sortState>
  <tableColumns count="12">
    <tableColumn id="1" xr3:uid="{00000000-0010-0000-0100-000001000000}" name="Treatment" dataDxfId="11"/>
    <tableColumn id="8" xr3:uid="{0C13010B-7944-C340-BF7F-4E07B98DD520}" name="Country" dataDxfId="0"/>
    <tableColumn id="2" xr3:uid="{00000000-0010-0000-0100-000002000000}" name="Param" dataDxfId="10"/>
    <tableColumn id="10" xr3:uid="{00000000-0010-0000-0100-00000A000000}" name="Unit" dataDxfId="9"/>
    <tableColumn id="11" xr3:uid="{00000000-0010-0000-0100-00000B000000}" name="Unit_amount" dataDxfId="8"/>
    <tableColumn id="5" xr3:uid="{00000000-0010-0000-0100-000005000000}" name="Med" dataDxfId="7"/>
    <tableColumn id="6" xr3:uid="{00000000-0010-0000-0100-000006000000}" name="Lo_alpha" dataDxfId="6"/>
    <tableColumn id="7" xr3:uid="{00000000-0010-0000-0100-000007000000}" name="Hi_beta" dataDxfId="5"/>
    <tableColumn id="13" xr3:uid="{00000000-0010-0000-0100-00000D000000}" name="Distribution" dataDxfId="4"/>
    <tableColumn id="9" xr3:uid="{00000000-0010-0000-0100-000009000000}" name="source" dataDxfId="3"/>
    <tableColumn id="3" xr3:uid="{E246B4D6-2EBB-B146-8FA5-C7AF3226ED3C}" name="description" dataDxfId="2"/>
    <tableColumn id="4" xr3:uid="{5C52A4B8-2A4C-D947-B6E7-FAD6D1A9204F}" name="additional assumptions" dataDxfId="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ejm.org/doi/full/10.1056/NEJMoa2021436" TargetMode="External"/><Relationship Id="rId18" Type="http://schemas.openxmlformats.org/officeDocument/2006/relationships/hyperlink" Target="https://www.nejm.org/doi/full/10.1056/NEJMoa2023184?query=TOC" TargetMode="External"/><Relationship Id="rId26" Type="http://schemas.openxmlformats.org/officeDocument/2006/relationships/hyperlink" Target="https://www.gilead.com/news-and-press/press-room/press-releases/2020/6/an-open-letter-from-daniel-oday-chairman--ceo-gilead-sciences" TargetMode="External"/><Relationship Id="rId39" Type="http://schemas.openxmlformats.org/officeDocument/2006/relationships/hyperlink" Target="https://www.drugs.com/price-guide/actemra" TargetMode="External"/><Relationship Id="rId21" Type="http://schemas.openxmlformats.org/officeDocument/2006/relationships/hyperlink" Target="https://www.nejm.org/doi/full/10.1056/NEJMoa2023184?query=TOC" TargetMode="External"/><Relationship Id="rId34" Type="http://schemas.openxmlformats.org/officeDocument/2006/relationships/hyperlink" Target="https://www.nejm.org/doi/full/10.1056/NEJMoa2030340?query=pfw&amp;jwd=000020005985&amp;jspc=R" TargetMode="External"/><Relationship Id="rId42" Type="http://schemas.openxmlformats.org/officeDocument/2006/relationships/hyperlink" Target="https://investor.regeneron.com/news-releases/news-release-details/regeneron-announces-new-us-government-agreement-purchase/" TargetMode="External"/><Relationship Id="rId7" Type="http://schemas.openxmlformats.org/officeDocument/2006/relationships/hyperlink" Target="https://www.nejm.org/doi/full/10.1056/NEJMoa2021436" TargetMode="External"/><Relationship Id="rId2" Type="http://schemas.openxmlformats.org/officeDocument/2006/relationships/hyperlink" Target="https://pdfs.semanticscholar.org/ca63/720f6a0148d0b4d869831823d2fc5c98de62.pdf" TargetMode="External"/><Relationship Id="rId16" Type="http://schemas.openxmlformats.org/officeDocument/2006/relationships/hyperlink" Target="https://www.nejm.org/doi/full/10.1056/NEJMoa2021436" TargetMode="External"/><Relationship Id="rId20" Type="http://schemas.openxmlformats.org/officeDocument/2006/relationships/hyperlink" Target="https://www.nejm.org/doi/full/10.1056/NEJMoa2023184?query=TOC" TargetMode="External"/><Relationship Id="rId29" Type="http://schemas.openxmlformats.org/officeDocument/2006/relationships/hyperlink" Target="https://www.nejm.org/doi/full/10.1056/NEJMoa2023184?query=TOC" TargetMode="External"/><Relationship Id="rId41" Type="http://schemas.openxmlformats.org/officeDocument/2006/relationships/hyperlink" Target="https://investor.regeneron.com/news-releases/news-release-details/regeneron-announces-new-us-government-agreement-purchase/" TargetMode="External"/><Relationship Id="rId1" Type="http://schemas.openxmlformats.org/officeDocument/2006/relationships/hyperlink" Target="https://journals.sagepub.com/doi/abs/10.1177/1740774520907609" TargetMode="External"/><Relationship Id="rId6" Type="http://schemas.openxmlformats.org/officeDocument/2006/relationships/hyperlink" Target="https://www.nejm.org/doi/full/10.1056/NEJMoa2021436" TargetMode="External"/><Relationship Id="rId11" Type="http://schemas.openxmlformats.org/officeDocument/2006/relationships/hyperlink" Target="https://www.nejm.org/doi/full/10.1056/NEJMoa2021436" TargetMode="External"/><Relationship Id="rId24" Type="http://schemas.openxmlformats.org/officeDocument/2006/relationships/hyperlink" Target="https://www.gilead.com/news-and-press/press-room/press-releases/2020/6/an-open-letter-from-daniel-oday-chairman--ceo-gilead-sciences" TargetMode="External"/><Relationship Id="rId32" Type="http://schemas.openxmlformats.org/officeDocument/2006/relationships/hyperlink" Target="https://www.nejm.org/doi/full/10.1056/NEJMoa2023184?query=TOC" TargetMode="External"/><Relationship Id="rId37" Type="http://schemas.openxmlformats.org/officeDocument/2006/relationships/hyperlink" Target="https://www.drugs.com/price-guide/actemra" TargetMode="External"/><Relationship Id="rId40" Type="http://schemas.openxmlformats.org/officeDocument/2006/relationships/hyperlink" Target="https://investor.regeneron.com/news-releases/news-release-details/regeneron-announces-new-us-government-agreement-purchase/" TargetMode="External"/><Relationship Id="rId5" Type="http://schemas.openxmlformats.org/officeDocument/2006/relationships/hyperlink" Target="https://www.drugs.com/price-guide/dexamethasone" TargetMode="External"/><Relationship Id="rId15" Type="http://schemas.openxmlformats.org/officeDocument/2006/relationships/hyperlink" Target="https://www.nejm.org/doi/full/10.1056/NEJMoa2021436" TargetMode="External"/><Relationship Id="rId23" Type="http://schemas.openxmlformats.org/officeDocument/2006/relationships/hyperlink" Target="https://www.drugs.com/price-guide/rebif" TargetMode="External"/><Relationship Id="rId28" Type="http://schemas.openxmlformats.org/officeDocument/2006/relationships/hyperlink" Target="https://www.nejm.org/doi/full/10.1056/NEJMoa2007764" TargetMode="External"/><Relationship Id="rId36" Type="http://schemas.openxmlformats.org/officeDocument/2006/relationships/hyperlink" Target="https://www.drugs.com/price-guide/actemra" TargetMode="External"/><Relationship Id="rId10" Type="http://schemas.openxmlformats.org/officeDocument/2006/relationships/hyperlink" Target="https://www.nejm.org/doi/full/10.1056/NEJMoa2021436" TargetMode="External"/><Relationship Id="rId19" Type="http://schemas.openxmlformats.org/officeDocument/2006/relationships/hyperlink" Target="https://www.nejm.org/doi/full/10.1056/NEJMoa2023184?query=TOC" TargetMode="External"/><Relationship Id="rId31" Type="http://schemas.openxmlformats.org/officeDocument/2006/relationships/hyperlink" Target="https://www.nejm.org/doi/full/10.1056/NEJMoa2023184?query=TOC" TargetMode="External"/><Relationship Id="rId4" Type="http://schemas.openxmlformats.org/officeDocument/2006/relationships/hyperlink" Target="https://www.nejm.org/doi/full/10.1056/NEJMoa2021436" TargetMode="External"/><Relationship Id="rId9" Type="http://schemas.openxmlformats.org/officeDocument/2006/relationships/hyperlink" Target="https://www.nejm.org/doi/full/10.1056/NEJMoa2021436" TargetMode="External"/><Relationship Id="rId14" Type="http://schemas.openxmlformats.org/officeDocument/2006/relationships/hyperlink" Target="https://www.drugs.com/price-guide/dexamethasone" TargetMode="External"/><Relationship Id="rId22" Type="http://schemas.openxmlformats.org/officeDocument/2006/relationships/hyperlink" Target="https://www.nejm.org/doi/full/10.1056/NEJMoa2023184?query=TOC" TargetMode="External"/><Relationship Id="rId27" Type="http://schemas.openxmlformats.org/officeDocument/2006/relationships/hyperlink" Target="https://www.nejm.org/doi/full/10.1056/NEJMoa2007764" TargetMode="External"/><Relationship Id="rId30" Type="http://schemas.openxmlformats.org/officeDocument/2006/relationships/hyperlink" Target="https://www.nejm.org/doi/full/10.1056/NEJMoa2023184?query=TOC" TargetMode="External"/><Relationship Id="rId35" Type="http://schemas.openxmlformats.org/officeDocument/2006/relationships/hyperlink" Target="https://www.nejm.org/doi/full/10.1056/NEJMoa2030340?query=pfw&amp;jwd=000020005985&amp;jspc=R" TargetMode="External"/><Relationship Id="rId43" Type="http://schemas.openxmlformats.org/officeDocument/2006/relationships/table" Target="../tables/table1.xml"/><Relationship Id="rId8" Type="http://schemas.openxmlformats.org/officeDocument/2006/relationships/hyperlink" Target="https://www.nejm.org/doi/full/10.1056/NEJMoa2021436" TargetMode="External"/><Relationship Id="rId3" Type="http://schemas.openxmlformats.org/officeDocument/2006/relationships/hyperlink" Target="https://jamanetwork.com/journals/jamainternalmedicine/fullarticle/2702287" TargetMode="External"/><Relationship Id="rId12" Type="http://schemas.openxmlformats.org/officeDocument/2006/relationships/hyperlink" Target="https://www.nejm.org/doi/full/10.1056/NEJMoa2021436" TargetMode="External"/><Relationship Id="rId17" Type="http://schemas.openxmlformats.org/officeDocument/2006/relationships/hyperlink" Target="https://www.nejm.org/doi/full/10.1056/NEJMoa2022926?query=RP" TargetMode="External"/><Relationship Id="rId25" Type="http://schemas.openxmlformats.org/officeDocument/2006/relationships/hyperlink" Target="https://www.gilead.com/news-and-press/press-room/press-releases/2020/6/an-open-letter-from-daniel-oday-chairman--ceo-gilead-sciences" TargetMode="External"/><Relationship Id="rId33" Type="http://schemas.openxmlformats.org/officeDocument/2006/relationships/hyperlink" Target="https://www.nejm.org/doi/full/10.1056/NEJMoa2031994?query=RP" TargetMode="External"/><Relationship Id="rId38" Type="http://schemas.openxmlformats.org/officeDocument/2006/relationships/hyperlink" Target="https://www.drugs.com/price-guide/actemr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apers.ssrn.com/sol3/papers.cfm?abstract_id=3586694" TargetMode="External"/><Relationship Id="rId3" Type="http://schemas.openxmlformats.org/officeDocument/2006/relationships/hyperlink" Target="https://journals.lww.com/ccmjournal/Abstract/2005/06000/Daily_cost_of_an_intensive_care_unit_day__The.13.aspx" TargetMode="External"/><Relationship Id="rId7" Type="http://schemas.openxmlformats.org/officeDocument/2006/relationships/hyperlink" Target="https://papers.ssrn.com/sol3/papers.cfm?abstract_id=3586694" TargetMode="External"/><Relationship Id="rId2" Type="http://schemas.openxmlformats.org/officeDocument/2006/relationships/hyperlink" Target="https://www.kff.org/health-costs/state-indicator/expenses-per-inpatient-day/?currentTimeframe=0&amp;sortModel=%7B%22colId%22:%22Location%22,%22sort%22:%22asc%22%7D" TargetMode="External"/><Relationship Id="rId1" Type="http://schemas.openxmlformats.org/officeDocument/2006/relationships/hyperlink" Target="https://www.zorginstituutnederland.nl/actueel/nieuws/2020/07/13/zorginstituut-adviseert-tijdelijk-ruimere-vergoeding-paramedische-herstelzorg-voor-patienten-met-ernstige-covid-19" TargetMode="External"/><Relationship Id="rId6" Type="http://schemas.openxmlformats.org/officeDocument/2006/relationships/hyperlink" Target="https://ccforum.biomedcentral.com/articles/10.1186/cc8848" TargetMode="External"/><Relationship Id="rId11" Type="http://schemas.openxmlformats.org/officeDocument/2006/relationships/table" Target="../tables/table2.xml"/><Relationship Id="rId5" Type="http://schemas.openxmlformats.org/officeDocument/2006/relationships/hyperlink" Target="https://meps.ahrq.gov/mepstrends/hc_use/" TargetMode="External"/><Relationship Id="rId10" Type="http://schemas.openxmlformats.org/officeDocument/2006/relationships/hyperlink" Target="https://www.census.gov/library/publications/2019/demo/p60-267.html" TargetMode="External"/><Relationship Id="rId4" Type="http://schemas.openxmlformats.org/officeDocument/2006/relationships/hyperlink" Target="https://journals.lww.com/ccmjournal/Abstract/2005/06000/Daily_cost_of_an_intensive_care_unit_day__The.13.aspx" TargetMode="External"/><Relationship Id="rId9" Type="http://schemas.openxmlformats.org/officeDocument/2006/relationships/hyperlink" Target="https://www.ncbi.nlm.nih.gov/pmc/articles/PMC263429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usinflationcalcul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zoomScale="82" zoomScaleNormal="110" workbookViewId="0">
      <selection activeCell="B31" sqref="B31"/>
    </sheetView>
  </sheetViews>
  <sheetFormatPr baseColWidth="10" defaultRowHeight="16" customHeight="1"/>
  <cols>
    <col min="1" max="1" width="26.33203125" style="17" customWidth="1"/>
    <col min="2" max="2" width="9.6640625" style="17" customWidth="1"/>
    <col min="3" max="3" width="19.33203125" style="17" customWidth="1"/>
    <col min="4" max="4" width="13.6640625" style="17" customWidth="1"/>
    <col min="5" max="5" width="12.83203125" style="17" customWidth="1"/>
    <col min="6" max="6" width="11.6640625" style="17" customWidth="1"/>
    <col min="7" max="7" width="12" style="17" customWidth="1"/>
    <col min="8" max="8" width="14.1640625" style="17" customWidth="1"/>
    <col min="9" max="9" width="20.33203125" style="17" customWidth="1"/>
    <col min="10" max="10" width="25.83203125" style="17" customWidth="1"/>
    <col min="11" max="11" width="108" style="17" customWidth="1"/>
    <col min="12" max="12" width="25.1640625" style="17" customWidth="1"/>
    <col min="13" max="16384" width="10.83203125" style="17"/>
  </cols>
  <sheetData>
    <row r="1" spans="1:12" ht="16" customHeight="1">
      <c r="A1" s="23" t="s">
        <v>0</v>
      </c>
      <c r="B1" s="23" t="s">
        <v>205</v>
      </c>
      <c r="C1" s="23" t="s">
        <v>1</v>
      </c>
      <c r="D1" s="23" t="s">
        <v>9</v>
      </c>
      <c r="E1" s="23" t="s">
        <v>17</v>
      </c>
      <c r="F1" s="23" t="s">
        <v>8</v>
      </c>
      <c r="G1" s="23" t="s">
        <v>14</v>
      </c>
      <c r="H1" s="23" t="s">
        <v>15</v>
      </c>
      <c r="I1" s="23" t="s">
        <v>3</v>
      </c>
      <c r="J1" s="23" t="s">
        <v>2</v>
      </c>
      <c r="K1" s="23" t="s">
        <v>33</v>
      </c>
      <c r="L1" s="23" t="s">
        <v>216</v>
      </c>
    </row>
    <row r="2" spans="1:12" ht="16" customHeight="1">
      <c r="A2" s="17" t="s">
        <v>63</v>
      </c>
      <c r="B2" s="17" t="s">
        <v>206</v>
      </c>
      <c r="C2" s="17" t="s">
        <v>6</v>
      </c>
      <c r="D2" s="17" t="s">
        <v>70</v>
      </c>
      <c r="E2" s="17" t="s">
        <v>147</v>
      </c>
      <c r="F2" s="25">
        <f>20552919/2</f>
        <v>10276459.5</v>
      </c>
      <c r="G2" s="17">
        <f>0.8*10276460</f>
        <v>8221168</v>
      </c>
      <c r="H2" s="17">
        <f>1.2*10276460</f>
        <v>12331752</v>
      </c>
      <c r="I2" s="17" t="s">
        <v>12</v>
      </c>
      <c r="J2" s="26" t="s">
        <v>183</v>
      </c>
      <c r="K2" s="17" t="s">
        <v>179</v>
      </c>
      <c r="L2" s="17" t="s">
        <v>35</v>
      </c>
    </row>
    <row r="3" spans="1:12" ht="16" customHeight="1">
      <c r="A3" s="17" t="s">
        <v>63</v>
      </c>
      <c r="B3" s="17" t="s">
        <v>206</v>
      </c>
      <c r="C3" s="17" t="s">
        <v>7</v>
      </c>
      <c r="D3" s="17" t="s">
        <v>70</v>
      </c>
      <c r="E3" s="17" t="s">
        <v>147</v>
      </c>
      <c r="F3" s="25">
        <f>8670</f>
        <v>8670</v>
      </c>
      <c r="G3" s="17">
        <f>0.8*8670</f>
        <v>6936</v>
      </c>
      <c r="H3" s="17">
        <f>1.2*8670</f>
        <v>10404</v>
      </c>
      <c r="I3" s="17" t="s">
        <v>12</v>
      </c>
      <c r="J3" s="27" t="s">
        <v>51</v>
      </c>
      <c r="K3" s="17" t="s">
        <v>178</v>
      </c>
      <c r="L3" s="17" t="s">
        <v>35</v>
      </c>
    </row>
    <row r="4" spans="1:12" ht="16" customHeight="1">
      <c r="A4" s="17" t="s">
        <v>63</v>
      </c>
      <c r="B4" s="17" t="s">
        <v>206</v>
      </c>
      <c r="C4" s="17" t="s">
        <v>90</v>
      </c>
      <c r="D4" s="17" t="s">
        <v>70</v>
      </c>
      <c r="E4" s="17" t="s">
        <v>147</v>
      </c>
      <c r="F4" s="17">
        <v>100000</v>
      </c>
      <c r="I4" s="17" t="s">
        <v>20</v>
      </c>
      <c r="J4" s="27" t="s">
        <v>91</v>
      </c>
      <c r="K4" s="17" t="s">
        <v>219</v>
      </c>
    </row>
    <row r="5" spans="1:12" ht="16" customHeight="1">
      <c r="A5" s="17" t="s">
        <v>63</v>
      </c>
      <c r="B5" s="17" t="s">
        <v>206</v>
      </c>
      <c r="C5" s="17" t="s">
        <v>92</v>
      </c>
      <c r="D5" s="17" t="s">
        <v>25</v>
      </c>
      <c r="F5" s="18">
        <v>0</v>
      </c>
      <c r="G5" s="18">
        <v>0</v>
      </c>
      <c r="H5" s="18">
        <v>0</v>
      </c>
      <c r="I5" s="17" t="s">
        <v>54</v>
      </c>
      <c r="J5" s="17" t="s">
        <v>154</v>
      </c>
      <c r="K5" s="17" t="s">
        <v>188</v>
      </c>
      <c r="L5" s="17" t="s">
        <v>184</v>
      </c>
    </row>
    <row r="6" spans="1:12" ht="16" customHeight="1">
      <c r="A6" s="17" t="s">
        <v>63</v>
      </c>
      <c r="B6" s="17" t="s">
        <v>206</v>
      </c>
      <c r="C6" s="17" t="s">
        <v>177</v>
      </c>
      <c r="D6" s="17" t="s">
        <v>25</v>
      </c>
      <c r="F6" s="18">
        <v>0</v>
      </c>
      <c r="G6" s="18">
        <v>0</v>
      </c>
      <c r="H6" s="18">
        <v>0</v>
      </c>
      <c r="I6" s="17" t="s">
        <v>54</v>
      </c>
      <c r="J6" s="17" t="s">
        <v>154</v>
      </c>
      <c r="K6" s="17" t="s">
        <v>188</v>
      </c>
      <c r="L6" s="17" t="s">
        <v>184</v>
      </c>
    </row>
    <row r="7" spans="1:12" ht="16" customHeight="1">
      <c r="A7" s="17" t="s">
        <v>63</v>
      </c>
      <c r="B7" s="17" t="s">
        <v>206</v>
      </c>
      <c r="C7" s="17" t="s">
        <v>102</v>
      </c>
      <c r="D7" s="17" t="s">
        <v>25</v>
      </c>
      <c r="E7" s="17" t="s">
        <v>103</v>
      </c>
      <c r="F7" s="18">
        <v>14</v>
      </c>
      <c r="G7" s="18"/>
      <c r="H7" s="18"/>
      <c r="I7" s="17" t="s">
        <v>20</v>
      </c>
      <c r="J7" s="17" t="s">
        <v>24</v>
      </c>
      <c r="K7" s="17" t="s">
        <v>104</v>
      </c>
    </row>
    <row r="8" spans="1:12" ht="16" customHeight="1">
      <c r="A8" s="17" t="s">
        <v>63</v>
      </c>
      <c r="B8" s="17" t="s">
        <v>206</v>
      </c>
      <c r="C8" s="17" t="s">
        <v>105</v>
      </c>
      <c r="D8" s="17" t="s">
        <v>107</v>
      </c>
      <c r="F8" s="18">
        <v>0.8</v>
      </c>
      <c r="G8" s="18"/>
      <c r="H8" s="18"/>
      <c r="I8" s="17" t="s">
        <v>20</v>
      </c>
      <c r="J8" s="17" t="s">
        <v>24</v>
      </c>
      <c r="K8" s="17" t="s">
        <v>108</v>
      </c>
      <c r="L8" s="17" t="s">
        <v>220</v>
      </c>
    </row>
    <row r="9" spans="1:12" ht="16" customHeight="1">
      <c r="A9" s="17" t="s">
        <v>63</v>
      </c>
      <c r="B9" s="17" t="s">
        <v>206</v>
      </c>
      <c r="C9" s="17" t="s">
        <v>106</v>
      </c>
      <c r="D9" s="17" t="s">
        <v>107</v>
      </c>
      <c r="F9" s="18">
        <v>0.2</v>
      </c>
      <c r="G9" s="18">
        <v>0.2</v>
      </c>
      <c r="H9" s="18">
        <v>0.2</v>
      </c>
      <c r="I9" s="17" t="s">
        <v>20</v>
      </c>
      <c r="J9" s="17" t="s">
        <v>24</v>
      </c>
      <c r="K9" s="17" t="s">
        <v>108</v>
      </c>
      <c r="L9" s="17" t="s">
        <v>220</v>
      </c>
    </row>
    <row r="10" spans="1:12" ht="16" customHeight="1">
      <c r="A10" s="24"/>
      <c r="B10" s="24"/>
      <c r="C10" s="24"/>
      <c r="D10" s="24"/>
      <c r="E10" s="24"/>
      <c r="F10" s="28"/>
      <c r="G10" s="28"/>
      <c r="H10" s="28"/>
      <c r="I10" s="24"/>
      <c r="J10" s="24"/>
      <c r="K10" s="24"/>
      <c r="L10" s="24"/>
    </row>
    <row r="11" spans="1:12" ht="16" customHeight="1">
      <c r="A11" s="17" t="s">
        <v>148</v>
      </c>
      <c r="B11" s="17" t="s">
        <v>206</v>
      </c>
      <c r="C11" s="17" t="s">
        <v>74</v>
      </c>
      <c r="D11" s="17" t="s">
        <v>22</v>
      </c>
      <c r="F11" s="18">
        <v>1</v>
      </c>
      <c r="G11" s="17">
        <v>1</v>
      </c>
      <c r="H11" s="17">
        <v>1</v>
      </c>
      <c r="I11" s="17" t="s">
        <v>20</v>
      </c>
      <c r="J11" s="27" t="s">
        <v>129</v>
      </c>
      <c r="K11" s="17" t="s">
        <v>221</v>
      </c>
      <c r="L11" s="17" t="s">
        <v>222</v>
      </c>
    </row>
    <row r="12" spans="1:12" ht="16" customHeight="1">
      <c r="A12" s="17" t="s">
        <v>148</v>
      </c>
      <c r="B12" s="17" t="s">
        <v>206</v>
      </c>
      <c r="C12" s="17" t="s">
        <v>115</v>
      </c>
      <c r="D12" s="17" t="s">
        <v>70</v>
      </c>
      <c r="E12" s="17" t="s">
        <v>81</v>
      </c>
      <c r="F12" s="17">
        <f>(1.425+2.565)/2</f>
        <v>1.9950000000000001</v>
      </c>
      <c r="G12" s="17">
        <f>0.95*1.5</f>
        <v>1.4249999999999998</v>
      </c>
      <c r="H12" s="17">
        <f>1.71*1.5</f>
        <v>2.5649999999999999</v>
      </c>
      <c r="I12" s="17" t="s">
        <v>16</v>
      </c>
      <c r="J12" s="27" t="s">
        <v>55</v>
      </c>
      <c r="K12" s="17" t="s">
        <v>56</v>
      </c>
      <c r="L12" s="17" t="s">
        <v>217</v>
      </c>
    </row>
    <row r="13" spans="1:12" ht="16" customHeight="1">
      <c r="A13" s="17" t="s">
        <v>148</v>
      </c>
      <c r="B13" s="17" t="s">
        <v>206</v>
      </c>
      <c r="C13" s="17" t="s">
        <v>114</v>
      </c>
      <c r="D13" s="17" t="s">
        <v>70</v>
      </c>
      <c r="E13" s="17" t="s">
        <v>81</v>
      </c>
      <c r="F13" s="17">
        <f>(1.425+2.565)/2</f>
        <v>1.9950000000000001</v>
      </c>
      <c r="G13" s="17">
        <f>0.95*1.5</f>
        <v>1.4249999999999998</v>
      </c>
      <c r="H13" s="17">
        <f>1.71*1.5</f>
        <v>2.5649999999999999</v>
      </c>
      <c r="I13" s="17" t="s">
        <v>16</v>
      </c>
      <c r="J13" s="27" t="s">
        <v>55</v>
      </c>
      <c r="K13" s="17" t="s">
        <v>56</v>
      </c>
      <c r="L13" s="17" t="s">
        <v>217</v>
      </c>
    </row>
    <row r="14" spans="1:12" ht="16" customHeight="1">
      <c r="A14" s="17" t="s">
        <v>148</v>
      </c>
      <c r="B14" s="17" t="s">
        <v>206</v>
      </c>
      <c r="C14" s="17" t="s">
        <v>113</v>
      </c>
      <c r="D14" s="17" t="s">
        <v>25</v>
      </c>
      <c r="E14" s="17" t="s">
        <v>146</v>
      </c>
      <c r="F14" s="18">
        <v>7</v>
      </c>
      <c r="G14" s="17">
        <v>3</v>
      </c>
      <c r="H14" s="17">
        <v>10</v>
      </c>
      <c r="I14" s="17" t="s">
        <v>16</v>
      </c>
      <c r="J14" s="27" t="s">
        <v>52</v>
      </c>
      <c r="K14" s="17" t="s">
        <v>225</v>
      </c>
    </row>
    <row r="15" spans="1:12" ht="16" customHeight="1">
      <c r="A15" s="17" t="s">
        <v>148</v>
      </c>
      <c r="B15" s="17" t="s">
        <v>206</v>
      </c>
      <c r="C15" s="17" t="s">
        <v>118</v>
      </c>
      <c r="D15" s="17" t="s">
        <v>139</v>
      </c>
      <c r="E15" s="17" t="s">
        <v>38</v>
      </c>
      <c r="F15" s="18">
        <v>0.83</v>
      </c>
      <c r="G15" s="17">
        <v>0.75</v>
      </c>
      <c r="H15" s="17">
        <v>0.93</v>
      </c>
      <c r="I15" s="17" t="s">
        <v>11</v>
      </c>
      <c r="J15" s="27" t="s">
        <v>52</v>
      </c>
      <c r="K15" s="17" t="s">
        <v>215</v>
      </c>
      <c r="L15" s="17" t="s">
        <v>223</v>
      </c>
    </row>
    <row r="16" spans="1:12" ht="16" customHeight="1">
      <c r="A16" s="17" t="s">
        <v>148</v>
      </c>
      <c r="B16" s="17" t="s">
        <v>206</v>
      </c>
      <c r="C16" s="17" t="s">
        <v>117</v>
      </c>
      <c r="D16" s="17" t="s">
        <v>25</v>
      </c>
      <c r="E16" s="17" t="s">
        <v>103</v>
      </c>
      <c r="F16" s="18">
        <v>28</v>
      </c>
      <c r="I16" s="17" t="s">
        <v>20</v>
      </c>
      <c r="J16" s="27" t="s">
        <v>52</v>
      </c>
      <c r="K16" s="17" t="s">
        <v>72</v>
      </c>
      <c r="L16" s="17" t="s">
        <v>223</v>
      </c>
    </row>
    <row r="17" spans="1:12" ht="16" customHeight="1">
      <c r="A17" s="17" t="s">
        <v>148</v>
      </c>
      <c r="B17" s="17" t="s">
        <v>206</v>
      </c>
      <c r="C17" s="17" t="s">
        <v>119</v>
      </c>
      <c r="D17" s="17" t="s">
        <v>139</v>
      </c>
      <c r="E17" s="17" t="s">
        <v>71</v>
      </c>
      <c r="F17" s="18">
        <v>1</v>
      </c>
      <c r="I17" s="17" t="s">
        <v>20</v>
      </c>
      <c r="J17" s="27" t="s">
        <v>52</v>
      </c>
      <c r="K17" s="17" t="s">
        <v>155</v>
      </c>
      <c r="L17" s="17" t="s">
        <v>223</v>
      </c>
    </row>
    <row r="18" spans="1:12" ht="16" customHeight="1">
      <c r="A18" s="17" t="s">
        <v>148</v>
      </c>
      <c r="B18" s="17" t="s">
        <v>206</v>
      </c>
      <c r="C18" s="17" t="s">
        <v>116</v>
      </c>
      <c r="D18" s="17" t="s">
        <v>25</v>
      </c>
      <c r="E18" s="17" t="s">
        <v>103</v>
      </c>
      <c r="F18" s="18">
        <f>73-28</f>
        <v>45</v>
      </c>
      <c r="I18" s="17" t="s">
        <v>20</v>
      </c>
      <c r="J18" s="27" t="s">
        <v>52</v>
      </c>
      <c r="K18" s="17" t="s">
        <v>189</v>
      </c>
    </row>
    <row r="19" spans="1:12" ht="16" customHeight="1">
      <c r="A19" s="17" t="s">
        <v>148</v>
      </c>
      <c r="B19" s="17" t="s">
        <v>206</v>
      </c>
      <c r="C19" s="17" t="s">
        <v>120</v>
      </c>
      <c r="D19" s="17" t="s">
        <v>139</v>
      </c>
      <c r="E19" s="17" t="s">
        <v>38</v>
      </c>
      <c r="F19" s="18">
        <v>0.82</v>
      </c>
      <c r="G19" s="17">
        <v>0.72</v>
      </c>
      <c r="H19" s="17">
        <v>0.94</v>
      </c>
      <c r="I19" s="17" t="s">
        <v>11</v>
      </c>
      <c r="J19" s="27" t="s">
        <v>52</v>
      </c>
      <c r="K19" s="17" t="s">
        <v>156</v>
      </c>
    </row>
    <row r="20" spans="1:12" ht="16" customHeight="1">
      <c r="A20" s="17" t="s">
        <v>148</v>
      </c>
      <c r="B20" s="17" t="s">
        <v>206</v>
      </c>
      <c r="C20" s="17" t="s">
        <v>121</v>
      </c>
      <c r="D20" s="17" t="s">
        <v>139</v>
      </c>
      <c r="E20" s="17" t="s">
        <v>71</v>
      </c>
      <c r="F20" s="18">
        <v>1</v>
      </c>
      <c r="G20" s="18"/>
      <c r="I20" s="17" t="s">
        <v>20</v>
      </c>
      <c r="J20" s="27" t="s">
        <v>52</v>
      </c>
      <c r="K20" s="17" t="s">
        <v>155</v>
      </c>
    </row>
    <row r="21" spans="1:12" ht="16" customHeight="1">
      <c r="A21" s="17" t="s">
        <v>148</v>
      </c>
      <c r="B21" s="17" t="s">
        <v>206</v>
      </c>
      <c r="C21" s="17" t="s">
        <v>122</v>
      </c>
      <c r="D21" s="17" t="s">
        <v>139</v>
      </c>
      <c r="E21" s="17" t="s">
        <v>38</v>
      </c>
      <c r="F21" s="18">
        <v>0.64</v>
      </c>
      <c r="G21" s="17">
        <v>0.51</v>
      </c>
      <c r="H21" s="17">
        <v>0.81</v>
      </c>
      <c r="I21" s="17" t="s">
        <v>11</v>
      </c>
      <c r="J21" s="27" t="s">
        <v>52</v>
      </c>
      <c r="K21" s="17" t="s">
        <v>156</v>
      </c>
    </row>
    <row r="22" spans="1:12" ht="16" customHeight="1">
      <c r="A22" s="17" t="s">
        <v>148</v>
      </c>
      <c r="B22" s="17" t="s">
        <v>206</v>
      </c>
      <c r="C22" s="17" t="s">
        <v>123</v>
      </c>
      <c r="D22" s="17" t="s">
        <v>139</v>
      </c>
      <c r="E22" s="17" t="s">
        <v>71</v>
      </c>
      <c r="F22" s="18">
        <v>1</v>
      </c>
      <c r="I22" s="17" t="s">
        <v>20</v>
      </c>
      <c r="J22" s="27" t="s">
        <v>52</v>
      </c>
      <c r="K22" s="17" t="s">
        <v>155</v>
      </c>
    </row>
    <row r="23" spans="1:12" ht="16" customHeight="1">
      <c r="A23" s="17" t="s">
        <v>148</v>
      </c>
      <c r="B23" s="17" t="s">
        <v>206</v>
      </c>
      <c r="C23" s="17" t="s">
        <v>112</v>
      </c>
      <c r="D23" s="17" t="s">
        <v>78</v>
      </c>
      <c r="E23" s="17" t="s">
        <v>103</v>
      </c>
      <c r="F23" s="18">
        <v>13</v>
      </c>
      <c r="G23" s="17">
        <f>F23-1.96*(0.2*F23)</f>
        <v>7.9039999999999999</v>
      </c>
      <c r="H23" s="17">
        <f>F23+1.96*(0.2*F23)</f>
        <v>18.096</v>
      </c>
      <c r="I23" s="17" t="s">
        <v>16</v>
      </c>
      <c r="J23" s="27" t="s">
        <v>52</v>
      </c>
      <c r="K23" s="17" t="s">
        <v>80</v>
      </c>
      <c r="L23" s="17" t="s">
        <v>143</v>
      </c>
    </row>
    <row r="24" spans="1:12" ht="16" customHeight="1">
      <c r="A24" s="17" t="s">
        <v>148</v>
      </c>
      <c r="B24" s="17" t="s">
        <v>206</v>
      </c>
      <c r="C24" s="17" t="s">
        <v>111</v>
      </c>
      <c r="D24" s="17" t="s">
        <v>78</v>
      </c>
      <c r="E24" s="17" t="s">
        <v>103</v>
      </c>
      <c r="F24" s="18">
        <v>12</v>
      </c>
      <c r="G24" s="17">
        <f>F24-1.96*(0.2*F24)</f>
        <v>7.2959999999999994</v>
      </c>
      <c r="H24" s="17">
        <f t="shared" ref="H24" si="0">F24+1.96*(0.2*F24)</f>
        <v>16.704000000000001</v>
      </c>
      <c r="I24" s="17" t="s">
        <v>16</v>
      </c>
      <c r="J24" s="27" t="s">
        <v>52</v>
      </c>
      <c r="K24" s="17" t="s">
        <v>79</v>
      </c>
      <c r="L24" s="17" t="s">
        <v>143</v>
      </c>
    </row>
    <row r="25" spans="1:12" ht="16" customHeight="1">
      <c r="A25" s="24"/>
      <c r="B25" s="24"/>
      <c r="C25" s="24"/>
      <c r="D25" s="24"/>
      <c r="E25" s="24"/>
      <c r="F25" s="28"/>
      <c r="G25" s="24"/>
      <c r="H25" s="24"/>
      <c r="I25" s="24"/>
      <c r="J25" s="29"/>
      <c r="K25" s="24"/>
      <c r="L25" s="24"/>
    </row>
    <row r="26" spans="1:12" s="30" customFormat="1" ht="16" customHeight="1">
      <c r="A26" s="17" t="s">
        <v>153</v>
      </c>
      <c r="B26" s="17" t="s">
        <v>206</v>
      </c>
      <c r="C26" s="17" t="s">
        <v>74</v>
      </c>
      <c r="D26" s="17" t="s">
        <v>22</v>
      </c>
      <c r="E26" s="17"/>
      <c r="F26" s="18">
        <f>3001/18183</f>
        <v>0.16504427212231204</v>
      </c>
      <c r="G26" s="17">
        <v>3001</v>
      </c>
      <c r="H26" s="17">
        <f>18183-3001</f>
        <v>15182</v>
      </c>
      <c r="I26" s="17" t="s">
        <v>10</v>
      </c>
      <c r="J26" s="17" t="s">
        <v>24</v>
      </c>
      <c r="K26" s="17" t="s">
        <v>76</v>
      </c>
      <c r="L26" s="17"/>
    </row>
    <row r="27" spans="1:12" ht="16" customHeight="1">
      <c r="A27" s="17" t="s">
        <v>153</v>
      </c>
      <c r="B27" s="17" t="s">
        <v>206</v>
      </c>
      <c r="C27" s="17" t="s">
        <v>115</v>
      </c>
      <c r="D27" s="17" t="s">
        <v>70</v>
      </c>
      <c r="E27" s="17" t="s">
        <v>81</v>
      </c>
      <c r="F27" s="18">
        <v>2.34</v>
      </c>
      <c r="G27" s="17">
        <f>0.8*2.34</f>
        <v>1.8719999999999999</v>
      </c>
      <c r="H27" s="17">
        <f>2.34*1.2</f>
        <v>2.8079999999999998</v>
      </c>
      <c r="I27" s="17" t="s">
        <v>16</v>
      </c>
      <c r="J27" s="27" t="s">
        <v>125</v>
      </c>
      <c r="K27" s="17" t="s">
        <v>149</v>
      </c>
      <c r="L27" s="17" t="s">
        <v>217</v>
      </c>
    </row>
    <row r="28" spans="1:12" ht="16" customHeight="1">
      <c r="A28" s="17" t="s">
        <v>153</v>
      </c>
      <c r="B28" s="17" t="s">
        <v>206</v>
      </c>
      <c r="C28" s="17" t="s">
        <v>114</v>
      </c>
      <c r="D28" s="17" t="s">
        <v>70</v>
      </c>
      <c r="E28" s="17" t="s">
        <v>81</v>
      </c>
      <c r="F28" s="18">
        <v>2.34</v>
      </c>
      <c r="G28" s="17">
        <f>0.8*2.34</f>
        <v>1.8719999999999999</v>
      </c>
      <c r="H28" s="17">
        <f>2.34*1.2</f>
        <v>2.8079999999999998</v>
      </c>
      <c r="I28" s="17" t="s">
        <v>16</v>
      </c>
      <c r="J28" s="27" t="s">
        <v>125</v>
      </c>
      <c r="K28" s="17" t="s">
        <v>149</v>
      </c>
      <c r="L28" s="17" t="s">
        <v>217</v>
      </c>
    </row>
    <row r="29" spans="1:12" ht="16" customHeight="1">
      <c r="A29" s="17" t="s">
        <v>153</v>
      </c>
      <c r="B29" s="17" t="s">
        <v>63</v>
      </c>
      <c r="C29" s="17" t="s">
        <v>113</v>
      </c>
      <c r="D29" s="17" t="s">
        <v>25</v>
      </c>
      <c r="E29" s="17" t="s">
        <v>146</v>
      </c>
      <c r="F29" s="18">
        <v>5</v>
      </c>
      <c r="G29" s="18">
        <v>2</v>
      </c>
      <c r="H29" s="18">
        <v>8</v>
      </c>
      <c r="I29" s="17" t="s">
        <v>16</v>
      </c>
      <c r="J29" s="27" t="s">
        <v>152</v>
      </c>
      <c r="K29" s="17" t="s">
        <v>226</v>
      </c>
    </row>
    <row r="30" spans="1:12" ht="16" customHeight="1">
      <c r="A30" s="17" t="s">
        <v>153</v>
      </c>
      <c r="B30" s="17" t="s">
        <v>63</v>
      </c>
      <c r="C30" s="17" t="s">
        <v>141</v>
      </c>
      <c r="D30" s="17" t="s">
        <v>140</v>
      </c>
      <c r="E30" s="17" t="s">
        <v>38</v>
      </c>
      <c r="F30" s="18">
        <v>1.03</v>
      </c>
      <c r="G30" s="17">
        <v>0.91</v>
      </c>
      <c r="H30" s="17">
        <v>1.17</v>
      </c>
      <c r="I30" s="17" t="s">
        <v>11</v>
      </c>
      <c r="J30" s="27" t="s">
        <v>152</v>
      </c>
      <c r="K30" s="17" t="s">
        <v>227</v>
      </c>
      <c r="L30" s="17" t="s">
        <v>223</v>
      </c>
    </row>
    <row r="31" spans="1:12" ht="16" customHeight="1">
      <c r="A31" s="17" t="s">
        <v>153</v>
      </c>
      <c r="B31" s="17" t="s">
        <v>63</v>
      </c>
      <c r="C31" s="17" t="s">
        <v>117</v>
      </c>
      <c r="D31" s="17" t="s">
        <v>25</v>
      </c>
      <c r="E31" s="17" t="s">
        <v>103</v>
      </c>
      <c r="F31" s="18">
        <v>28</v>
      </c>
      <c r="I31" s="17" t="s">
        <v>20</v>
      </c>
      <c r="J31" s="31" t="s">
        <v>152</v>
      </c>
      <c r="K31" s="17" t="s">
        <v>72</v>
      </c>
      <c r="L31" s="17" t="s">
        <v>223</v>
      </c>
    </row>
    <row r="32" spans="1:12" ht="16" customHeight="1">
      <c r="A32" s="17" t="s">
        <v>153</v>
      </c>
      <c r="B32" s="17" t="s">
        <v>63</v>
      </c>
      <c r="C32" s="17" t="s">
        <v>142</v>
      </c>
      <c r="D32" s="17" t="s">
        <v>140</v>
      </c>
      <c r="E32" s="17" t="s">
        <v>71</v>
      </c>
      <c r="F32" s="18">
        <v>1</v>
      </c>
      <c r="H32" s="18"/>
      <c r="I32" s="17" t="s">
        <v>20</v>
      </c>
      <c r="J32" s="27" t="s">
        <v>152</v>
      </c>
      <c r="K32" s="17" t="s">
        <v>194</v>
      </c>
      <c r="L32" s="17" t="s">
        <v>223</v>
      </c>
    </row>
    <row r="33" spans="1:12" ht="16" customHeight="1">
      <c r="A33" s="17" t="s">
        <v>153</v>
      </c>
      <c r="B33" s="17" t="s">
        <v>63</v>
      </c>
      <c r="C33" s="17" t="s">
        <v>116</v>
      </c>
      <c r="D33" s="17" t="s">
        <v>25</v>
      </c>
      <c r="E33" s="17" t="s">
        <v>103</v>
      </c>
      <c r="F33" s="18">
        <f>73-F31</f>
        <v>45</v>
      </c>
      <c r="I33" s="17" t="s">
        <v>20</v>
      </c>
      <c r="J33" s="31" t="s">
        <v>152</v>
      </c>
      <c r="K33" s="17" t="s">
        <v>189</v>
      </c>
    </row>
    <row r="34" spans="1:12" ht="16" customHeight="1">
      <c r="A34" s="17" t="s">
        <v>153</v>
      </c>
      <c r="B34" s="17" t="s">
        <v>63</v>
      </c>
      <c r="C34" s="17" t="s">
        <v>112</v>
      </c>
      <c r="D34" s="17" t="s">
        <v>78</v>
      </c>
      <c r="E34" s="17" t="s">
        <v>103</v>
      </c>
      <c r="F34" s="18">
        <v>11</v>
      </c>
      <c r="G34" s="17">
        <v>5</v>
      </c>
      <c r="H34" s="17">
        <v>28</v>
      </c>
      <c r="I34" s="17" t="s">
        <v>16</v>
      </c>
      <c r="J34" s="27" t="s">
        <v>152</v>
      </c>
      <c r="K34" s="17" t="s">
        <v>228</v>
      </c>
    </row>
    <row r="35" spans="1:12" ht="16" customHeight="1">
      <c r="A35" s="17" t="s">
        <v>153</v>
      </c>
      <c r="B35" s="17" t="s">
        <v>63</v>
      </c>
      <c r="C35" s="17" t="s">
        <v>111</v>
      </c>
      <c r="D35" s="17" t="s">
        <v>78</v>
      </c>
      <c r="E35" s="17" t="s">
        <v>103</v>
      </c>
      <c r="F35" s="18">
        <v>11</v>
      </c>
      <c r="G35" s="17">
        <v>5</v>
      </c>
      <c r="H35" s="17">
        <v>28</v>
      </c>
      <c r="I35" s="17" t="s">
        <v>16</v>
      </c>
      <c r="J35" s="27" t="s">
        <v>152</v>
      </c>
      <c r="K35" s="17" t="s">
        <v>229</v>
      </c>
    </row>
    <row r="36" spans="1:12" ht="16" customHeight="1">
      <c r="A36" s="24"/>
      <c r="B36" s="24"/>
      <c r="C36" s="24"/>
      <c r="D36" s="24"/>
      <c r="E36" s="24"/>
      <c r="F36" s="28"/>
      <c r="G36" s="24"/>
      <c r="H36" s="24"/>
      <c r="I36" s="24"/>
      <c r="J36" s="29"/>
      <c r="K36" s="24"/>
      <c r="L36" s="24"/>
    </row>
    <row r="37" spans="1:12" ht="16" customHeight="1">
      <c r="A37" s="17" t="s">
        <v>150</v>
      </c>
      <c r="B37" s="17" t="s">
        <v>206</v>
      </c>
      <c r="C37" s="17" t="s">
        <v>115</v>
      </c>
      <c r="D37" s="17" t="s">
        <v>70</v>
      </c>
      <c r="E37" s="17" t="s">
        <v>81</v>
      </c>
      <c r="F37" s="18">
        <f>(1.03+1.2)/2</f>
        <v>1.115</v>
      </c>
      <c r="G37" s="17">
        <f>1.03</f>
        <v>1.03</v>
      </c>
      <c r="H37" s="17">
        <v>1.2</v>
      </c>
      <c r="I37" s="17" t="s">
        <v>16</v>
      </c>
      <c r="J37" s="27" t="s">
        <v>126</v>
      </c>
      <c r="K37" s="17" t="s">
        <v>127</v>
      </c>
      <c r="L37" s="17" t="s">
        <v>217</v>
      </c>
    </row>
    <row r="38" spans="1:12" ht="16" customHeight="1">
      <c r="A38" s="17" t="s">
        <v>150</v>
      </c>
      <c r="B38" s="17" t="s">
        <v>206</v>
      </c>
      <c r="C38" s="17" t="s">
        <v>114</v>
      </c>
      <c r="D38" s="17" t="s">
        <v>70</v>
      </c>
      <c r="E38" s="17" t="s">
        <v>81</v>
      </c>
      <c r="F38" s="18">
        <f>(1.03+1.2)/2</f>
        <v>1.115</v>
      </c>
      <c r="G38" s="17">
        <f>1.03</f>
        <v>1.03</v>
      </c>
      <c r="H38" s="17">
        <v>1.2</v>
      </c>
      <c r="I38" s="17" t="s">
        <v>16</v>
      </c>
      <c r="J38" s="27" t="s">
        <v>126</v>
      </c>
      <c r="K38" s="17" t="s">
        <v>127</v>
      </c>
      <c r="L38" s="17" t="s">
        <v>217</v>
      </c>
    </row>
    <row r="39" spans="1:12" ht="16" customHeight="1">
      <c r="A39" s="17" t="s">
        <v>150</v>
      </c>
      <c r="B39" s="17" t="s">
        <v>63</v>
      </c>
      <c r="C39" s="17" t="s">
        <v>113</v>
      </c>
      <c r="D39" s="17" t="s">
        <v>25</v>
      </c>
      <c r="E39" s="17" t="s">
        <v>146</v>
      </c>
      <c r="F39" s="18">
        <f>4+4+4*6</f>
        <v>32</v>
      </c>
      <c r="G39" s="18">
        <f>4+4+4*3</f>
        <v>20</v>
      </c>
      <c r="H39" s="18">
        <f>4+4+4*10</f>
        <v>48</v>
      </c>
      <c r="I39" s="17" t="s">
        <v>16</v>
      </c>
      <c r="J39" s="27" t="s">
        <v>124</v>
      </c>
      <c r="K39" s="17" t="s">
        <v>128</v>
      </c>
    </row>
    <row r="40" spans="1:12" ht="16" customHeight="1">
      <c r="A40" s="17" t="s">
        <v>150</v>
      </c>
      <c r="B40" s="17" t="s">
        <v>63</v>
      </c>
      <c r="C40" s="17" t="s">
        <v>141</v>
      </c>
      <c r="D40" s="17" t="s">
        <v>140</v>
      </c>
      <c r="E40" s="17" t="s">
        <v>38</v>
      </c>
      <c r="F40" s="18">
        <v>1.0900000000000001</v>
      </c>
      <c r="G40" s="17">
        <v>0.97</v>
      </c>
      <c r="H40" s="17">
        <v>1.23</v>
      </c>
      <c r="I40" s="17" t="s">
        <v>11</v>
      </c>
      <c r="J40" s="27" t="s">
        <v>124</v>
      </c>
      <c r="K40" s="17" t="s">
        <v>202</v>
      </c>
      <c r="L40" s="17" t="s">
        <v>223</v>
      </c>
    </row>
    <row r="41" spans="1:12" ht="16" customHeight="1">
      <c r="A41" s="17" t="s">
        <v>150</v>
      </c>
      <c r="B41" s="17" t="s">
        <v>63</v>
      </c>
      <c r="C41" s="17" t="s">
        <v>117</v>
      </c>
      <c r="D41" s="17" t="s">
        <v>25</v>
      </c>
      <c r="E41" s="17" t="s">
        <v>103</v>
      </c>
      <c r="F41" s="18">
        <v>28</v>
      </c>
      <c r="I41" s="17" t="s">
        <v>20</v>
      </c>
      <c r="J41" s="31" t="s">
        <v>124</v>
      </c>
      <c r="K41" s="17" t="s">
        <v>72</v>
      </c>
      <c r="L41" s="17" t="s">
        <v>223</v>
      </c>
    </row>
    <row r="42" spans="1:12" ht="16" customHeight="1">
      <c r="A42" s="17" t="s">
        <v>150</v>
      </c>
      <c r="B42" s="17" t="s">
        <v>63</v>
      </c>
      <c r="C42" s="17" t="s">
        <v>142</v>
      </c>
      <c r="D42" s="17" t="s">
        <v>140</v>
      </c>
      <c r="E42" s="17" t="s">
        <v>71</v>
      </c>
      <c r="F42" s="18">
        <v>1</v>
      </c>
      <c r="H42" s="18"/>
      <c r="I42" s="17" t="s">
        <v>20</v>
      </c>
      <c r="J42" s="27" t="s">
        <v>124</v>
      </c>
      <c r="K42" s="17" t="s">
        <v>194</v>
      </c>
      <c r="L42" s="17" t="s">
        <v>223</v>
      </c>
    </row>
    <row r="43" spans="1:12" ht="16" customHeight="1">
      <c r="A43" s="17" t="s">
        <v>150</v>
      </c>
      <c r="B43" s="17" t="s">
        <v>63</v>
      </c>
      <c r="C43" s="17" t="s">
        <v>116</v>
      </c>
      <c r="D43" s="17" t="s">
        <v>25</v>
      </c>
      <c r="E43" s="17" t="s">
        <v>103</v>
      </c>
      <c r="F43" s="18">
        <f>73-F41</f>
        <v>45</v>
      </c>
      <c r="I43" s="17" t="s">
        <v>20</v>
      </c>
      <c r="J43" s="27" t="s">
        <v>124</v>
      </c>
      <c r="K43" s="17" t="s">
        <v>189</v>
      </c>
    </row>
    <row r="44" spans="1:12" ht="16" customHeight="1">
      <c r="A44" s="17" t="s">
        <v>150</v>
      </c>
      <c r="B44" s="17" t="s">
        <v>63</v>
      </c>
      <c r="C44" s="17" t="s">
        <v>112</v>
      </c>
      <c r="D44" s="17" t="s">
        <v>78</v>
      </c>
      <c r="E44" s="17" t="s">
        <v>103</v>
      </c>
      <c r="F44" s="18">
        <v>16</v>
      </c>
      <c r="G44" s="17">
        <f>F44-1.96*(0.2*F44)</f>
        <v>9.7279999999999998</v>
      </c>
      <c r="H44" s="17">
        <f t="shared" ref="H44:H45" si="1">F44+1.96*(0.2*F44)</f>
        <v>22.271999999999998</v>
      </c>
      <c r="I44" s="17" t="s">
        <v>16</v>
      </c>
      <c r="J44" s="27" t="s">
        <v>124</v>
      </c>
      <c r="K44" s="17" t="s">
        <v>80</v>
      </c>
      <c r="L44" s="17" t="s">
        <v>143</v>
      </c>
    </row>
    <row r="45" spans="1:12" ht="16" customHeight="1">
      <c r="A45" s="17" t="s">
        <v>150</v>
      </c>
      <c r="B45" s="17" t="s">
        <v>63</v>
      </c>
      <c r="C45" s="17" t="s">
        <v>111</v>
      </c>
      <c r="D45" s="17" t="s">
        <v>78</v>
      </c>
      <c r="E45" s="17" t="s">
        <v>103</v>
      </c>
      <c r="F45" s="18">
        <v>13</v>
      </c>
      <c r="G45" s="17">
        <f>F45-1.96*(0.2*F45)</f>
        <v>7.9039999999999999</v>
      </c>
      <c r="H45" s="17">
        <f t="shared" si="1"/>
        <v>18.096</v>
      </c>
      <c r="I45" s="17" t="s">
        <v>16</v>
      </c>
      <c r="J45" s="27" t="s">
        <v>124</v>
      </c>
      <c r="K45" s="17" t="s">
        <v>79</v>
      </c>
      <c r="L45" s="17" t="s">
        <v>143</v>
      </c>
    </row>
    <row r="46" spans="1:12" ht="16" customHeight="1">
      <c r="A46" s="17" t="s">
        <v>150</v>
      </c>
      <c r="B46" s="17" t="s">
        <v>63</v>
      </c>
      <c r="C46" s="17" t="s">
        <v>74</v>
      </c>
      <c r="D46" s="17" t="s">
        <v>22</v>
      </c>
      <c r="F46" s="18">
        <f>3001/18183</f>
        <v>0.16504427212231204</v>
      </c>
      <c r="G46" s="17">
        <v>3001</v>
      </c>
      <c r="H46" s="17">
        <f>18183-3001</f>
        <v>15182</v>
      </c>
      <c r="I46" s="17" t="s">
        <v>10</v>
      </c>
      <c r="J46" s="17" t="s">
        <v>24</v>
      </c>
      <c r="K46" s="17" t="s">
        <v>76</v>
      </c>
    </row>
    <row r="47" spans="1:12" ht="16" customHeight="1">
      <c r="A47" s="24"/>
      <c r="B47" s="24"/>
      <c r="C47" s="24"/>
      <c r="D47" s="24"/>
      <c r="E47" s="24"/>
      <c r="F47" s="28"/>
      <c r="G47" s="24"/>
      <c r="H47" s="24"/>
      <c r="I47" s="24"/>
      <c r="J47" s="29"/>
      <c r="K47" s="24"/>
      <c r="L47" s="24"/>
    </row>
    <row r="48" spans="1:12" ht="16" customHeight="1">
      <c r="A48" s="17" t="s">
        <v>151</v>
      </c>
      <c r="B48" s="17" t="s">
        <v>206</v>
      </c>
      <c r="C48" s="17" t="s">
        <v>115</v>
      </c>
      <c r="D48" s="17" t="s">
        <v>70</v>
      </c>
      <c r="E48" s="17" t="s">
        <v>81</v>
      </c>
      <c r="F48" s="18">
        <f>8749/12</f>
        <v>729.08333333333337</v>
      </c>
      <c r="G48" s="17">
        <f>0.8*729.083</f>
        <v>583.26639999999998</v>
      </c>
      <c r="H48" s="17">
        <f>1.2*729.083</f>
        <v>874.89959999999996</v>
      </c>
      <c r="I48" s="17" t="s">
        <v>16</v>
      </c>
      <c r="J48" s="27" t="s">
        <v>131</v>
      </c>
      <c r="K48" s="17" t="s">
        <v>132</v>
      </c>
      <c r="L48" s="17" t="s">
        <v>217</v>
      </c>
    </row>
    <row r="49" spans="1:12" ht="16" customHeight="1">
      <c r="A49" s="17" t="s">
        <v>151</v>
      </c>
      <c r="B49" s="17" t="s">
        <v>206</v>
      </c>
      <c r="C49" s="17" t="s">
        <v>114</v>
      </c>
      <c r="D49" s="17" t="s">
        <v>70</v>
      </c>
      <c r="E49" s="17" t="s">
        <v>81</v>
      </c>
      <c r="F49" s="18">
        <f>8749/12</f>
        <v>729.08333333333337</v>
      </c>
      <c r="G49" s="18">
        <f>0.8*729.083</f>
        <v>583.26639999999998</v>
      </c>
      <c r="H49" s="18">
        <f>1.2*729.083</f>
        <v>874.89959999999996</v>
      </c>
      <c r="I49" s="17" t="s">
        <v>16</v>
      </c>
      <c r="J49" s="27" t="s">
        <v>131</v>
      </c>
      <c r="K49" s="17" t="s">
        <v>132</v>
      </c>
      <c r="L49" s="17" t="s">
        <v>217</v>
      </c>
    </row>
    <row r="50" spans="1:12" ht="16" customHeight="1">
      <c r="A50" s="17" t="s">
        <v>151</v>
      </c>
      <c r="B50" s="17" t="s">
        <v>63</v>
      </c>
      <c r="C50" s="17" t="s">
        <v>113</v>
      </c>
      <c r="D50" s="17" t="s">
        <v>25</v>
      </c>
      <c r="E50" s="17" t="s">
        <v>146</v>
      </c>
      <c r="F50" s="18">
        <v>6</v>
      </c>
      <c r="G50" s="18"/>
      <c r="H50" s="18"/>
      <c r="I50" s="17" t="s">
        <v>20</v>
      </c>
      <c r="J50" s="26" t="s">
        <v>145</v>
      </c>
      <c r="K50" s="17" t="s">
        <v>133</v>
      </c>
    </row>
    <row r="51" spans="1:12" ht="16" customHeight="1">
      <c r="A51" s="17" t="s">
        <v>151</v>
      </c>
      <c r="B51" s="17" t="s">
        <v>63</v>
      </c>
      <c r="C51" s="17" t="s">
        <v>141</v>
      </c>
      <c r="D51" s="17" t="s">
        <v>140</v>
      </c>
      <c r="E51" s="17" t="s">
        <v>38</v>
      </c>
      <c r="F51" s="18">
        <v>1.1599999999999999</v>
      </c>
      <c r="G51" s="17">
        <v>0.96</v>
      </c>
      <c r="H51" s="17">
        <v>1.39</v>
      </c>
      <c r="I51" s="17" t="s">
        <v>11</v>
      </c>
      <c r="J51" s="26" t="s">
        <v>145</v>
      </c>
      <c r="K51" s="17" t="s">
        <v>203</v>
      </c>
      <c r="L51" s="17" t="s">
        <v>223</v>
      </c>
    </row>
    <row r="52" spans="1:12" ht="16" customHeight="1">
      <c r="A52" s="17" t="s">
        <v>151</v>
      </c>
      <c r="B52" s="17" t="s">
        <v>63</v>
      </c>
      <c r="C52" s="17" t="s">
        <v>117</v>
      </c>
      <c r="D52" s="17" t="s">
        <v>25</v>
      </c>
      <c r="E52" s="17" t="s">
        <v>103</v>
      </c>
      <c r="F52" s="18">
        <v>28</v>
      </c>
      <c r="I52" s="17" t="s">
        <v>20</v>
      </c>
      <c r="J52" s="26" t="s">
        <v>145</v>
      </c>
      <c r="K52" s="17" t="s">
        <v>72</v>
      </c>
      <c r="L52" s="17" t="s">
        <v>223</v>
      </c>
    </row>
    <row r="53" spans="1:12" ht="16" customHeight="1">
      <c r="A53" s="17" t="s">
        <v>151</v>
      </c>
      <c r="B53" s="17" t="s">
        <v>63</v>
      </c>
      <c r="C53" s="17" t="s">
        <v>142</v>
      </c>
      <c r="D53" s="17" t="s">
        <v>140</v>
      </c>
      <c r="E53" s="17" t="s">
        <v>71</v>
      </c>
      <c r="F53" s="18">
        <v>1</v>
      </c>
      <c r="H53" s="18"/>
      <c r="I53" s="18" t="s">
        <v>20</v>
      </c>
      <c r="J53" s="26" t="s">
        <v>145</v>
      </c>
      <c r="K53" s="17" t="s">
        <v>194</v>
      </c>
      <c r="L53" s="17" t="s">
        <v>223</v>
      </c>
    </row>
    <row r="54" spans="1:12" ht="16" customHeight="1">
      <c r="A54" s="17" t="s">
        <v>151</v>
      </c>
      <c r="B54" s="17" t="s">
        <v>63</v>
      </c>
      <c r="C54" s="17" t="s">
        <v>116</v>
      </c>
      <c r="D54" s="17" t="s">
        <v>25</v>
      </c>
      <c r="E54" s="17" t="s">
        <v>103</v>
      </c>
      <c r="F54" s="18">
        <f>73-F52</f>
        <v>45</v>
      </c>
      <c r="I54" s="17" t="s">
        <v>20</v>
      </c>
      <c r="J54" s="26" t="s">
        <v>145</v>
      </c>
      <c r="K54" s="17" t="s">
        <v>189</v>
      </c>
    </row>
    <row r="55" spans="1:12" ht="16" customHeight="1">
      <c r="A55" s="17" t="s">
        <v>151</v>
      </c>
      <c r="B55" s="17" t="s">
        <v>63</v>
      </c>
      <c r="C55" s="17" t="s">
        <v>112</v>
      </c>
      <c r="D55" s="17" t="s">
        <v>78</v>
      </c>
      <c r="E55" s="17" t="s">
        <v>103</v>
      </c>
      <c r="F55" s="18">
        <v>6</v>
      </c>
      <c r="G55" s="17">
        <f>F55-1.96*(0.2*F55)</f>
        <v>3.6479999999999997</v>
      </c>
      <c r="H55" s="17">
        <f t="shared" ref="H55:H56" si="2">F55+1.96*(0.2*F55)</f>
        <v>8.3520000000000003</v>
      </c>
      <c r="I55" s="17" t="s">
        <v>16</v>
      </c>
      <c r="J55" s="27" t="s">
        <v>134</v>
      </c>
      <c r="K55" s="17" t="s">
        <v>135</v>
      </c>
      <c r="L55" s="17" t="s">
        <v>143</v>
      </c>
    </row>
    <row r="56" spans="1:12" ht="16" customHeight="1">
      <c r="A56" s="17" t="s">
        <v>151</v>
      </c>
      <c r="B56" s="17" t="s">
        <v>63</v>
      </c>
      <c r="C56" s="17" t="s">
        <v>111</v>
      </c>
      <c r="D56" s="17" t="s">
        <v>78</v>
      </c>
      <c r="E56" s="17" t="s">
        <v>103</v>
      </c>
      <c r="F56" s="18">
        <v>6</v>
      </c>
      <c r="G56" s="17">
        <f>F56-1.96*(0.2*F56)</f>
        <v>3.6479999999999997</v>
      </c>
      <c r="H56" s="17">
        <f t="shared" si="2"/>
        <v>8.3520000000000003</v>
      </c>
      <c r="I56" s="17" t="s">
        <v>16</v>
      </c>
      <c r="J56" s="27" t="s">
        <v>134</v>
      </c>
      <c r="K56" s="17" t="s">
        <v>136</v>
      </c>
      <c r="L56" s="17" t="s">
        <v>143</v>
      </c>
    </row>
    <row r="57" spans="1:12" ht="16" customHeight="1">
      <c r="A57" s="17" t="s">
        <v>151</v>
      </c>
      <c r="B57" s="17" t="s">
        <v>63</v>
      </c>
      <c r="C57" s="17" t="s">
        <v>74</v>
      </c>
      <c r="D57" s="17" t="s">
        <v>22</v>
      </c>
      <c r="F57" s="18">
        <f>3001/18183</f>
        <v>0.16504427212231204</v>
      </c>
      <c r="G57" s="17">
        <v>3001</v>
      </c>
      <c r="H57" s="17">
        <f>18183-3001</f>
        <v>15182</v>
      </c>
      <c r="I57" s="17" t="s">
        <v>10</v>
      </c>
      <c r="J57" s="17" t="s">
        <v>24</v>
      </c>
      <c r="K57" s="17" t="s">
        <v>76</v>
      </c>
    </row>
    <row r="58" spans="1:12" ht="16" customHeight="1">
      <c r="A58" s="24"/>
      <c r="B58" s="24"/>
      <c r="C58" s="24"/>
      <c r="D58" s="24"/>
      <c r="E58" s="24"/>
      <c r="F58" s="28"/>
      <c r="G58" s="24"/>
      <c r="H58" s="24"/>
      <c r="I58" s="24"/>
      <c r="J58" s="29"/>
      <c r="K58" s="24"/>
      <c r="L58" s="24"/>
    </row>
    <row r="59" spans="1:12" ht="16" customHeight="1">
      <c r="A59" s="17" t="s">
        <v>137</v>
      </c>
      <c r="B59" s="17" t="s">
        <v>206</v>
      </c>
      <c r="C59" s="17" t="s">
        <v>115</v>
      </c>
      <c r="D59" s="17" t="s">
        <v>70</v>
      </c>
      <c r="E59" s="17" t="s">
        <v>81</v>
      </c>
      <c r="F59" s="18">
        <v>520</v>
      </c>
      <c r="G59" s="17">
        <f>0.8*520</f>
        <v>416</v>
      </c>
      <c r="H59" s="17">
        <f>1.2*520</f>
        <v>624</v>
      </c>
      <c r="I59" s="17" t="s">
        <v>12</v>
      </c>
      <c r="J59" s="27" t="s">
        <v>32</v>
      </c>
      <c r="K59" s="17" t="s">
        <v>49</v>
      </c>
      <c r="L59" s="17" t="s">
        <v>218</v>
      </c>
    </row>
    <row r="60" spans="1:12" ht="16" customHeight="1">
      <c r="A60" s="17" t="s">
        <v>137</v>
      </c>
      <c r="B60" s="17" t="s">
        <v>206</v>
      </c>
      <c r="C60" s="17" t="s">
        <v>114</v>
      </c>
      <c r="D60" s="17" t="s">
        <v>70</v>
      </c>
      <c r="E60" s="17" t="s">
        <v>81</v>
      </c>
      <c r="F60" s="18">
        <v>390</v>
      </c>
      <c r="G60" s="17">
        <f>0.8*390</f>
        <v>312</v>
      </c>
      <c r="H60" s="17">
        <f>1.2*390</f>
        <v>468</v>
      </c>
      <c r="I60" s="17" t="s">
        <v>12</v>
      </c>
      <c r="J60" s="27" t="s">
        <v>32</v>
      </c>
      <c r="K60" s="17" t="s">
        <v>48</v>
      </c>
      <c r="L60" s="17" t="s">
        <v>218</v>
      </c>
    </row>
    <row r="61" spans="1:12" ht="16" customHeight="1">
      <c r="A61" s="17" t="s">
        <v>137</v>
      </c>
      <c r="B61" s="17" t="s">
        <v>63</v>
      </c>
      <c r="C61" s="17" t="s">
        <v>113</v>
      </c>
      <c r="D61" s="17" t="s">
        <v>25</v>
      </c>
      <c r="E61" s="17" t="s">
        <v>146</v>
      </c>
      <c r="F61" s="18">
        <v>6</v>
      </c>
      <c r="G61" s="17">
        <v>1</v>
      </c>
      <c r="H61" s="17">
        <v>11</v>
      </c>
      <c r="I61" s="17" t="s">
        <v>16</v>
      </c>
      <c r="J61" s="27" t="s">
        <v>32</v>
      </c>
      <c r="K61" s="17" t="s">
        <v>50</v>
      </c>
    </row>
    <row r="62" spans="1:12" ht="16" customHeight="1">
      <c r="A62" s="17" t="s">
        <v>137</v>
      </c>
      <c r="B62" s="17" t="s">
        <v>63</v>
      </c>
      <c r="C62" s="17" t="s">
        <v>141</v>
      </c>
      <c r="D62" s="17" t="s">
        <v>140</v>
      </c>
      <c r="E62" s="17" t="s">
        <v>38</v>
      </c>
      <c r="F62" s="18">
        <v>0.91</v>
      </c>
      <c r="G62" s="17">
        <v>0.79</v>
      </c>
      <c r="H62" s="17">
        <v>1.05</v>
      </c>
      <c r="I62" s="17" t="s">
        <v>11</v>
      </c>
      <c r="J62" s="26" t="s">
        <v>145</v>
      </c>
      <c r="K62" s="17" t="s">
        <v>224</v>
      </c>
      <c r="L62" s="17" t="s">
        <v>223</v>
      </c>
    </row>
    <row r="63" spans="1:12" ht="16" customHeight="1">
      <c r="A63" s="17" t="s">
        <v>137</v>
      </c>
      <c r="B63" s="17" t="s">
        <v>63</v>
      </c>
      <c r="C63" s="17" t="s">
        <v>117</v>
      </c>
      <c r="D63" s="17" t="s">
        <v>25</v>
      </c>
      <c r="E63" s="17" t="s">
        <v>130</v>
      </c>
      <c r="F63" s="18">
        <v>28</v>
      </c>
      <c r="I63" s="17" t="s">
        <v>20</v>
      </c>
      <c r="J63" s="26" t="s">
        <v>145</v>
      </c>
      <c r="K63" s="17" t="s">
        <v>72</v>
      </c>
      <c r="L63" s="17" t="s">
        <v>223</v>
      </c>
    </row>
    <row r="64" spans="1:12" ht="16" customHeight="1">
      <c r="A64" s="17" t="s">
        <v>137</v>
      </c>
      <c r="B64" s="17" t="s">
        <v>63</v>
      </c>
      <c r="C64" s="17" t="s">
        <v>142</v>
      </c>
      <c r="D64" s="17" t="s">
        <v>140</v>
      </c>
      <c r="E64" s="17" t="s">
        <v>71</v>
      </c>
      <c r="F64" s="18">
        <v>1</v>
      </c>
      <c r="G64" s="18"/>
      <c r="I64" s="17" t="s">
        <v>20</v>
      </c>
      <c r="J64" s="26" t="s">
        <v>145</v>
      </c>
      <c r="K64" s="17" t="s">
        <v>193</v>
      </c>
      <c r="L64" s="17" t="s">
        <v>223</v>
      </c>
    </row>
    <row r="65" spans="1:12" ht="16" customHeight="1">
      <c r="A65" s="17" t="s">
        <v>137</v>
      </c>
      <c r="B65" s="17" t="s">
        <v>63</v>
      </c>
      <c r="C65" s="17" t="s">
        <v>116</v>
      </c>
      <c r="D65" s="17" t="s">
        <v>25</v>
      </c>
      <c r="E65" s="17" t="s">
        <v>103</v>
      </c>
      <c r="F65" s="18">
        <v>45</v>
      </c>
      <c r="I65" s="17" t="s">
        <v>20</v>
      </c>
      <c r="J65" s="26" t="s">
        <v>145</v>
      </c>
      <c r="K65" s="17" t="s">
        <v>189</v>
      </c>
    </row>
    <row r="66" spans="1:12" ht="16" customHeight="1">
      <c r="A66" s="17" t="s">
        <v>137</v>
      </c>
      <c r="B66" s="17" t="s">
        <v>63</v>
      </c>
      <c r="C66" s="17" t="s">
        <v>112</v>
      </c>
      <c r="D66" s="17" t="s">
        <v>78</v>
      </c>
      <c r="E66" s="17" t="s">
        <v>103</v>
      </c>
      <c r="F66" s="18">
        <v>17</v>
      </c>
      <c r="G66" s="18">
        <v>8</v>
      </c>
      <c r="H66" s="17">
        <v>28</v>
      </c>
      <c r="I66" s="17" t="s">
        <v>16</v>
      </c>
      <c r="J66" s="27" t="s">
        <v>53</v>
      </c>
      <c r="K66" s="17" t="s">
        <v>77</v>
      </c>
    </row>
    <row r="67" spans="1:12" ht="16" customHeight="1">
      <c r="A67" s="17" t="s">
        <v>137</v>
      </c>
      <c r="B67" s="17" t="s">
        <v>63</v>
      </c>
      <c r="C67" s="17" t="s">
        <v>111</v>
      </c>
      <c r="D67" s="17" t="s">
        <v>78</v>
      </c>
      <c r="E67" s="17" t="s">
        <v>103</v>
      </c>
      <c r="F67" s="18">
        <v>12</v>
      </c>
      <c r="G67" s="17">
        <v>6</v>
      </c>
      <c r="H67" s="17">
        <v>28</v>
      </c>
      <c r="I67" s="17" t="s">
        <v>16</v>
      </c>
      <c r="J67" s="27" t="s">
        <v>53</v>
      </c>
      <c r="K67" s="17" t="s">
        <v>77</v>
      </c>
    </row>
    <row r="68" spans="1:12" ht="16" customHeight="1">
      <c r="A68" s="17" t="s">
        <v>137</v>
      </c>
      <c r="B68" s="17" t="s">
        <v>63</v>
      </c>
      <c r="C68" s="17" t="s">
        <v>74</v>
      </c>
      <c r="D68" s="17" t="s">
        <v>22</v>
      </c>
      <c r="F68" s="18">
        <f>3001/18183</f>
        <v>0.16504427212231204</v>
      </c>
      <c r="G68" s="17">
        <v>3001</v>
      </c>
      <c r="H68" s="17">
        <f>18183-3001</f>
        <v>15182</v>
      </c>
      <c r="I68" s="17" t="s">
        <v>10</v>
      </c>
      <c r="J68" s="17" t="s">
        <v>24</v>
      </c>
      <c r="K68" s="17" t="s">
        <v>76</v>
      </c>
    </row>
    <row r="69" spans="1:12" ht="16" customHeight="1">
      <c r="A69" s="24"/>
      <c r="B69" s="24"/>
      <c r="C69" s="24"/>
      <c r="D69" s="24"/>
      <c r="E69" s="24"/>
      <c r="F69" s="28"/>
      <c r="G69" s="24"/>
      <c r="H69" s="24"/>
      <c r="I69" s="24"/>
      <c r="J69" s="29"/>
      <c r="K69" s="24"/>
      <c r="L69" s="24"/>
    </row>
    <row r="70" spans="1:12" ht="16" customHeight="1">
      <c r="A70" s="17" t="s">
        <v>160</v>
      </c>
      <c r="B70" s="17" t="s">
        <v>206</v>
      </c>
      <c r="C70" s="17" t="s">
        <v>74</v>
      </c>
      <c r="D70" s="17" t="s">
        <v>22</v>
      </c>
      <c r="F70" s="18">
        <f>3001/18183</f>
        <v>0.16504427212231204</v>
      </c>
      <c r="G70" s="17">
        <v>3001</v>
      </c>
      <c r="H70" s="17">
        <f>18183-3001</f>
        <v>15182</v>
      </c>
      <c r="I70" s="17" t="s">
        <v>10</v>
      </c>
      <c r="J70" s="17" t="s">
        <v>24</v>
      </c>
      <c r="K70" s="17" t="s">
        <v>76</v>
      </c>
    </row>
    <row r="71" spans="1:12" ht="16" customHeight="1">
      <c r="A71" s="17" t="s">
        <v>160</v>
      </c>
      <c r="B71" s="17" t="s">
        <v>206</v>
      </c>
      <c r="C71" s="17" t="s">
        <v>115</v>
      </c>
      <c r="D71" s="17" t="s">
        <v>70</v>
      </c>
      <c r="E71" s="17" t="s">
        <v>81</v>
      </c>
      <c r="F71" s="18">
        <f>4*79.14</f>
        <v>316.56</v>
      </c>
      <c r="G71" s="17">
        <f>0.8*316.56</f>
        <v>253.24800000000002</v>
      </c>
      <c r="H71" s="17">
        <f>1.2*316.56</f>
        <v>379.87200000000001</v>
      </c>
      <c r="I71" s="17" t="s">
        <v>16</v>
      </c>
      <c r="J71" s="17" t="s">
        <v>161</v>
      </c>
      <c r="K71" s="17" t="s">
        <v>200</v>
      </c>
      <c r="L71" s="17" t="s">
        <v>217</v>
      </c>
    </row>
    <row r="72" spans="1:12" ht="16" customHeight="1">
      <c r="A72" s="17" t="s">
        <v>160</v>
      </c>
      <c r="B72" s="17" t="s">
        <v>206</v>
      </c>
      <c r="C72" s="17" t="s">
        <v>114</v>
      </c>
      <c r="D72" s="17" t="s">
        <v>70</v>
      </c>
      <c r="E72" s="17" t="s">
        <v>81</v>
      </c>
      <c r="F72" s="18">
        <f>4*79.14</f>
        <v>316.56</v>
      </c>
      <c r="G72" s="17">
        <f>0.8*316.56</f>
        <v>253.24800000000002</v>
      </c>
      <c r="H72" s="17">
        <f>1.2*316.56</f>
        <v>379.87200000000001</v>
      </c>
      <c r="I72" s="17" t="s">
        <v>16</v>
      </c>
      <c r="J72" s="17" t="s">
        <v>161</v>
      </c>
      <c r="K72" s="17" t="s">
        <v>201</v>
      </c>
      <c r="L72" s="17" t="s">
        <v>217</v>
      </c>
    </row>
    <row r="73" spans="1:12" ht="16" customHeight="1">
      <c r="A73" s="17" t="s">
        <v>160</v>
      </c>
      <c r="B73" s="17" t="s">
        <v>63</v>
      </c>
      <c r="C73" s="17" t="s">
        <v>113</v>
      </c>
      <c r="D73" s="17" t="s">
        <v>25</v>
      </c>
      <c r="F73" s="18">
        <v>7</v>
      </c>
      <c r="G73" s="17">
        <v>6</v>
      </c>
      <c r="H73" s="17">
        <v>14</v>
      </c>
      <c r="I73" s="17" t="s">
        <v>11</v>
      </c>
      <c r="J73" s="27" t="s">
        <v>163</v>
      </c>
      <c r="K73" s="17" t="s">
        <v>162</v>
      </c>
    </row>
    <row r="74" spans="1:12" ht="16" customHeight="1">
      <c r="A74" s="17" t="s">
        <v>160</v>
      </c>
      <c r="B74" s="17" t="s">
        <v>63</v>
      </c>
      <c r="C74" s="17" t="s">
        <v>118</v>
      </c>
      <c r="D74" s="17" t="s">
        <v>139</v>
      </c>
      <c r="E74" s="17" t="s">
        <v>38</v>
      </c>
      <c r="F74" s="18">
        <v>0.65</v>
      </c>
      <c r="G74" s="17">
        <v>0.39</v>
      </c>
      <c r="H74" s="17">
        <v>1.0900000000000001</v>
      </c>
      <c r="I74" s="17" t="s">
        <v>11</v>
      </c>
      <c r="J74" s="27" t="s">
        <v>163</v>
      </c>
      <c r="K74" s="17" t="s">
        <v>199</v>
      </c>
      <c r="L74" s="22" t="s">
        <v>223</v>
      </c>
    </row>
    <row r="75" spans="1:12" ht="16" customHeight="1">
      <c r="A75" s="17" t="s">
        <v>160</v>
      </c>
      <c r="B75" s="17" t="s">
        <v>63</v>
      </c>
      <c r="C75" s="17" t="s">
        <v>117</v>
      </c>
      <c r="D75" s="17" t="s">
        <v>25</v>
      </c>
      <c r="F75" s="18">
        <v>28</v>
      </c>
      <c r="I75" s="17" t="s">
        <v>20</v>
      </c>
      <c r="J75" s="27" t="s">
        <v>163</v>
      </c>
      <c r="K75" s="17" t="s">
        <v>209</v>
      </c>
      <c r="L75" s="22" t="s">
        <v>223</v>
      </c>
    </row>
    <row r="76" spans="1:12" ht="16" customHeight="1">
      <c r="A76" s="17" t="s">
        <v>160</v>
      </c>
      <c r="B76" s="17" t="s">
        <v>63</v>
      </c>
      <c r="C76" s="17" t="s">
        <v>119</v>
      </c>
      <c r="D76" s="17" t="s">
        <v>139</v>
      </c>
      <c r="E76" s="17" t="s">
        <v>71</v>
      </c>
      <c r="F76" s="18">
        <v>1</v>
      </c>
      <c r="I76" s="17" t="s">
        <v>20</v>
      </c>
      <c r="J76" s="27" t="s">
        <v>163</v>
      </c>
      <c r="K76" s="17" t="s">
        <v>230</v>
      </c>
      <c r="L76" s="22" t="s">
        <v>223</v>
      </c>
    </row>
    <row r="77" spans="1:12" ht="16" customHeight="1">
      <c r="A77" s="17" t="s">
        <v>160</v>
      </c>
      <c r="B77" s="17" t="s">
        <v>63</v>
      </c>
      <c r="C77" s="17" t="s">
        <v>116</v>
      </c>
      <c r="D77" s="17" t="s">
        <v>25</v>
      </c>
      <c r="F77" s="18">
        <v>45</v>
      </c>
      <c r="I77" s="17" t="s">
        <v>20</v>
      </c>
      <c r="J77" s="27" t="s">
        <v>163</v>
      </c>
      <c r="K77" s="17" t="s">
        <v>189</v>
      </c>
    </row>
    <row r="78" spans="1:12" ht="16" customHeight="1">
      <c r="A78" s="17" t="s">
        <v>160</v>
      </c>
      <c r="B78" s="17" t="s">
        <v>63</v>
      </c>
      <c r="C78" s="17" t="s">
        <v>112</v>
      </c>
      <c r="D78" s="17" t="s">
        <v>78</v>
      </c>
      <c r="E78" s="17" t="s">
        <v>103</v>
      </c>
      <c r="F78" s="17">
        <v>8</v>
      </c>
      <c r="G78" s="18">
        <v>7</v>
      </c>
      <c r="H78" s="17">
        <v>9</v>
      </c>
      <c r="I78" s="17" t="s">
        <v>16</v>
      </c>
      <c r="J78" s="27" t="s">
        <v>163</v>
      </c>
      <c r="K78" s="17" t="s">
        <v>197</v>
      </c>
    </row>
    <row r="79" spans="1:12" ht="16" customHeight="1">
      <c r="A79" s="17" t="s">
        <v>160</v>
      </c>
      <c r="B79" s="17" t="s">
        <v>63</v>
      </c>
      <c r="C79" s="17" t="s">
        <v>111</v>
      </c>
      <c r="D79" s="17" t="s">
        <v>78</v>
      </c>
      <c r="E79" s="17" t="s">
        <v>103</v>
      </c>
      <c r="F79" s="17">
        <v>7</v>
      </c>
      <c r="G79" s="18">
        <v>6</v>
      </c>
      <c r="H79" s="17">
        <v>8</v>
      </c>
      <c r="I79" s="17" t="s">
        <v>16</v>
      </c>
      <c r="J79" s="27" t="s">
        <v>163</v>
      </c>
      <c r="K79" s="17" t="s">
        <v>198</v>
      </c>
    </row>
    <row r="80" spans="1:12" ht="16" customHeight="1">
      <c r="A80" s="24"/>
      <c r="B80" s="24"/>
      <c r="C80" s="24"/>
      <c r="D80" s="24"/>
      <c r="E80" s="24"/>
      <c r="F80" s="28"/>
      <c r="G80" s="24"/>
      <c r="H80" s="24"/>
      <c r="I80" s="24"/>
      <c r="J80" s="29"/>
      <c r="K80" s="24"/>
      <c r="L80" s="24"/>
    </row>
    <row r="81" spans="1:12" ht="16" customHeight="1">
      <c r="A81" s="17" t="s">
        <v>181</v>
      </c>
      <c r="B81" s="17" t="s">
        <v>206</v>
      </c>
      <c r="C81" s="17" t="s">
        <v>74</v>
      </c>
      <c r="D81" s="17" t="s">
        <v>22</v>
      </c>
      <c r="E81" s="17">
        <v>73</v>
      </c>
      <c r="F81" s="18">
        <v>1</v>
      </c>
      <c r="G81" s="17">
        <v>1</v>
      </c>
      <c r="H81" s="17">
        <v>1</v>
      </c>
      <c r="I81" s="17" t="s">
        <v>20</v>
      </c>
      <c r="J81" s="27" t="s">
        <v>180</v>
      </c>
      <c r="K81" s="17" t="s">
        <v>185</v>
      </c>
      <c r="L81" s="17" t="s">
        <v>222</v>
      </c>
    </row>
    <row r="82" spans="1:12" ht="16" customHeight="1">
      <c r="A82" s="17" t="s">
        <v>181</v>
      </c>
      <c r="B82" s="17" t="s">
        <v>206</v>
      </c>
      <c r="C82" s="17" t="s">
        <v>115</v>
      </c>
      <c r="D82" s="17" t="s">
        <v>70</v>
      </c>
      <c r="E82" s="17" t="s">
        <v>81</v>
      </c>
      <c r="F82" s="18">
        <f>491*0.4</f>
        <v>196.4</v>
      </c>
      <c r="G82" s="17">
        <f>0.8*196.4</f>
        <v>157.12</v>
      </c>
      <c r="H82" s="17">
        <f>1.2*196.4</f>
        <v>235.68</v>
      </c>
      <c r="I82" s="17" t="s">
        <v>16</v>
      </c>
      <c r="J82" s="27" t="s">
        <v>158</v>
      </c>
      <c r="K82" s="17" t="s">
        <v>159</v>
      </c>
      <c r="L82" s="17" t="s">
        <v>217</v>
      </c>
    </row>
    <row r="83" spans="1:12" ht="16" customHeight="1">
      <c r="A83" s="17" t="s">
        <v>181</v>
      </c>
      <c r="B83" s="17" t="s">
        <v>206</v>
      </c>
      <c r="C83" s="17" t="s">
        <v>114</v>
      </c>
      <c r="D83" s="17" t="s">
        <v>70</v>
      </c>
      <c r="E83" s="17" t="s">
        <v>81</v>
      </c>
      <c r="F83" s="18">
        <f>491*0.4</f>
        <v>196.4</v>
      </c>
      <c r="G83" s="17">
        <f>0.8*196.4</f>
        <v>157.12</v>
      </c>
      <c r="H83" s="17">
        <f>1.2*196.4</f>
        <v>235.68</v>
      </c>
      <c r="I83" s="17" t="s">
        <v>16</v>
      </c>
      <c r="J83" s="27" t="s">
        <v>158</v>
      </c>
      <c r="K83" s="17" t="s">
        <v>157</v>
      </c>
      <c r="L83" s="17" t="s">
        <v>217</v>
      </c>
    </row>
    <row r="84" spans="1:12" ht="16" customHeight="1">
      <c r="A84" s="17" t="s">
        <v>181</v>
      </c>
      <c r="B84" s="17" t="s">
        <v>63</v>
      </c>
      <c r="C84" s="17" t="s">
        <v>113</v>
      </c>
      <c r="D84" s="17" t="s">
        <v>25</v>
      </c>
      <c r="F84" s="18">
        <f>91.22*1.5</f>
        <v>136.82999999999998</v>
      </c>
      <c r="G84" s="17">
        <f>(91.22-1.96*24.58)*1.5</f>
        <v>64.564800000000005</v>
      </c>
      <c r="H84" s="17">
        <f>(91.22+1.96*24.58)*1.5</f>
        <v>209.09519999999998</v>
      </c>
      <c r="I84" s="17" t="s">
        <v>16</v>
      </c>
      <c r="J84" s="27" t="s">
        <v>180</v>
      </c>
      <c r="K84" s="17" t="s">
        <v>191</v>
      </c>
    </row>
    <row r="85" spans="1:12" ht="16" customHeight="1">
      <c r="A85" s="17" t="s">
        <v>181</v>
      </c>
      <c r="B85" s="17" t="s">
        <v>63</v>
      </c>
      <c r="C85" s="17" t="s">
        <v>174</v>
      </c>
      <c r="D85" s="17" t="s">
        <v>176</v>
      </c>
      <c r="E85" s="17">
        <v>73</v>
      </c>
      <c r="F85" s="18">
        <f>1/1.64</f>
        <v>0.6097560975609756</v>
      </c>
      <c r="G85" s="17">
        <f>1/2.14</f>
        <v>0.46728971962616822</v>
      </c>
      <c r="H85" s="17">
        <f>1/1.25</f>
        <v>0.8</v>
      </c>
      <c r="I85" s="17" t="s">
        <v>11</v>
      </c>
      <c r="J85" s="17" t="s">
        <v>180</v>
      </c>
      <c r="K85" s="17" t="s">
        <v>192</v>
      </c>
      <c r="L85" s="22" t="s">
        <v>223</v>
      </c>
    </row>
    <row r="86" spans="1:12" ht="16" customHeight="1">
      <c r="A86" s="17" t="s">
        <v>181</v>
      </c>
      <c r="B86" s="17" t="s">
        <v>63</v>
      </c>
      <c r="C86" s="17" t="s">
        <v>117</v>
      </c>
      <c r="D86" s="17" t="s">
        <v>25</v>
      </c>
      <c r="F86" s="18">
        <v>73</v>
      </c>
      <c r="I86" s="17" t="s">
        <v>20</v>
      </c>
      <c r="J86" s="17" t="s">
        <v>180</v>
      </c>
      <c r="K86" s="17" t="s">
        <v>190</v>
      </c>
      <c r="L86" s="22" t="s">
        <v>223</v>
      </c>
    </row>
    <row r="87" spans="1:12" ht="16" customHeight="1">
      <c r="A87" s="17" t="s">
        <v>181</v>
      </c>
      <c r="B87" s="17" t="s">
        <v>63</v>
      </c>
      <c r="C87" s="17" t="s">
        <v>175</v>
      </c>
      <c r="D87" s="17" t="s">
        <v>176</v>
      </c>
      <c r="E87" s="17" t="s">
        <v>195</v>
      </c>
      <c r="F87" s="18">
        <v>1</v>
      </c>
      <c r="I87" s="17" t="s">
        <v>20</v>
      </c>
      <c r="J87" s="17" t="s">
        <v>180</v>
      </c>
      <c r="K87" s="17" t="s">
        <v>196</v>
      </c>
      <c r="L87" s="22" t="s">
        <v>223</v>
      </c>
    </row>
    <row r="88" spans="1:12" ht="16" customHeight="1">
      <c r="A88" s="17" t="s">
        <v>181</v>
      </c>
      <c r="B88" s="17" t="s">
        <v>63</v>
      </c>
      <c r="C88" s="17" t="s">
        <v>116</v>
      </c>
      <c r="D88" s="17" t="s">
        <v>25</v>
      </c>
      <c r="F88" s="18">
        <v>0</v>
      </c>
      <c r="I88" s="17" t="s">
        <v>20</v>
      </c>
      <c r="J88" s="17" t="s">
        <v>180</v>
      </c>
      <c r="K88" s="17" t="s">
        <v>189</v>
      </c>
    </row>
    <row r="89" spans="1:12" ht="16" customHeight="1">
      <c r="A89" s="17" t="s">
        <v>181</v>
      </c>
      <c r="B89" s="17" t="s">
        <v>63</v>
      </c>
      <c r="C89" s="17" t="s">
        <v>112</v>
      </c>
      <c r="D89" s="17" t="s">
        <v>78</v>
      </c>
      <c r="E89" s="17" t="s">
        <v>103</v>
      </c>
      <c r="F89" s="18">
        <v>7.5</v>
      </c>
      <c r="G89" s="17">
        <v>7</v>
      </c>
      <c r="H89" s="17">
        <v>9</v>
      </c>
      <c r="I89" s="17" t="s">
        <v>16</v>
      </c>
      <c r="J89" s="17" t="s">
        <v>173</v>
      </c>
      <c r="K89" s="17" t="s">
        <v>186</v>
      </c>
    </row>
    <row r="90" spans="1:12" ht="16" customHeight="1">
      <c r="A90" s="17" t="s">
        <v>181</v>
      </c>
      <c r="B90" s="17" t="s">
        <v>63</v>
      </c>
      <c r="C90" s="17" t="s">
        <v>111</v>
      </c>
      <c r="D90" s="17" t="s">
        <v>78</v>
      </c>
      <c r="E90" s="17" t="s">
        <v>103</v>
      </c>
      <c r="F90" s="18">
        <v>6</v>
      </c>
      <c r="G90" s="17">
        <v>6</v>
      </c>
      <c r="H90" s="17">
        <v>7</v>
      </c>
      <c r="I90" s="17" t="s">
        <v>16</v>
      </c>
      <c r="J90" s="17" t="s">
        <v>173</v>
      </c>
      <c r="K90" s="17" t="s">
        <v>186</v>
      </c>
    </row>
    <row r="91" spans="1:12" ht="16" customHeight="1">
      <c r="A91" s="24"/>
      <c r="B91" s="24"/>
      <c r="C91" s="24"/>
      <c r="D91" s="24"/>
      <c r="E91" s="24"/>
      <c r="F91" s="28"/>
      <c r="G91" s="24"/>
      <c r="H91" s="24"/>
      <c r="I91" s="24"/>
      <c r="J91" s="29"/>
      <c r="K91" s="24"/>
      <c r="L91" s="24"/>
    </row>
    <row r="92" spans="1:12" ht="16" customHeight="1">
      <c r="A92" s="17" t="s">
        <v>207</v>
      </c>
      <c r="B92" s="17" t="s">
        <v>206</v>
      </c>
      <c r="C92" s="17" t="s">
        <v>74</v>
      </c>
      <c r="D92" s="17" t="s">
        <v>22</v>
      </c>
      <c r="E92" s="17">
        <v>73</v>
      </c>
      <c r="F92" s="18">
        <f>3001/18183</f>
        <v>0.16504427212231204</v>
      </c>
      <c r="G92" s="17">
        <v>3001</v>
      </c>
      <c r="H92" s="17">
        <f>18183-3001</f>
        <v>15182</v>
      </c>
      <c r="I92" s="17" t="s">
        <v>10</v>
      </c>
      <c r="J92" s="17" t="s">
        <v>24</v>
      </c>
      <c r="K92" s="17" t="s">
        <v>76</v>
      </c>
    </row>
    <row r="93" spans="1:12" ht="16" customHeight="1">
      <c r="A93" s="17" t="s">
        <v>207</v>
      </c>
      <c r="B93" s="17" t="s">
        <v>206</v>
      </c>
      <c r="C93" s="17" t="s">
        <v>115</v>
      </c>
      <c r="D93" s="17" t="s">
        <v>70</v>
      </c>
      <c r="E93" s="17" t="s">
        <v>81</v>
      </c>
      <c r="F93" s="18">
        <v>2100</v>
      </c>
      <c r="G93" s="17">
        <f>0.8*2100</f>
        <v>1680</v>
      </c>
      <c r="H93" s="17">
        <f>1.2*2100</f>
        <v>2520</v>
      </c>
      <c r="I93" s="17" t="s">
        <v>16</v>
      </c>
      <c r="J93" s="27" t="s">
        <v>208</v>
      </c>
      <c r="K93" s="32" t="s">
        <v>212</v>
      </c>
      <c r="L93" s="17" t="s">
        <v>217</v>
      </c>
    </row>
    <row r="94" spans="1:12" ht="16" customHeight="1">
      <c r="A94" s="17" t="s">
        <v>207</v>
      </c>
      <c r="B94" s="17" t="s">
        <v>206</v>
      </c>
      <c r="C94" s="17" t="s">
        <v>114</v>
      </c>
      <c r="D94" s="17" t="s">
        <v>70</v>
      </c>
      <c r="E94" s="17" t="s">
        <v>81</v>
      </c>
      <c r="F94" s="18">
        <v>2100</v>
      </c>
      <c r="G94" s="17">
        <f>0.8*2100</f>
        <v>1680</v>
      </c>
      <c r="H94" s="17">
        <f>1.2*2100</f>
        <v>2520</v>
      </c>
      <c r="I94" s="17" t="s">
        <v>16</v>
      </c>
      <c r="J94" s="27" t="s">
        <v>208</v>
      </c>
      <c r="K94" s="32" t="s">
        <v>212</v>
      </c>
      <c r="L94" s="17" t="s">
        <v>217</v>
      </c>
    </row>
    <row r="95" spans="1:12" ht="16" customHeight="1">
      <c r="A95" s="17" t="s">
        <v>207</v>
      </c>
      <c r="B95" s="17" t="s">
        <v>63</v>
      </c>
      <c r="C95" s="17" t="s">
        <v>113</v>
      </c>
      <c r="D95" s="17" t="s">
        <v>25</v>
      </c>
      <c r="F95" s="18">
        <v>1</v>
      </c>
      <c r="I95" s="17" t="s">
        <v>20</v>
      </c>
      <c r="J95" s="27" t="s">
        <v>208</v>
      </c>
      <c r="K95" s="32" t="s">
        <v>212</v>
      </c>
    </row>
    <row r="96" spans="1:12" ht="16" customHeight="1">
      <c r="A96" s="17" t="s">
        <v>207</v>
      </c>
      <c r="B96" s="17" t="s">
        <v>63</v>
      </c>
      <c r="C96" s="17" t="s">
        <v>141</v>
      </c>
      <c r="D96" s="17" t="s">
        <v>140</v>
      </c>
      <c r="E96" s="17">
        <v>73</v>
      </c>
      <c r="F96" s="18">
        <v>0.94</v>
      </c>
      <c r="G96" s="17">
        <v>0.86</v>
      </c>
      <c r="H96" s="17">
        <v>1.03</v>
      </c>
      <c r="I96" s="17" t="s">
        <v>11</v>
      </c>
      <c r="J96" s="17" t="s">
        <v>180</v>
      </c>
      <c r="K96" s="17" t="s">
        <v>213</v>
      </c>
      <c r="L96" s="22" t="s">
        <v>223</v>
      </c>
    </row>
    <row r="97" spans="1:12" ht="16" customHeight="1">
      <c r="A97" s="17" t="s">
        <v>207</v>
      </c>
      <c r="B97" s="17" t="s">
        <v>63</v>
      </c>
      <c r="C97" s="17" t="s">
        <v>117</v>
      </c>
      <c r="D97" s="17" t="s">
        <v>25</v>
      </c>
      <c r="F97" s="18">
        <v>28</v>
      </c>
      <c r="I97" s="17" t="s">
        <v>20</v>
      </c>
      <c r="J97" s="17" t="s">
        <v>180</v>
      </c>
      <c r="K97" s="17" t="s">
        <v>209</v>
      </c>
      <c r="L97" s="22" t="s">
        <v>223</v>
      </c>
    </row>
    <row r="98" spans="1:12" ht="16" customHeight="1">
      <c r="A98" s="17" t="s">
        <v>207</v>
      </c>
      <c r="B98" s="17" t="s">
        <v>63</v>
      </c>
      <c r="C98" s="17" t="s">
        <v>142</v>
      </c>
      <c r="D98" s="17" t="s">
        <v>140</v>
      </c>
      <c r="E98" s="17" t="s">
        <v>210</v>
      </c>
      <c r="F98" s="18">
        <v>1</v>
      </c>
      <c r="I98" s="17" t="s">
        <v>20</v>
      </c>
      <c r="J98" s="17" t="s">
        <v>180</v>
      </c>
      <c r="K98" s="17" t="s">
        <v>214</v>
      </c>
      <c r="L98" s="22" t="s">
        <v>223</v>
      </c>
    </row>
    <row r="99" spans="1:12" ht="16" customHeight="1">
      <c r="A99" s="17" t="s">
        <v>207</v>
      </c>
      <c r="B99" s="17" t="s">
        <v>63</v>
      </c>
      <c r="C99" s="17" t="s">
        <v>116</v>
      </c>
      <c r="D99" s="17" t="s">
        <v>25</v>
      </c>
      <c r="F99" s="18">
        <v>45</v>
      </c>
      <c r="I99" s="17" t="s">
        <v>20</v>
      </c>
      <c r="J99" s="17" t="s">
        <v>180</v>
      </c>
      <c r="K99" s="17" t="s">
        <v>189</v>
      </c>
    </row>
    <row r="100" spans="1:12" ht="16" customHeight="1">
      <c r="A100" s="17" t="s">
        <v>207</v>
      </c>
      <c r="B100" s="17" t="s">
        <v>63</v>
      </c>
      <c r="C100" s="17" t="s">
        <v>112</v>
      </c>
      <c r="D100" s="17" t="s">
        <v>78</v>
      </c>
      <c r="E100" s="17" t="s">
        <v>103</v>
      </c>
      <c r="F100" s="18">
        <v>17</v>
      </c>
      <c r="G100" s="17">
        <v>7</v>
      </c>
      <c r="H100" s="17">
        <v>28</v>
      </c>
      <c r="I100" s="17" t="s">
        <v>16</v>
      </c>
      <c r="J100" s="17" t="s">
        <v>173</v>
      </c>
      <c r="K100" s="17" t="s">
        <v>211</v>
      </c>
    </row>
    <row r="101" spans="1:12" ht="16" customHeight="1">
      <c r="A101" s="17" t="s">
        <v>207</v>
      </c>
      <c r="B101" s="17" t="s">
        <v>63</v>
      </c>
      <c r="C101" s="17" t="s">
        <v>111</v>
      </c>
      <c r="D101" s="17" t="s">
        <v>78</v>
      </c>
      <c r="E101" s="17" t="s">
        <v>103</v>
      </c>
      <c r="F101" s="18">
        <v>13</v>
      </c>
      <c r="G101" s="17">
        <v>7</v>
      </c>
      <c r="H101" s="17">
        <v>28</v>
      </c>
      <c r="I101" s="17" t="s">
        <v>16</v>
      </c>
      <c r="J101" s="17" t="s">
        <v>173</v>
      </c>
      <c r="K101" s="17" t="s">
        <v>211</v>
      </c>
    </row>
  </sheetData>
  <hyperlinks>
    <hyperlink ref="J3" r:id="rId1" xr:uid="{2B5D4E4D-0457-3C41-833E-AB244C36C57E}"/>
    <hyperlink ref="J4" r:id="rId2" xr:uid="{03153A45-B173-2445-9FB1-763F9B6FD3D9}"/>
    <hyperlink ref="J2" r:id="rId3" xr:uid="{E701E6E1-0B5B-6449-957E-FCCFAAA6064B}"/>
    <hyperlink ref="J15" r:id="rId4" xr:uid="{6D49EC2A-02DA-6A4E-A298-8EA5B6FBF95C}"/>
    <hyperlink ref="J12" r:id="rId5" xr:uid="{201E497F-90A7-9545-9CD5-A885A8A1145A}"/>
    <hyperlink ref="J14" r:id="rId6" xr:uid="{93DAA515-9093-9D41-A66A-57857BA802DE}"/>
    <hyperlink ref="J17" r:id="rId7" xr:uid="{E1F4C826-0CFA-034C-9239-BFD57C4E9695}"/>
    <hyperlink ref="J19" r:id="rId8" xr:uid="{8E25F781-90A4-8147-AF00-9A24FB6C3436}"/>
    <hyperlink ref="J20" r:id="rId9" xr:uid="{054D0DD9-8469-564C-9068-3AC005007040}"/>
    <hyperlink ref="J21" r:id="rId10" xr:uid="{3AB2989D-61A7-D645-9F06-1A254EE6C65E}"/>
    <hyperlink ref="J22" r:id="rId11" xr:uid="{B7CD882E-5230-D349-BB3B-992FA6F38DB9}"/>
    <hyperlink ref="J23" r:id="rId12" xr:uid="{E6238F01-20C1-3E4B-B308-7E7854B298F0}"/>
    <hyperlink ref="J24" r:id="rId13" xr:uid="{DE47F773-C66F-2542-90A6-06B8E3772E95}"/>
    <hyperlink ref="J13" r:id="rId14" xr:uid="{4901C483-5229-BA40-A19C-7849E72ACC73}"/>
    <hyperlink ref="J16" r:id="rId15" xr:uid="{23333E50-7A43-4F4B-92A4-50BB2A85BFF5}"/>
    <hyperlink ref="J18" r:id="rId16" xr:uid="{B89ADBD2-A53A-B048-B54B-DEC5D62C5891}"/>
    <hyperlink ref="J43" r:id="rId17" xr:uid="{5B9B8274-DB17-B14C-AEBB-CA761BCB9D66}"/>
    <hyperlink ref="J54" r:id="rId18" xr:uid="{D4842C78-6456-E849-A887-3C9585529AB5}"/>
    <hyperlink ref="J53" r:id="rId19" xr:uid="{C6199151-BF1C-5440-B580-48A92A810A66}"/>
    <hyperlink ref="J52" r:id="rId20" xr:uid="{FA84F33E-A136-C840-8D5E-F700B4496024}"/>
    <hyperlink ref="J51" r:id="rId21" xr:uid="{C9407073-0A14-8345-B485-64DC4DD05CC8}"/>
    <hyperlink ref="J50" r:id="rId22" xr:uid="{6C7D9226-F6D9-9541-9AF1-A2B91804BC44}"/>
    <hyperlink ref="J48" r:id="rId23" xr:uid="{CB16EC10-CC9C-4B41-89A3-5D9D0B3BCB62}"/>
    <hyperlink ref="J59" r:id="rId24" xr:uid="{E9E594BB-876E-0246-8B2B-FF79E7D22D20}"/>
    <hyperlink ref="J60" r:id="rId25" xr:uid="{B6851D6A-893E-7C47-B090-D0D7F72CF4D3}"/>
    <hyperlink ref="J61" r:id="rId26" xr:uid="{DFB5B7F2-3728-9548-9971-7E504575F255}"/>
    <hyperlink ref="J66" r:id="rId27" xr:uid="{F52072CC-6B54-D643-98AA-A684869C3CF7}"/>
    <hyperlink ref="J67" r:id="rId28" xr:uid="{7E86E9D3-76D7-8A42-964C-42481C70E334}"/>
    <hyperlink ref="J62" r:id="rId29" xr:uid="{D177A121-5041-5342-AC0F-AEDF8FEFC04B}"/>
    <hyperlink ref="J64" r:id="rId30" xr:uid="{84C8D02C-622F-6641-9DC4-988B5FCFD162}"/>
    <hyperlink ref="J63" r:id="rId31" xr:uid="{2140E1A3-9417-DE44-99D9-F57A0951F048}"/>
    <hyperlink ref="J65" r:id="rId32" xr:uid="{D8C706D1-210D-C84A-97F1-9738278B0600}"/>
    <hyperlink ref="J75" r:id="rId33" xr:uid="{DEBABD73-EAB9-544E-8F8A-28DDDC724CBD}"/>
    <hyperlink ref="J73" r:id="rId34" display="https://www.nejm.org/doi/full/10.1056/NEJMoa2030340?query=pfw&amp;jwd=000020005985&amp;jspc=R" xr:uid="{95EC1979-FF8A-B347-97F6-2CF239C5003A}"/>
    <hyperlink ref="J76" r:id="rId35" display="https://www.nejm.org/doi/full/10.1056/NEJMoa2030340?query=pfw&amp;jwd=000020005985&amp;jspc=R" xr:uid="{A02A775C-1CA8-2B44-86C4-8CC8ACFAD34F}"/>
    <hyperlink ref="J72" r:id="rId36" display="https://www.drugs.com/price-guide/actemra" xr:uid="{32061BB7-36AD-5D41-A7A0-D9774CE77CE6}"/>
    <hyperlink ref="J71" r:id="rId37" display="https://www.drugs.com/price-guide/actemra" xr:uid="{F8DE4C78-9E9F-E34C-A9FE-D483DE7C2357}"/>
    <hyperlink ref="J82" r:id="rId38" xr:uid="{06720C8A-0551-F844-8BE0-73BABCD3B375}"/>
    <hyperlink ref="J83" r:id="rId39" xr:uid="{77111EA3-3981-F943-9707-0B2F9BC0C2B4}"/>
    <hyperlink ref="J95" r:id="rId40" location=":~:text=Under%20the%20new%20agreement%2C%20Regeneron,July%202020%20and%20January%202021%20" xr:uid="{A772B027-5748-2145-A9FB-A911FE47D31F}"/>
    <hyperlink ref="J94" r:id="rId41" location=":~:text=Under%20the%20new%20agreement%2C%20Regeneron,July%202020%20and%20January%202021%20" xr:uid="{D18D3553-2C8F-FD4E-A570-CCDA0F7CD6C0}"/>
    <hyperlink ref="J93" r:id="rId42" location=":~:text=Under%20the%20new%20agreement%2C%20Regeneron,July%202020%20and%20January%202021%20" xr:uid="{E2434B8C-E37B-7E42-BEDF-7253A3525232}"/>
  </hyperlinks>
  <pageMargins left="0.7" right="0.7" top="0.75" bottom="0.75" header="0.3" footer="0.3"/>
  <pageSetup paperSize="9" orientation="portrait" horizontalDpi="0" verticalDpi="0"/>
  <tableParts count="1">
    <tablePart r:id="rId4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Normal="100" workbookViewId="0">
      <selection activeCell="C28" sqref="C28"/>
    </sheetView>
  </sheetViews>
  <sheetFormatPr baseColWidth="10" defaultColWidth="19.5" defaultRowHeight="16"/>
  <cols>
    <col min="1" max="2" width="10.83203125" style="14" customWidth="1"/>
    <col min="3" max="16384" width="19.5" style="14"/>
  </cols>
  <sheetData>
    <row r="1" spans="1:12">
      <c r="A1" s="20" t="s">
        <v>0</v>
      </c>
      <c r="B1" s="20" t="s">
        <v>205</v>
      </c>
      <c r="C1" s="20" t="s">
        <v>1</v>
      </c>
      <c r="D1" s="20" t="s">
        <v>9</v>
      </c>
      <c r="E1" s="20" t="s">
        <v>17</v>
      </c>
      <c r="F1" s="20" t="s">
        <v>8</v>
      </c>
      <c r="G1" s="20" t="s">
        <v>14</v>
      </c>
      <c r="H1" s="20" t="s">
        <v>15</v>
      </c>
      <c r="I1" s="20" t="s">
        <v>3</v>
      </c>
      <c r="J1" s="20" t="s">
        <v>2</v>
      </c>
      <c r="K1" s="13" t="s">
        <v>33</v>
      </c>
      <c r="L1" s="20" t="s">
        <v>216</v>
      </c>
    </row>
    <row r="2" spans="1:12">
      <c r="A2" s="8" t="s">
        <v>144</v>
      </c>
      <c r="B2" s="17" t="s">
        <v>63</v>
      </c>
      <c r="C2" s="8" t="s">
        <v>59</v>
      </c>
      <c r="D2" s="8" t="s">
        <v>13</v>
      </c>
      <c r="E2" s="8">
        <v>1</v>
      </c>
      <c r="F2" s="15" t="s">
        <v>29</v>
      </c>
      <c r="G2" s="8">
        <v>58</v>
      </c>
      <c r="H2" s="8">
        <v>82</v>
      </c>
      <c r="I2" s="8" t="s">
        <v>11</v>
      </c>
      <c r="J2" s="8" t="s">
        <v>24</v>
      </c>
      <c r="K2" s="8" t="s">
        <v>36</v>
      </c>
      <c r="L2" s="8"/>
    </row>
    <row r="3" spans="1:12">
      <c r="A3" s="8" t="s">
        <v>144</v>
      </c>
      <c r="B3" s="17" t="s">
        <v>63</v>
      </c>
      <c r="C3" s="8" t="s">
        <v>5</v>
      </c>
      <c r="D3" s="8" t="s">
        <v>31</v>
      </c>
      <c r="E3" s="8" t="s">
        <v>70</v>
      </c>
      <c r="F3" s="10">
        <v>0</v>
      </c>
      <c r="G3" s="8"/>
      <c r="H3" s="8"/>
      <c r="I3" s="8" t="s">
        <v>20</v>
      </c>
      <c r="J3" s="8" t="s">
        <v>20</v>
      </c>
      <c r="K3" s="8" t="s">
        <v>94</v>
      </c>
      <c r="L3" s="8" t="s">
        <v>30</v>
      </c>
    </row>
    <row r="4" spans="1:12">
      <c r="A4" s="8" t="s">
        <v>144</v>
      </c>
      <c r="B4" s="17" t="s">
        <v>63</v>
      </c>
      <c r="C4" s="8" t="s">
        <v>69</v>
      </c>
      <c r="D4" s="8" t="s">
        <v>31</v>
      </c>
      <c r="E4" s="8" t="s">
        <v>64</v>
      </c>
      <c r="F4" s="15">
        <v>2570</v>
      </c>
      <c r="G4" s="8">
        <v>1371</v>
      </c>
      <c r="H4" s="8">
        <v>3552</v>
      </c>
      <c r="I4" s="8" t="s">
        <v>16</v>
      </c>
      <c r="J4" s="16" t="s">
        <v>4</v>
      </c>
      <c r="K4" s="8" t="s">
        <v>93</v>
      </c>
      <c r="L4" s="8"/>
    </row>
    <row r="5" spans="1:12">
      <c r="A5" s="8" t="s">
        <v>144</v>
      </c>
      <c r="B5" s="17" t="s">
        <v>63</v>
      </c>
      <c r="C5" s="8" t="s">
        <v>28</v>
      </c>
      <c r="D5" s="8" t="s">
        <v>31</v>
      </c>
      <c r="E5" s="8" t="s">
        <v>64</v>
      </c>
      <c r="F5" s="15">
        <v>4179</v>
      </c>
      <c r="G5" s="8">
        <f>0.8*Table13[[#This Row],[Med]]</f>
        <v>3343.2000000000003</v>
      </c>
      <c r="H5" s="8">
        <f>1.2*Table13[[#This Row],[Med]]</f>
        <v>5014.8</v>
      </c>
      <c r="I5" s="8" t="s">
        <v>12</v>
      </c>
      <c r="J5" s="16" t="s">
        <v>41</v>
      </c>
      <c r="K5" s="8" t="s">
        <v>37</v>
      </c>
      <c r="L5" s="8" t="s">
        <v>35</v>
      </c>
    </row>
    <row r="6" spans="1:12">
      <c r="A6" s="8" t="s">
        <v>144</v>
      </c>
      <c r="B6" s="17" t="s">
        <v>63</v>
      </c>
      <c r="C6" s="8" t="s">
        <v>27</v>
      </c>
      <c r="D6" s="8" t="s">
        <v>31</v>
      </c>
      <c r="E6" s="8" t="s">
        <v>64</v>
      </c>
      <c r="F6" s="15">
        <v>5209</v>
      </c>
      <c r="G6" s="8">
        <f>0.8*Table13[[#This Row],[Med]]</f>
        <v>4167.2</v>
      </c>
      <c r="H6" s="8">
        <f>1.2*Table13[[#This Row],[Med]]</f>
        <v>6250.8</v>
      </c>
      <c r="I6" s="8" t="s">
        <v>12</v>
      </c>
      <c r="J6" s="16" t="s">
        <v>41</v>
      </c>
      <c r="K6" s="8" t="s">
        <v>37</v>
      </c>
      <c r="L6" s="8" t="s">
        <v>35</v>
      </c>
    </row>
    <row r="7" spans="1:12">
      <c r="A7" s="8" t="s">
        <v>144</v>
      </c>
      <c r="B7" s="17" t="s">
        <v>63</v>
      </c>
      <c r="C7" s="8" t="s">
        <v>34</v>
      </c>
      <c r="D7" s="8" t="s">
        <v>31</v>
      </c>
      <c r="E7" s="8" t="s">
        <v>65</v>
      </c>
      <c r="F7" s="10">
        <v>12101</v>
      </c>
      <c r="G7" s="8">
        <f>Table13[[#This Row],[Med]]*0.8</f>
        <v>9680.8000000000011</v>
      </c>
      <c r="H7" s="8">
        <f>Table13[[#This Row],[Med]]*1.2</f>
        <v>14521.199999999999</v>
      </c>
      <c r="I7" s="8" t="s">
        <v>12</v>
      </c>
      <c r="J7" s="16" t="s">
        <v>42</v>
      </c>
      <c r="K7" s="8" t="s">
        <v>43</v>
      </c>
      <c r="L7" s="8" t="s">
        <v>35</v>
      </c>
    </row>
    <row r="8" spans="1:12">
      <c r="A8" s="8" t="s">
        <v>144</v>
      </c>
      <c r="B8" s="17" t="s">
        <v>63</v>
      </c>
      <c r="C8" s="8" t="s">
        <v>26</v>
      </c>
      <c r="D8" s="8" t="s">
        <v>31</v>
      </c>
      <c r="E8" s="8" t="s">
        <v>66</v>
      </c>
      <c r="F8" s="10">
        <v>3675</v>
      </c>
      <c r="G8" s="8">
        <f>Table13[[#This Row],[Med]]*0.8</f>
        <v>2940</v>
      </c>
      <c r="H8" s="8">
        <f>Table13[[#This Row],[Med]]*1.2</f>
        <v>4410</v>
      </c>
      <c r="I8" s="8" t="s">
        <v>12</v>
      </c>
      <c r="J8" s="16" t="s">
        <v>40</v>
      </c>
      <c r="K8" s="8" t="s">
        <v>39</v>
      </c>
      <c r="L8" s="8" t="s">
        <v>35</v>
      </c>
    </row>
    <row r="9" spans="1:12">
      <c r="A9" s="8" t="s">
        <v>144</v>
      </c>
      <c r="B9" s="17" t="s">
        <v>63</v>
      </c>
      <c r="C9" s="8" t="s">
        <v>73</v>
      </c>
      <c r="D9" s="8" t="s">
        <v>22</v>
      </c>
      <c r="E9" s="8">
        <v>73</v>
      </c>
      <c r="F9" s="10">
        <f>15182/18183</f>
        <v>0.8349557278776879</v>
      </c>
      <c r="G9" s="8">
        <f>(18183-3001)</f>
        <v>15182</v>
      </c>
      <c r="H9" s="8">
        <v>3001</v>
      </c>
      <c r="I9" s="8" t="s">
        <v>10</v>
      </c>
      <c r="J9" s="8" t="s">
        <v>24</v>
      </c>
      <c r="K9" s="8" t="s">
        <v>75</v>
      </c>
      <c r="L9" s="8"/>
    </row>
    <row r="10" spans="1:12">
      <c r="A10" s="8" t="s">
        <v>144</v>
      </c>
      <c r="B10" s="17" t="s">
        <v>63</v>
      </c>
      <c r="C10" s="8" t="s">
        <v>138</v>
      </c>
      <c r="D10" s="8" t="s">
        <v>22</v>
      </c>
      <c r="E10" s="8">
        <v>73</v>
      </c>
      <c r="F10" s="10">
        <f>3001/18183</f>
        <v>0.16504427212231204</v>
      </c>
      <c r="G10" s="8">
        <v>3001</v>
      </c>
      <c r="H10" s="8">
        <f>18183-3001</f>
        <v>15182</v>
      </c>
      <c r="I10" s="8" t="s">
        <v>10</v>
      </c>
      <c r="J10" s="8" t="s">
        <v>24</v>
      </c>
      <c r="K10" s="8" t="s">
        <v>76</v>
      </c>
      <c r="L10" s="8"/>
    </row>
    <row r="11" spans="1:12">
      <c r="A11" s="8" t="s">
        <v>144</v>
      </c>
      <c r="B11" s="17" t="s">
        <v>63</v>
      </c>
      <c r="C11" s="8" t="s">
        <v>86</v>
      </c>
      <c r="D11" s="8" t="s">
        <v>22</v>
      </c>
      <c r="E11" s="8">
        <v>73</v>
      </c>
      <c r="F11" s="8">
        <v>0.44900000000000001</v>
      </c>
      <c r="G11" s="8">
        <v>1346</v>
      </c>
      <c r="H11" s="8">
        <f>3001-1346</f>
        <v>1655</v>
      </c>
      <c r="I11" s="8" t="s">
        <v>10</v>
      </c>
      <c r="J11" s="8" t="s">
        <v>24</v>
      </c>
      <c r="K11" s="2" t="s">
        <v>234</v>
      </c>
      <c r="L11" s="2" t="s">
        <v>235</v>
      </c>
    </row>
    <row r="12" spans="1:12">
      <c r="A12" s="8" t="s">
        <v>144</v>
      </c>
      <c r="B12" s="17" t="s">
        <v>63</v>
      </c>
      <c r="C12" s="8" t="s">
        <v>87</v>
      </c>
      <c r="D12" s="8" t="s">
        <v>22</v>
      </c>
      <c r="E12" s="8">
        <v>73</v>
      </c>
      <c r="F12" s="8">
        <v>0.34300000000000003</v>
      </c>
      <c r="G12" s="8">
        <v>6902</v>
      </c>
      <c r="H12" s="8">
        <f>20133-6902</f>
        <v>13231</v>
      </c>
      <c r="I12" s="8" t="s">
        <v>10</v>
      </c>
      <c r="J12" s="8" t="s">
        <v>24</v>
      </c>
      <c r="K12" s="2" t="s">
        <v>236</v>
      </c>
      <c r="L12" s="2" t="s">
        <v>235</v>
      </c>
    </row>
    <row r="13" spans="1:12">
      <c r="A13" s="8" t="s">
        <v>144</v>
      </c>
      <c r="B13" s="17" t="s">
        <v>63</v>
      </c>
      <c r="C13" s="8" t="s">
        <v>109</v>
      </c>
      <c r="D13" s="8" t="s">
        <v>22</v>
      </c>
      <c r="E13" s="8">
        <v>73</v>
      </c>
      <c r="F13" s="10">
        <v>0.54400000000000004</v>
      </c>
      <c r="G13" s="8">
        <v>903</v>
      </c>
      <c r="H13" s="8">
        <f>1658-903</f>
        <v>755</v>
      </c>
      <c r="I13" s="8" t="s">
        <v>10</v>
      </c>
      <c r="J13" s="8" t="s">
        <v>24</v>
      </c>
      <c r="K13" s="2" t="s">
        <v>237</v>
      </c>
      <c r="L13" s="2" t="s">
        <v>235</v>
      </c>
    </row>
    <row r="14" spans="1:12">
      <c r="A14" s="8" t="s">
        <v>144</v>
      </c>
      <c r="B14" s="17" t="s">
        <v>63</v>
      </c>
      <c r="C14" s="8" t="s">
        <v>110</v>
      </c>
      <c r="D14" s="8" t="s">
        <v>22</v>
      </c>
      <c r="E14" s="8">
        <v>73</v>
      </c>
      <c r="F14" s="10">
        <v>0.33900000000000002</v>
      </c>
      <c r="G14" s="8">
        <v>455</v>
      </c>
      <c r="H14" s="8">
        <f>1343-455</f>
        <v>888</v>
      </c>
      <c r="I14" s="8" t="s">
        <v>10</v>
      </c>
      <c r="J14" s="8" t="s">
        <v>24</v>
      </c>
      <c r="K14" s="2" t="s">
        <v>238</v>
      </c>
      <c r="L14" s="2" t="s">
        <v>235</v>
      </c>
    </row>
    <row r="15" spans="1:12">
      <c r="A15" s="8" t="s">
        <v>144</v>
      </c>
      <c r="B15" s="17" t="s">
        <v>63</v>
      </c>
      <c r="C15" s="8" t="s">
        <v>60</v>
      </c>
      <c r="D15" s="8" t="s">
        <v>22</v>
      </c>
      <c r="E15" s="8" t="s">
        <v>22</v>
      </c>
      <c r="F15" s="10">
        <f>Table13[[#This Row],[Lo_alpha]]/Table13[[#This Row],[Hi_beta]]</f>
        <v>0.59941389758108576</v>
      </c>
      <c r="G15" s="8">
        <v>12068</v>
      </c>
      <c r="H15" s="8">
        <f>Table13[[#This Row],[Lo_alpha]]+8065</f>
        <v>20133</v>
      </c>
      <c r="I15" s="8" t="s">
        <v>10</v>
      </c>
      <c r="J15" s="8" t="s">
        <v>24</v>
      </c>
      <c r="K15" s="8" t="s">
        <v>47</v>
      </c>
      <c r="L15" s="8"/>
    </row>
    <row r="16" spans="1:12">
      <c r="A16" s="8" t="s">
        <v>144</v>
      </c>
      <c r="B16" s="17" t="s">
        <v>63</v>
      </c>
      <c r="C16" s="8" t="s">
        <v>23</v>
      </c>
      <c r="D16" s="8" t="s">
        <v>22</v>
      </c>
      <c r="E16" s="8" t="s">
        <v>22</v>
      </c>
      <c r="F16" s="10">
        <f>1658/(1658+1343)</f>
        <v>0.55248250583138958</v>
      </c>
      <c r="G16" s="8">
        <v>1658</v>
      </c>
      <c r="H16" s="8">
        <f>3001-1658</f>
        <v>1343</v>
      </c>
      <c r="I16" s="8" t="s">
        <v>10</v>
      </c>
      <c r="J16" s="8" t="s">
        <v>24</v>
      </c>
      <c r="K16" s="8" t="s">
        <v>46</v>
      </c>
      <c r="L16" s="8"/>
    </row>
    <row r="17" spans="1:12">
      <c r="A17" s="8" t="s">
        <v>144</v>
      </c>
      <c r="B17" s="17" t="s">
        <v>63</v>
      </c>
      <c r="C17" s="8" t="s">
        <v>21</v>
      </c>
      <c r="D17" s="8" t="s">
        <v>18</v>
      </c>
      <c r="E17" s="8">
        <v>0</v>
      </c>
      <c r="F17" s="10">
        <v>0</v>
      </c>
      <c r="G17" s="8">
        <v>0</v>
      </c>
      <c r="H17" s="8">
        <v>0</v>
      </c>
      <c r="I17" s="8" t="s">
        <v>20</v>
      </c>
      <c r="J17" s="8" t="s">
        <v>20</v>
      </c>
      <c r="K17" s="8" t="s">
        <v>95</v>
      </c>
      <c r="L17" s="8"/>
    </row>
    <row r="18" spans="1:12">
      <c r="A18" s="8" t="s">
        <v>144</v>
      </c>
      <c r="B18" s="17" t="s">
        <v>63</v>
      </c>
      <c r="C18" s="8" t="s">
        <v>19</v>
      </c>
      <c r="D18" s="8" t="s">
        <v>18</v>
      </c>
      <c r="E18" s="8">
        <v>1</v>
      </c>
      <c r="F18" s="10">
        <v>0.5</v>
      </c>
      <c r="G18" s="8">
        <v>0.25</v>
      </c>
      <c r="H18" s="8">
        <v>0.88</v>
      </c>
      <c r="I18" s="8" t="s">
        <v>10</v>
      </c>
      <c r="J18" s="16" t="s">
        <v>204</v>
      </c>
      <c r="K18" s="8" t="s">
        <v>96</v>
      </c>
      <c r="L18" s="8"/>
    </row>
    <row r="19" spans="1:12">
      <c r="A19" s="8" t="s">
        <v>144</v>
      </c>
      <c r="B19" s="17" t="s">
        <v>63</v>
      </c>
      <c r="C19" s="8" t="s">
        <v>62</v>
      </c>
      <c r="D19" s="8" t="s">
        <v>18</v>
      </c>
      <c r="E19" s="8">
        <v>1</v>
      </c>
      <c r="F19" s="10">
        <v>0.05</v>
      </c>
      <c r="G19" s="8">
        <v>0</v>
      </c>
      <c r="H19" s="8">
        <v>0.25</v>
      </c>
      <c r="I19" s="8" t="s">
        <v>10</v>
      </c>
      <c r="J19" s="16" t="s">
        <v>98</v>
      </c>
      <c r="K19" s="8" t="s">
        <v>99</v>
      </c>
      <c r="L19" s="8"/>
    </row>
    <row r="20" spans="1:12">
      <c r="A20" s="8" t="s">
        <v>144</v>
      </c>
      <c r="B20" s="17" t="s">
        <v>63</v>
      </c>
      <c r="C20" s="8" t="s">
        <v>57</v>
      </c>
      <c r="D20" s="8" t="s">
        <v>18</v>
      </c>
      <c r="E20" s="8">
        <v>1</v>
      </c>
      <c r="F20" s="10">
        <v>0.88</v>
      </c>
      <c r="G20" s="10">
        <f>0.88-1.96*0.0015</f>
        <v>0.87705999999999995</v>
      </c>
      <c r="H20" s="10">
        <f>0.88+1.96*0.0015</f>
        <v>0.88294000000000006</v>
      </c>
      <c r="I20" s="8" t="s">
        <v>10</v>
      </c>
      <c r="J20" s="16" t="s">
        <v>100</v>
      </c>
      <c r="K20" s="8" t="s">
        <v>101</v>
      </c>
      <c r="L20" s="8"/>
    </row>
    <row r="21" spans="1:12">
      <c r="A21" s="8" t="s">
        <v>144</v>
      </c>
      <c r="B21" s="17" t="s">
        <v>63</v>
      </c>
      <c r="C21" s="8" t="s">
        <v>61</v>
      </c>
      <c r="D21" s="8" t="s">
        <v>18</v>
      </c>
      <c r="E21" s="8">
        <v>1</v>
      </c>
      <c r="F21" s="10">
        <v>0.67700000000000005</v>
      </c>
      <c r="G21" s="8">
        <v>0.45658009999999999</v>
      </c>
      <c r="H21" s="8">
        <v>0.95698050000000001</v>
      </c>
      <c r="I21" s="8" t="s">
        <v>10</v>
      </c>
      <c r="J21" s="16" t="s">
        <v>58</v>
      </c>
      <c r="K21" s="8" t="s">
        <v>97</v>
      </c>
      <c r="L21" s="8" t="s">
        <v>82</v>
      </c>
    </row>
    <row r="22" spans="1:12">
      <c r="A22" s="8" t="s">
        <v>144</v>
      </c>
      <c r="B22" s="17" t="s">
        <v>63</v>
      </c>
      <c r="C22" s="8" t="s">
        <v>83</v>
      </c>
      <c r="D22" s="8" t="s">
        <v>85</v>
      </c>
      <c r="E22" s="8">
        <v>1</v>
      </c>
      <c r="F22" s="10">
        <v>1</v>
      </c>
      <c r="G22" s="8">
        <v>1</v>
      </c>
      <c r="H22" s="8">
        <v>1</v>
      </c>
      <c r="I22" s="8" t="s">
        <v>20</v>
      </c>
      <c r="J22" s="8" t="s">
        <v>20</v>
      </c>
      <c r="K22" s="8" t="s">
        <v>232</v>
      </c>
      <c r="L22" s="8"/>
    </row>
    <row r="23" spans="1:12">
      <c r="A23" s="8" t="s">
        <v>144</v>
      </c>
      <c r="B23" s="17" t="s">
        <v>63</v>
      </c>
      <c r="C23" s="8" t="s">
        <v>89</v>
      </c>
      <c r="D23" s="8" t="s">
        <v>85</v>
      </c>
      <c r="E23" s="8">
        <v>1</v>
      </c>
      <c r="F23" s="10">
        <v>1</v>
      </c>
      <c r="G23" s="8">
        <v>1</v>
      </c>
      <c r="H23" s="8">
        <v>1</v>
      </c>
      <c r="I23" s="8" t="s">
        <v>20</v>
      </c>
      <c r="J23" s="8" t="s">
        <v>20</v>
      </c>
      <c r="K23" s="8" t="s">
        <v>232</v>
      </c>
      <c r="L23" s="8"/>
    </row>
    <row r="24" spans="1:12">
      <c r="A24" s="8" t="s">
        <v>144</v>
      </c>
      <c r="B24" s="17" t="s">
        <v>63</v>
      </c>
      <c r="C24" s="8" t="s">
        <v>88</v>
      </c>
      <c r="D24" s="8" t="s">
        <v>85</v>
      </c>
      <c r="E24" s="8">
        <v>1</v>
      </c>
      <c r="F24" s="10">
        <v>1</v>
      </c>
      <c r="G24" s="8">
        <v>1</v>
      </c>
      <c r="H24" s="8">
        <v>1</v>
      </c>
      <c r="I24" s="8" t="s">
        <v>20</v>
      </c>
      <c r="J24" s="8" t="s">
        <v>20</v>
      </c>
      <c r="K24" s="8" t="s">
        <v>232</v>
      </c>
      <c r="L24" s="8"/>
    </row>
    <row r="25" spans="1:12">
      <c r="A25" s="8" t="s">
        <v>144</v>
      </c>
      <c r="B25" s="17" t="s">
        <v>63</v>
      </c>
      <c r="C25" s="8" t="s">
        <v>84</v>
      </c>
      <c r="D25" s="8" t="s">
        <v>85</v>
      </c>
      <c r="E25" s="8">
        <v>0</v>
      </c>
      <c r="F25" s="8">
        <v>0</v>
      </c>
      <c r="G25" s="8">
        <v>0</v>
      </c>
      <c r="H25" s="8">
        <v>0</v>
      </c>
      <c r="I25" s="8" t="s">
        <v>20</v>
      </c>
      <c r="J25" s="8" t="s">
        <v>20</v>
      </c>
      <c r="K25" s="8" t="s">
        <v>233</v>
      </c>
      <c r="L25" s="8"/>
    </row>
    <row r="26" spans="1:12" ht="18" customHeight="1">
      <c r="A26" s="8" t="s">
        <v>144</v>
      </c>
      <c r="B26" s="17" t="s">
        <v>63</v>
      </c>
      <c r="C26" s="8" t="s">
        <v>44</v>
      </c>
      <c r="D26" s="8" t="s">
        <v>22</v>
      </c>
      <c r="E26" s="8" t="s">
        <v>22</v>
      </c>
      <c r="F26" s="10">
        <f>Table13[[#This Row],[Lo_alpha]]/(Table13[[#This Row],[Lo_alpha]]+Table13[[#This Row],[Hi_beta]])</f>
        <v>0.66172404363282789</v>
      </c>
      <c r="G26" s="8">
        <v>217780</v>
      </c>
      <c r="H26" s="8">
        <v>111330</v>
      </c>
      <c r="I26" s="8" t="s">
        <v>10</v>
      </c>
      <c r="J26" s="19" t="s">
        <v>45</v>
      </c>
      <c r="K26" s="8" t="s">
        <v>231</v>
      </c>
      <c r="L26" s="8" t="s">
        <v>187</v>
      </c>
    </row>
  </sheetData>
  <phoneticPr fontId="8" type="noConversion"/>
  <hyperlinks>
    <hyperlink ref="J8" r:id="rId1" xr:uid="{FC6A8DC0-793A-5944-92F3-B6B63D24ECA9}"/>
    <hyperlink ref="J4" r:id="rId2" xr:uid="{7131849E-EF21-4F44-93FD-4A70359CE243}"/>
    <hyperlink ref="J5" r:id="rId3" xr:uid="{8DAA4AED-8BB7-5C45-9346-A5C06F6F8E49}"/>
    <hyperlink ref="J6" r:id="rId4" xr:uid="{62A558EF-89D9-1945-BBDF-93D8F7AE32A1}"/>
    <hyperlink ref="J7" r:id="rId5" xr:uid="{04B45639-7AD4-2E45-9B1A-9894D2E788F9}"/>
    <hyperlink ref="J21" r:id="rId6" xr:uid="{810FF755-80FB-D94F-9ABB-2819655ACB7A}"/>
    <hyperlink ref="J19" r:id="rId7" xr:uid="{52CDA11F-68AE-6443-8087-491F942B0C18}"/>
    <hyperlink ref="J18" r:id="rId8" display="https://papers.ssrn.com/sol3/papers.cfm?abstract_id=3586694" xr:uid="{2D2E50A1-2D96-4546-BE72-7F498B47158D}"/>
    <hyperlink ref="J20" r:id="rId9" xr:uid="{AD7C4D1D-0F13-924E-B4CE-E45DFD4B3F8D}"/>
    <hyperlink ref="J26" r:id="rId10" xr:uid="{97A056AE-8E25-8F42-9A71-AE65EA8A2DC9}"/>
  </hyperlinks>
  <pageMargins left="0.7" right="0.7" top="0.75" bottom="0.75"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B3BF3-BF12-5642-BD61-D7397AA0DD5F}">
  <dimension ref="A1:M31"/>
  <sheetViews>
    <sheetView workbookViewId="0">
      <selection activeCell="C18" sqref="C18"/>
    </sheetView>
  </sheetViews>
  <sheetFormatPr baseColWidth="10" defaultRowHeight="16"/>
  <cols>
    <col min="3" max="3" width="22.6640625" customWidth="1"/>
  </cols>
  <sheetData>
    <row r="1" spans="1:7">
      <c r="A1" s="1" t="s">
        <v>182</v>
      </c>
    </row>
    <row r="2" spans="1:7">
      <c r="A2" s="21" t="s">
        <v>239</v>
      </c>
    </row>
    <row r="3" spans="1:7" s="11" customFormat="1">
      <c r="B3" s="11" t="s">
        <v>164</v>
      </c>
      <c r="D3" s="11" t="s">
        <v>168</v>
      </c>
      <c r="G3" s="11" t="s">
        <v>169</v>
      </c>
    </row>
    <row r="4" spans="1:7">
      <c r="A4" t="s">
        <v>165</v>
      </c>
      <c r="B4">
        <v>826</v>
      </c>
      <c r="D4">
        <f>B5/(B4+B5)</f>
        <v>0.53699551569506732</v>
      </c>
      <c r="G4">
        <f>B5/(B4+B5+B6)+(B6/(B4+B5+B6)*(B5/(B4+B5+B6)))</f>
        <v>0.44868349448328954</v>
      </c>
    </row>
    <row r="5" spans="1:7">
      <c r="A5" t="s">
        <v>166</v>
      </c>
      <c r="B5">
        <v>958</v>
      </c>
    </row>
    <row r="6" spans="1:7">
      <c r="A6" t="s">
        <v>167</v>
      </c>
      <c r="B6">
        <v>1217</v>
      </c>
    </row>
    <row r="7" spans="1:7">
      <c r="A7" s="1" t="s">
        <v>170</v>
      </c>
      <c r="B7" s="12">
        <f>SUM(B4:B6)</f>
        <v>3001</v>
      </c>
      <c r="D7">
        <f>B7*D4</f>
        <v>1611.5235426008969</v>
      </c>
      <c r="G7">
        <f>B7*G4</f>
        <v>1346.4991669443518</v>
      </c>
    </row>
    <row r="9" spans="1:7" s="11" customFormat="1">
      <c r="B9" s="11" t="s">
        <v>171</v>
      </c>
      <c r="D9" s="11" t="s">
        <v>168</v>
      </c>
      <c r="G9" s="11" t="s">
        <v>169</v>
      </c>
    </row>
    <row r="10" spans="1:7">
      <c r="A10" t="s">
        <v>165</v>
      </c>
      <c r="B10">
        <v>276</v>
      </c>
      <c r="D10">
        <f>B11/(B10+B11)</f>
        <v>0.6912751677852349</v>
      </c>
      <c r="G10">
        <f>B11/(B10+B11+B12)+(B12/(B10+B11+B12)*(B11/(B10+B11+B12)))</f>
        <v>0.54449458050378252</v>
      </c>
    </row>
    <row r="11" spans="1:7">
      <c r="A11" t="s">
        <v>166</v>
      </c>
      <c r="B11">
        <v>618</v>
      </c>
    </row>
    <row r="12" spans="1:7">
      <c r="A12" t="s">
        <v>167</v>
      </c>
      <c r="B12">
        <v>764</v>
      </c>
    </row>
    <row r="13" spans="1:7">
      <c r="A13" s="1" t="s">
        <v>170</v>
      </c>
      <c r="B13" s="1">
        <f>SUM(B10:B12)</f>
        <v>1658</v>
      </c>
      <c r="D13">
        <f>B13*D10</f>
        <v>1146.1342281879195</v>
      </c>
      <c r="G13">
        <f>B13*G10</f>
        <v>902.77201447527148</v>
      </c>
    </row>
    <row r="15" spans="1:7" s="11" customFormat="1">
      <c r="B15" s="11" t="s">
        <v>172</v>
      </c>
      <c r="D15" s="11" t="s">
        <v>168</v>
      </c>
      <c r="G15" s="11" t="s">
        <v>169</v>
      </c>
    </row>
    <row r="16" spans="1:7">
      <c r="A16" t="s">
        <v>165</v>
      </c>
      <c r="B16">
        <v>550</v>
      </c>
      <c r="D16">
        <f>B17/(B16+B17)</f>
        <v>0.38202247191011235</v>
      </c>
      <c r="G16">
        <f>B17/(B16+B17+B18)+(B18/(B16+B17+B18)*(B17/(B16+B17+B18)))</f>
        <v>0.33855811191645385</v>
      </c>
    </row>
    <row r="17" spans="1:13">
      <c r="A17" t="s">
        <v>166</v>
      </c>
      <c r="B17">
        <v>340</v>
      </c>
    </row>
    <row r="18" spans="1:13">
      <c r="A18" t="s">
        <v>167</v>
      </c>
      <c r="B18">
        <v>453</v>
      </c>
    </row>
    <row r="19" spans="1:13">
      <c r="A19" s="1" t="s">
        <v>170</v>
      </c>
      <c r="B19" s="1">
        <f>SUM(B16:B18)</f>
        <v>1343</v>
      </c>
      <c r="D19">
        <f>B19*D16</f>
        <v>513.05617977528084</v>
      </c>
      <c r="G19">
        <f>B19*G16</f>
        <v>454.68354430379753</v>
      </c>
    </row>
    <row r="21" spans="1:13" s="11" customFormat="1">
      <c r="B21" s="11" t="s">
        <v>167</v>
      </c>
      <c r="D21" s="11" t="s">
        <v>168</v>
      </c>
      <c r="G21" s="11" t="s">
        <v>169</v>
      </c>
    </row>
    <row r="22" spans="1:13">
      <c r="A22" t="s">
        <v>165</v>
      </c>
      <c r="B22">
        <v>8199</v>
      </c>
      <c r="D22">
        <f>B23/(B22+B23)</f>
        <v>0.38648608201137385</v>
      </c>
      <c r="G22">
        <f>B23/(B22+B23+B24)+(B24/(B22+B23+B24)*(B23/(B22+B23+B24)))</f>
        <v>0.34279770613682065</v>
      </c>
    </row>
    <row r="23" spans="1:13">
      <c r="A23" t="s">
        <v>166</v>
      </c>
      <c r="B23">
        <v>5165</v>
      </c>
    </row>
    <row r="24" spans="1:13">
      <c r="A24" t="s">
        <v>167</v>
      </c>
      <c r="B24">
        <v>6769</v>
      </c>
    </row>
    <row r="25" spans="1:13">
      <c r="A25" s="1" t="s">
        <v>170</v>
      </c>
      <c r="B25" s="1">
        <f>SUM(B22:B24)</f>
        <v>20133</v>
      </c>
      <c r="D25">
        <f>B25*D22</f>
        <v>7781.1242891349902</v>
      </c>
      <c r="G25">
        <f>B25*G22</f>
        <v>6901.5462176526098</v>
      </c>
    </row>
    <row r="28" spans="1:13" s="7" customFormat="1">
      <c r="A28" s="4"/>
      <c r="B28" s="4"/>
      <c r="C28" s="3"/>
      <c r="D28" s="4"/>
      <c r="E28" s="4"/>
      <c r="F28" s="3"/>
      <c r="G28" s="3"/>
      <c r="H28" s="3"/>
      <c r="I28" s="4"/>
      <c r="J28" s="4"/>
      <c r="K28" s="4"/>
      <c r="L28" s="9"/>
      <c r="M28" s="4"/>
    </row>
    <row r="29" spans="1:13" s="7" customFormat="1">
      <c r="A29" s="4"/>
      <c r="B29" s="4"/>
      <c r="C29" s="3"/>
      <c r="D29" s="4"/>
      <c r="E29" s="4"/>
      <c r="F29" s="3"/>
      <c r="G29" s="3"/>
      <c r="H29" s="3"/>
      <c r="I29" s="4"/>
      <c r="J29" s="4"/>
      <c r="K29" s="4"/>
      <c r="L29" s="9"/>
      <c r="M29" s="4"/>
    </row>
    <row r="30" spans="1:13" s="7" customFormat="1">
      <c r="A30" s="4"/>
      <c r="B30" s="4"/>
      <c r="C30" s="3"/>
      <c r="D30" s="4"/>
      <c r="E30" s="4"/>
      <c r="F30" s="5"/>
      <c r="G30" s="3"/>
      <c r="H30" s="3"/>
      <c r="I30" s="4"/>
      <c r="J30" s="4"/>
      <c r="K30" s="4"/>
      <c r="L30" s="9"/>
      <c r="M30" s="4"/>
    </row>
    <row r="31" spans="1:13" s="7" customFormat="1">
      <c r="A31" s="4"/>
      <c r="B31" s="4"/>
      <c r="C31" s="3"/>
      <c r="D31" s="4"/>
      <c r="E31" s="4"/>
      <c r="F31" s="5"/>
      <c r="G31" s="3"/>
      <c r="H31" s="3"/>
      <c r="I31" s="4"/>
      <c r="J31" s="4"/>
      <c r="K31" s="4"/>
      <c r="L31" s="9"/>
      <c r="M3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3633-E4C0-BF4E-84DA-7C29DF1C35C9}">
  <dimension ref="A1:A2"/>
  <sheetViews>
    <sheetView workbookViewId="0">
      <selection activeCell="E28" sqref="E28"/>
    </sheetView>
  </sheetViews>
  <sheetFormatPr baseColWidth="10" defaultRowHeight="16"/>
  <sheetData>
    <row r="1" spans="1:1">
      <c r="A1" t="s">
        <v>67</v>
      </c>
    </row>
    <row r="2" spans="1:1">
      <c r="A2" s="6" t="s">
        <v>68</v>
      </c>
    </row>
  </sheetData>
  <hyperlinks>
    <hyperlink ref="A2" r:id="rId1" display="https://www.usinflationcalculator.com/" xr:uid="{DD7FF678-F073-6240-955E-FF3DA00E5F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Rx</vt:lpstr>
      <vt:lpstr>cohort</vt:lpstr>
      <vt:lpstr>transition probabilities</vt:lpstr>
      <vt:lpstr>conversion USD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2020-05-28T13:39:13Z</dcterms:created>
  <dcterms:modified xsi:type="dcterms:W3CDTF">2022-05-06T12:46:28Z</dcterms:modified>
</cp:coreProperties>
</file>