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<sst xmlns="http://schemas.openxmlformats.org/spreadsheetml/2006/main" uniqueCount="64">
  <si>
    <t>ID</t>
  </si>
  <si>
    <t>spec_process</t>
  </si>
  <si>
    <t>spec_machine_used</t>
  </si>
  <si>
    <t>spec_description</t>
  </si>
  <si>
    <t>spec_make</t>
  </si>
  <si>
    <t>investment_machine_cost</t>
  </si>
  <si>
    <t>investment_ installation_cost</t>
  </si>
  <si>
    <t>investment_other_cost</t>
  </si>
  <si>
    <t>investment_total_machine_cost</t>
  </si>
  <si>
    <t>investment_machine_life</t>
  </si>
  <si>
    <t>investment_disposal_value</t>
  </si>
  <si>
    <t>investment_mhr_machine_cost</t>
  </si>
  <si>
    <t>investment_machine_cost_year</t>
  </si>
  <si>
    <t>working_days_week_holidays</t>
  </si>
  <si>
    <t>working_days_national_holidays</t>
  </si>
  <si>
    <t>working_days_per_year</t>
  </si>
  <si>
    <t>working_days_shift</t>
  </si>
  <si>
    <t>working_days_hours_per_year</t>
  </si>
  <si>
    <t>working_capacity_efficiency</t>
  </si>
  <si>
    <t>working_machine_uptime_year</t>
  </si>
  <si>
    <t>interest_charge_rate_of_interest</t>
  </si>
  <si>
    <t>interest_charge_loan</t>
  </si>
  <si>
    <t>interest_charge_cost</t>
  </si>
  <si>
    <t>interest_charge_maintenance</t>
  </si>
  <si>
    <t>interest_charge_consumables</t>
  </si>
  <si>
    <t>space_machine_length</t>
  </si>
  <si>
    <t>space_machine_breadth</t>
  </si>
  <si>
    <t>space_area</t>
  </si>
  <si>
    <t>space_cost</t>
  </si>
  <si>
    <t>space_cost_per_year</t>
  </si>
  <si>
    <t>direct_labour_salary_per_month</t>
  </si>
  <si>
    <t>direct_labour_utilisation</t>
  </si>
  <si>
    <t>direct_labour_supervisor</t>
  </si>
  <si>
    <t>direct_labour_salary1_per_month</t>
  </si>
  <si>
    <t>direct_labour_utilisation1</t>
  </si>
  <si>
    <t>direct_labour_cost</t>
  </si>
  <si>
    <t>mhr_FIX</t>
  </si>
  <si>
    <t>mhr_VAR</t>
  </si>
  <si>
    <t>MHR</t>
  </si>
  <si>
    <t>mhr_MMR</t>
  </si>
  <si>
    <t>good_casting_pro_year</t>
  </si>
  <si>
    <t>good_casting_prod_hour</t>
  </si>
  <si>
    <t>good_casting_prod_min</t>
  </si>
  <si>
    <t>good_casting_cost</t>
  </si>
  <si>
    <t>Melting</t>
  </si>
  <si>
    <t>Induction Furnace</t>
  </si>
  <si>
    <t>1T Furnace Dual Track, 1800Kw</t>
  </si>
  <si>
    <t>Inductotherm</t>
  </si>
  <si>
    <t>Sand Prepartaion</t>
  </si>
  <si>
    <t>Sand Plant</t>
  </si>
  <si>
    <t>Intensive Sand Mixer</t>
  </si>
  <si>
    <t>DISA</t>
  </si>
  <si>
    <t>Moulding, Demoulding &amp; Cutting</t>
  </si>
  <si>
    <t>ARPA Horizontal</t>
  </si>
  <si>
    <t>Size 650*600*250/2</t>
  </si>
  <si>
    <t>Shot Blasting (Primary + Secondary)</t>
  </si>
  <si>
    <t>Hanger Type Continuous</t>
  </si>
  <si>
    <t>1MT per Cycle Hanger type</t>
  </si>
  <si>
    <t>Core Making</t>
  </si>
  <si>
    <t>Core Shooter</t>
  </si>
  <si>
    <t>Cold Box core, oven, Sand dryers,Painting tank etc</t>
  </si>
  <si>
    <t>Susha/Compax</t>
  </si>
  <si>
    <t>Lab &amp; Equipment</t>
  </si>
  <si>
    <t>Utilities &amp; Civil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</si>
</sst>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2"/>
      <color indexed="8"/>
      <name val="Verdana"/>
    </font>
    <font>
      <sz val="11"/>
      <color indexed="8"/>
      <name val="Trebuchet MS"/>
    </font>
    <font>
      <sz val="14"/>
      <color indexed="8"/>
      <name val="Trebuchet MS"/>
    </font>
    <font>
      <sz val="13"/>
      <color indexed="8"/>
      <name val="Trebuchet MS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center"/>
    </xf>
    <xf numFmtId="0" fontId="3" borderId="2" applyNumberFormat="1" applyFont="1" applyFill="0" applyBorder="1" applyAlignment="1" applyProtection="0">
      <alignment horizontal="center" vertical="center"/>
    </xf>
    <xf numFmtId="0" fontId="3" borderId="2" applyNumberFormat="1" applyFont="1" applyFill="0" applyBorder="1" applyAlignment="1" applyProtection="0">
      <alignment horizontal="center" vertical="center" wrapText="1"/>
    </xf>
    <xf numFmtId="0" fontId="3" borderId="1" applyNumberFormat="1" applyFont="1" applyFill="0" applyBorder="1" applyAlignment="1" applyProtection="0">
      <alignment horizontal="center" vertical="center" wrapText="1"/>
    </xf>
    <xf numFmtId="0" fontId="3" borderId="3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center" wrapText="1"/>
    </xf>
    <xf numFmtId="2" fontId="4" fillId="2" borderId="4" applyNumberFormat="1" applyFont="1" applyFill="1" applyBorder="1" applyAlignment="1" applyProtection="0">
      <alignment horizontal="center" vertical="center" wrapText="1"/>
    </xf>
    <xf numFmtId="2" fontId="4" fillId="2" borderId="4" applyNumberFormat="1" applyFont="1" applyFill="1" applyBorder="1" applyAlignment="1" applyProtection="0">
      <alignment horizontal="left" vertical="center" wrapText="1"/>
    </xf>
    <xf numFmtId="0" fontId="3" borderId="5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3" borderId="6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horizontal="left" vertical="center" wrapText="1"/>
    </xf>
    <xf numFmtId="9" fontId="4" borderId="4" applyNumberFormat="1" applyFont="1" applyFill="0" applyBorder="1" applyAlignment="1" applyProtection="0">
      <alignment horizontal="left" vertical="center" wrapText="1"/>
    </xf>
    <xf numFmtId="0" fontId="1" applyNumberFormat="1" applyFont="1" applyFill="0" applyBorder="0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AR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18.7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7" width="6.625" style="1" customWidth="1"/>
    <col min="28" max="28" width="6.625" style="1" customWidth="1"/>
    <col min="29" max="29" width="6.625" style="1" customWidth="1"/>
    <col min="30" max="30" width="6.625" style="1" customWidth="1"/>
    <col min="31" max="31" width="6.625" style="1" customWidth="1"/>
    <col min="32" max="32" width="6.625" style="1" customWidth="1"/>
    <col min="33" max="33" width="6.625" style="1" customWidth="1"/>
    <col min="34" max="34" width="6.625" style="1" customWidth="1"/>
    <col min="35" max="35" width="6.625" style="1" customWidth="1"/>
    <col min="36" max="36" width="6.625" style="1" customWidth="1"/>
    <col min="37" max="37" width="6.625" style="1" customWidth="1"/>
    <col min="38" max="38" width="6.625" style="1" customWidth="1"/>
    <col min="39" max="39" width="6.625" style="1" customWidth="1"/>
    <col min="40" max="40" width="6.625" style="1" customWidth="1"/>
    <col min="41" max="41" width="17.0703" style="1" customWidth="1"/>
    <col min="42" max="42" width="6.625" style="1" customWidth="1"/>
    <col min="43" max="43" width="6.625" style="1" customWidth="1"/>
    <col min="44" max="44" width="6.625" style="1" customWidth="1"/>
    <col min="45" max="256" width="6.625" style="1" customWidth="1"/>
  </cols>
  <sheetData>
    <row r="1" ht="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</row>
    <row r="2" ht="52.5" customHeight="1">
      <c r="A2" s="6">
        <v>1</v>
      </c>
      <c r="B2" t="s" s="7">
        <v>44</v>
      </c>
      <c r="C2" t="s" s="7">
        <v>45</v>
      </c>
      <c r="D2" t="s" s="7">
        <v>46</v>
      </c>
      <c r="E2" t="s" s="7">
        <v>47</v>
      </c>
      <c r="F2" s="8">
        <f>4000000</f>
        <v>4000000</v>
      </c>
      <c r="G2" s="9">
        <f>F2*2%</f>
        <v>80000</v>
      </c>
      <c r="H2" s="8"/>
      <c r="I2" s="8">
        <f>H2+G2+F2</f>
        <v>4080000</v>
      </c>
      <c r="J2" s="8">
        <v>10</v>
      </c>
      <c r="K2" s="8">
        <f>F2*12%</f>
        <v>480000</v>
      </c>
      <c r="L2" s="8">
        <f>I2-K2</f>
        <v>3600000</v>
      </c>
      <c r="M2" s="8">
        <f>L2/J2</f>
        <v>360000</v>
      </c>
      <c r="N2" s="10">
        <v>54</v>
      </c>
      <c r="O2" s="11">
        <v>10</v>
      </c>
      <c r="P2" s="11">
        <f>365-N2-O2</f>
        <v>301</v>
      </c>
      <c r="Q2" s="11">
        <v>3</v>
      </c>
      <c r="R2" s="11">
        <f>Q2*P2*7.5</f>
        <v>6772.5</v>
      </c>
      <c r="S2" s="11">
        <v>0.85</v>
      </c>
      <c r="T2" s="12">
        <f>S2*R2</f>
        <v>5756.625</v>
      </c>
      <c r="U2" s="11">
        <v>0.12</v>
      </c>
      <c r="V2" s="11">
        <v>0.8</v>
      </c>
      <c r="W2" s="11">
        <f>V2*U2*I2</f>
        <v>391680</v>
      </c>
      <c r="X2" s="11">
        <f>I2*2%</f>
        <v>81600</v>
      </c>
      <c r="Y2" s="11">
        <f>1%*I2</f>
        <v>40800</v>
      </c>
      <c r="Z2" s="11">
        <v>31.75</v>
      </c>
      <c r="AA2" s="11">
        <v>8</v>
      </c>
      <c r="AB2" s="11">
        <f>Z2*AA2</f>
        <v>254</v>
      </c>
      <c r="AC2" s="11">
        <f>AB2*2%</f>
        <v>5.08</v>
      </c>
      <c r="AD2" s="11">
        <f>AC2*12</f>
        <v>60.96</v>
      </c>
      <c r="AE2" s="11">
        <v>15000</v>
      </c>
      <c r="AF2" s="11">
        <v>0.1</v>
      </c>
      <c r="AG2" s="11"/>
      <c r="AH2" s="11">
        <v>30000</v>
      </c>
      <c r="AI2" s="11">
        <v>0.1</v>
      </c>
      <c r="AJ2" s="11">
        <v>0</v>
      </c>
      <c r="AK2" s="13">
        <f>(AD2+X2+W2+M2)/T2</f>
        <v>144.7620715262849</v>
      </c>
      <c r="AL2" s="12">
        <f>(AJ2+Y2)/T2</f>
        <v>7.087486157253599</v>
      </c>
      <c r="AM2" s="11">
        <f>AK2+AL2</f>
        <v>151.8495576835385</v>
      </c>
      <c r="AN2" s="11">
        <f>AM2/60</f>
        <v>2.530825961392309</v>
      </c>
      <c r="AO2" s="11">
        <f t="shared" si="19" ref="AO2:AO8">300000*12</f>
        <v>3600000</v>
      </c>
      <c r="AP2" s="12">
        <f>AO2/T2</f>
        <v>625.3664256400234</v>
      </c>
      <c r="AQ2" s="12">
        <f>AP2/60</f>
        <v>10.42277376066706</v>
      </c>
      <c r="AR2" s="11">
        <f>AN2/AQ2</f>
        <v>0.2428169333333333</v>
      </c>
    </row>
    <row r="3" ht="31.5" customHeight="1">
      <c r="A3" s="6">
        <v>2</v>
      </c>
      <c r="B3" t="s" s="7">
        <v>48</v>
      </c>
      <c r="C3" t="s" s="7">
        <v>49</v>
      </c>
      <c r="D3" t="s" s="7">
        <v>50</v>
      </c>
      <c r="E3" t="s" s="7">
        <v>51</v>
      </c>
      <c r="F3" s="14">
        <f>2500000</f>
        <v>2500000</v>
      </c>
      <c r="G3" s="15">
        <f>F3*2%</f>
        <v>50000</v>
      </c>
      <c r="H3" s="15"/>
      <c r="I3" s="15">
        <f>H3+G3+F3</f>
        <v>2550000</v>
      </c>
      <c r="J3" s="15">
        <v>10</v>
      </c>
      <c r="K3" s="15">
        <f>F3*12%</f>
        <v>300000</v>
      </c>
      <c r="L3" s="15">
        <f>I3-K3</f>
        <v>2250000</v>
      </c>
      <c r="M3" s="15">
        <f>L3/J3</f>
        <v>225000</v>
      </c>
      <c r="N3" s="11">
        <v>54</v>
      </c>
      <c r="O3" s="11">
        <v>10</v>
      </c>
      <c r="P3" s="11">
        <f>365-N3-O3</f>
        <v>301</v>
      </c>
      <c r="Q3" s="11">
        <v>3</v>
      </c>
      <c r="R3" s="11">
        <f>Q3*P3*7.5</f>
        <v>6772.5</v>
      </c>
      <c r="S3" s="11">
        <v>0.85</v>
      </c>
      <c r="T3" s="12">
        <f>S3*R3</f>
        <v>5756.625</v>
      </c>
      <c r="U3" s="11">
        <v>0.12</v>
      </c>
      <c r="V3" s="11">
        <v>0.8</v>
      </c>
      <c r="W3" s="11">
        <f>V3*U3*I3</f>
        <v>244800</v>
      </c>
      <c r="X3" s="11">
        <f>I3*2%</f>
        <v>51000</v>
      </c>
      <c r="Y3" s="11">
        <f>1%*I3</f>
        <v>25500</v>
      </c>
      <c r="Z3" s="11">
        <v>35</v>
      </c>
      <c r="AA3" s="11">
        <v>9</v>
      </c>
      <c r="AB3" s="11">
        <f>Z3*AA3</f>
        <v>315</v>
      </c>
      <c r="AC3" s="11">
        <f>AB3*2%</f>
        <v>6.3</v>
      </c>
      <c r="AD3" s="11">
        <f>AC3*12</f>
        <v>75.59999999999999</v>
      </c>
      <c r="AE3" s="11">
        <v>15000</v>
      </c>
      <c r="AF3" s="11">
        <v>0.1</v>
      </c>
      <c r="AG3" s="11"/>
      <c r="AH3" s="11">
        <v>30000</v>
      </c>
      <c r="AI3" s="11">
        <v>0.1</v>
      </c>
      <c r="AJ3" s="11">
        <v>0</v>
      </c>
      <c r="AK3" s="13">
        <f>(AD3+X3+W3+M3)/T3</f>
        <v>90.48280893752849</v>
      </c>
      <c r="AL3" s="12">
        <f>(AJ3+Y3)/T3</f>
        <v>4.429678848283499</v>
      </c>
      <c r="AM3" s="11">
        <f>AK3+AL3</f>
        <v>94.91248778581199</v>
      </c>
      <c r="AN3" s="11">
        <f>AM3/60</f>
        <v>1.5818747964302</v>
      </c>
      <c r="AO3" s="11">
        <f t="shared" si="19"/>
        <v>3600000</v>
      </c>
      <c r="AP3" s="12">
        <f>AO3/T3</f>
        <v>625.3664256400234</v>
      </c>
      <c r="AQ3" s="12">
        <f>AP3/60</f>
        <v>10.42277376066706</v>
      </c>
      <c r="AR3" s="11">
        <f>AN3/AQ3</f>
        <v>0.151771</v>
      </c>
    </row>
    <row r="4" ht="42" customHeight="1">
      <c r="A4" s="6">
        <v>4</v>
      </c>
      <c r="B4" t="s" s="7">
        <v>52</v>
      </c>
      <c r="C4" t="s" s="7">
        <v>53</v>
      </c>
      <c r="D4" t="s" s="7">
        <v>54</v>
      </c>
      <c r="E4" t="s" s="7">
        <v>51</v>
      </c>
      <c r="F4" s="10">
        <v>18481000</v>
      </c>
      <c r="G4" s="11">
        <f>F4*2%</f>
        <v>369620</v>
      </c>
      <c r="H4" s="11"/>
      <c r="I4" s="11">
        <f>H4+G4+F4</f>
        <v>18850620</v>
      </c>
      <c r="J4" s="11">
        <v>10</v>
      </c>
      <c r="K4" s="11">
        <f>F4*12%</f>
        <v>2217720</v>
      </c>
      <c r="L4" s="11">
        <f>I4-K4</f>
        <v>16632900</v>
      </c>
      <c r="M4" s="11">
        <f>L4/J4</f>
        <v>1663290</v>
      </c>
      <c r="N4" s="11">
        <v>54</v>
      </c>
      <c r="O4" s="11">
        <v>10</v>
      </c>
      <c r="P4" s="11">
        <f>365-N4-O4</f>
        <v>301</v>
      </c>
      <c r="Q4" s="11">
        <v>3</v>
      </c>
      <c r="R4" s="11">
        <f>Q4*P4*7.5</f>
        <v>6772.5</v>
      </c>
      <c r="S4" s="11">
        <v>0.85</v>
      </c>
      <c r="T4" s="12">
        <f>S4*R4</f>
        <v>5756.625</v>
      </c>
      <c r="U4" s="11">
        <v>0.12</v>
      </c>
      <c r="V4" s="11">
        <v>0.8</v>
      </c>
      <c r="W4" s="11">
        <f>V4*U4*I4</f>
        <v>1809659.52</v>
      </c>
      <c r="X4" s="11">
        <f>I4*2%</f>
        <v>377012.4</v>
      </c>
      <c r="Y4" s="11">
        <f>1%*I4</f>
        <v>188506.2</v>
      </c>
      <c r="Z4" s="11">
        <v>67.7</v>
      </c>
      <c r="AA4" s="11">
        <v>15</v>
      </c>
      <c r="AB4" s="11">
        <f>Z4*AA4</f>
        <v>1015.5</v>
      </c>
      <c r="AC4" s="11">
        <f>AB4*215.2</f>
        <v>218535.6</v>
      </c>
      <c r="AD4" s="11">
        <f>AC4*12</f>
        <v>2622427.2</v>
      </c>
      <c r="AE4" s="11">
        <v>15000</v>
      </c>
      <c r="AF4" s="11">
        <v>0.1</v>
      </c>
      <c r="AG4" s="11"/>
      <c r="AH4" s="11">
        <v>30000</v>
      </c>
      <c r="AI4" s="11">
        <v>0.1</v>
      </c>
      <c r="AJ4" s="11">
        <v>0</v>
      </c>
      <c r="AK4" s="13">
        <f>(AD4+X4+W4+M4)/T4</f>
        <v>1124.337458146049</v>
      </c>
      <c r="AL4" s="12">
        <f>(AJ4+Y4)/T4</f>
        <v>32.74595791805094</v>
      </c>
      <c r="AM4" s="11">
        <f>AK4+AL4</f>
        <v>1157.0834160641</v>
      </c>
      <c r="AN4" s="11">
        <f>AM4/60</f>
        <v>19.28472360106833</v>
      </c>
      <c r="AO4" s="11">
        <f t="shared" si="19"/>
        <v>3600000</v>
      </c>
      <c r="AP4" s="12">
        <f>AO4/T4</f>
        <v>625.3664256400234</v>
      </c>
      <c r="AQ4" s="12">
        <f>AP4/60</f>
        <v>10.42277376066706</v>
      </c>
      <c r="AR4" s="11">
        <f>AN4/AQ4</f>
        <v>1.850248699999999</v>
      </c>
    </row>
    <row r="5" ht="63" customHeight="1">
      <c r="A5" s="6">
        <v>5</v>
      </c>
      <c r="B5" t="s" s="7">
        <v>55</v>
      </c>
      <c r="C5" t="s" s="7">
        <v>56</v>
      </c>
      <c r="D5" t="s" s="7">
        <v>57</v>
      </c>
      <c r="E5" t="s" s="7">
        <v>51</v>
      </c>
      <c r="F5" s="10">
        <v>800000</v>
      </c>
      <c r="G5" s="11">
        <f>F5*2%</f>
        <v>16000</v>
      </c>
      <c r="H5" s="11"/>
      <c r="I5" s="11">
        <f>H5+G5+F5</f>
        <v>816000</v>
      </c>
      <c r="J5" s="11">
        <v>10</v>
      </c>
      <c r="K5" s="11">
        <f>F5*12%</f>
        <v>96000</v>
      </c>
      <c r="L5" s="11">
        <f>I5-K5</f>
        <v>720000</v>
      </c>
      <c r="M5" s="11">
        <f>L5/J5</f>
        <v>72000</v>
      </c>
      <c r="N5" s="11">
        <v>54</v>
      </c>
      <c r="O5" s="11">
        <v>10</v>
      </c>
      <c r="P5" s="11">
        <f>365-N5-O5</f>
        <v>301</v>
      </c>
      <c r="Q5" s="11">
        <v>3</v>
      </c>
      <c r="R5" s="11">
        <f>Q5*P5*7.5</f>
        <v>6772.5</v>
      </c>
      <c r="S5" s="11">
        <v>0.85</v>
      </c>
      <c r="T5" s="12">
        <f>S5*R5</f>
        <v>5756.625</v>
      </c>
      <c r="U5" s="11">
        <v>0.12</v>
      </c>
      <c r="V5" s="11">
        <v>0.8</v>
      </c>
      <c r="W5" s="11">
        <f>V5*U5*I5</f>
        <v>78336</v>
      </c>
      <c r="X5" s="11">
        <f>I5*2%</f>
        <v>16320</v>
      </c>
      <c r="Y5" s="11">
        <f>3%*I5</f>
        <v>24480</v>
      </c>
      <c r="Z5" s="11">
        <v>44.1</v>
      </c>
      <c r="AA5" s="11">
        <v>20</v>
      </c>
      <c r="AB5" s="11">
        <f>Z5*AA5</f>
        <v>882</v>
      </c>
      <c r="AC5" s="11">
        <f>AB5*215.2</f>
        <v>189806.4</v>
      </c>
      <c r="AD5" s="11">
        <f>AC5*12</f>
        <v>2277676.8</v>
      </c>
      <c r="AE5" s="11">
        <v>15000</v>
      </c>
      <c r="AF5" s="11">
        <v>0.1</v>
      </c>
      <c r="AG5" s="11"/>
      <c r="AH5" s="11">
        <v>30000</v>
      </c>
      <c r="AI5" s="11">
        <v>0.1</v>
      </c>
      <c r="AJ5" s="11">
        <v>0</v>
      </c>
      <c r="AK5" s="13">
        <f>(AD5+X5+W5+M5)/T5</f>
        <v>424.612129502964</v>
      </c>
      <c r="AL5" s="12">
        <f>(AJ5+Y5)/T5</f>
        <v>4.25249169435216</v>
      </c>
      <c r="AM5" s="11">
        <f>AK5+AL5</f>
        <v>428.8646211973161</v>
      </c>
      <c r="AN5" s="11">
        <f>AM5/60</f>
        <v>7.147743686621935</v>
      </c>
      <c r="AO5" s="11">
        <f t="shared" si="19"/>
        <v>3600000</v>
      </c>
      <c r="AP5" s="12">
        <f>AO5/T5</f>
        <v>625.3664256400234</v>
      </c>
      <c r="AQ5" s="12">
        <f>AP5/60</f>
        <v>10.42277376066706</v>
      </c>
      <c r="AR5" s="11">
        <f>AN5/AQ5</f>
        <v>0.6857813333333334</v>
      </c>
    </row>
    <row r="6" ht="73.5" customHeight="1">
      <c r="A6" s="6">
        <v>6</v>
      </c>
      <c r="B6" t="s" s="7">
        <v>58</v>
      </c>
      <c r="C6" t="s" s="7">
        <v>59</v>
      </c>
      <c r="D6" t="s" s="7">
        <v>60</v>
      </c>
      <c r="E6" t="s" s="7">
        <v>61</v>
      </c>
      <c r="F6" s="10">
        <v>2000000</v>
      </c>
      <c r="G6" s="11">
        <f>F6*2%</f>
        <v>40000</v>
      </c>
      <c r="H6" s="11"/>
      <c r="I6" s="11">
        <f>H6+G6+F6</f>
        <v>2040000</v>
      </c>
      <c r="J6" s="11">
        <v>10</v>
      </c>
      <c r="K6" s="11">
        <f>F6*12%</f>
        <v>240000</v>
      </c>
      <c r="L6" s="11">
        <f>I6-K6</f>
        <v>1800000</v>
      </c>
      <c r="M6" s="11">
        <f>L6/J6</f>
        <v>180000</v>
      </c>
      <c r="N6" s="11">
        <v>54</v>
      </c>
      <c r="O6" s="11">
        <v>10</v>
      </c>
      <c r="P6" s="11">
        <f>365-N6-O6</f>
        <v>301</v>
      </c>
      <c r="Q6" s="11">
        <v>3</v>
      </c>
      <c r="R6" s="11">
        <f>Q6*P6*7.5</f>
        <v>6772.5</v>
      </c>
      <c r="S6" s="11">
        <v>0.85</v>
      </c>
      <c r="T6" s="12">
        <f>S6*R6</f>
        <v>5756.625</v>
      </c>
      <c r="U6" s="11">
        <v>0.12</v>
      </c>
      <c r="V6" s="11">
        <v>0.8</v>
      </c>
      <c r="W6" s="11">
        <f>V6*U6*I6</f>
        <v>195840</v>
      </c>
      <c r="X6" s="11">
        <f>I6*2%</f>
        <v>40800</v>
      </c>
      <c r="Y6" s="11">
        <f>3%*I6</f>
        <v>61200</v>
      </c>
      <c r="Z6" s="11">
        <v>25</v>
      </c>
      <c r="AA6" s="11">
        <v>9</v>
      </c>
      <c r="AB6" s="11">
        <f>Z6*AA6</f>
        <v>225</v>
      </c>
      <c r="AC6" s="11">
        <f>AB6*215.2</f>
        <v>48420</v>
      </c>
      <c r="AD6" s="11">
        <f>AC6*12</f>
        <v>581040</v>
      </c>
      <c r="AE6" s="11">
        <v>15000</v>
      </c>
      <c r="AF6" s="11">
        <v>0.1</v>
      </c>
      <c r="AG6" s="11"/>
      <c r="AH6" s="11">
        <v>30000</v>
      </c>
      <c r="AI6" s="11">
        <v>0.1</v>
      </c>
      <c r="AJ6" s="11">
        <v>0</v>
      </c>
      <c r="AK6" s="13">
        <f>(AD6+X6+W6+M6)/T6</f>
        <v>173.3098820923718</v>
      </c>
      <c r="AL6" s="12">
        <f>(AJ6+Y6)/T6</f>
        <v>10.6312292358804</v>
      </c>
      <c r="AM6" s="11">
        <f>AK6+AL6</f>
        <v>183.9411113282522</v>
      </c>
      <c r="AN6" s="11">
        <f>AM6/60</f>
        <v>3.065685188804204</v>
      </c>
      <c r="AO6" s="11">
        <f t="shared" si="19"/>
        <v>3600000</v>
      </c>
      <c r="AP6" s="12">
        <f>AO6/T6</f>
        <v>625.3664256400234</v>
      </c>
      <c r="AQ6" s="12">
        <f>AP6/60</f>
        <v>10.42277376066706</v>
      </c>
      <c r="AR6" s="11">
        <f>AN6/AQ6</f>
        <v>0.2941333333333333</v>
      </c>
    </row>
    <row r="7" ht="31.5" customHeight="1">
      <c r="A7" s="6">
        <v>7</v>
      </c>
      <c r="B7" t="s" s="7">
        <v>62</v>
      </c>
      <c r="C7" s="16"/>
      <c r="D7" s="17"/>
      <c r="E7" s="16"/>
      <c r="F7" s="10">
        <v>1000000</v>
      </c>
      <c r="G7" s="11">
        <f>F7*2%</f>
        <v>20000</v>
      </c>
      <c r="H7" s="11"/>
      <c r="I7" s="11">
        <f>H7+G7+F7</f>
        <v>1020000</v>
      </c>
      <c r="J7" s="11">
        <v>10</v>
      </c>
      <c r="K7" s="11">
        <f>F7*12%</f>
        <v>120000</v>
      </c>
      <c r="L7" s="11">
        <f>I7-K7</f>
        <v>900000</v>
      </c>
      <c r="M7" s="11">
        <f>L7/J7</f>
        <v>90000</v>
      </c>
      <c r="N7" s="11">
        <v>54</v>
      </c>
      <c r="O7" s="11">
        <v>10</v>
      </c>
      <c r="P7" s="11">
        <f>365-N7-O7</f>
        <v>301</v>
      </c>
      <c r="Q7" s="11">
        <v>3</v>
      </c>
      <c r="R7" s="11">
        <f>Q7*P7*7.5</f>
        <v>6772.5</v>
      </c>
      <c r="S7" s="11">
        <v>0.85</v>
      </c>
      <c r="T7" s="12">
        <f>S7*R7</f>
        <v>5756.625</v>
      </c>
      <c r="U7" s="11">
        <v>0.12</v>
      </c>
      <c r="V7" s="11">
        <v>0.8</v>
      </c>
      <c r="W7" s="11">
        <f>V7*U7*I7</f>
        <v>97920</v>
      </c>
      <c r="X7" s="11">
        <f>I7*2%</f>
        <v>20400</v>
      </c>
      <c r="Y7" s="11">
        <f>3%*I7</f>
        <v>30600</v>
      </c>
      <c r="Z7" s="11">
        <v>9</v>
      </c>
      <c r="AA7" s="11">
        <v>9</v>
      </c>
      <c r="AB7" s="11">
        <f>Z7*AA7</f>
        <v>81</v>
      </c>
      <c r="AC7" s="11">
        <f>AB7*215.2</f>
        <v>17431.2</v>
      </c>
      <c r="AD7" s="11">
        <f>AC7*12</f>
        <v>209174.4</v>
      </c>
      <c r="AE7" s="11">
        <v>15000</v>
      </c>
      <c r="AF7" s="11">
        <v>0.1</v>
      </c>
      <c r="AG7" s="11"/>
      <c r="AH7" s="11">
        <v>30000</v>
      </c>
      <c r="AI7" s="11">
        <v>0.1</v>
      </c>
      <c r="AJ7" s="11">
        <v>0</v>
      </c>
      <c r="AK7" s="13">
        <f>(AD7+X7+W7+M7)/T7</f>
        <v>72.52416129242395</v>
      </c>
      <c r="AL7" s="12">
        <f>(AJ7+Y7)/T7</f>
        <v>5.3156146179402</v>
      </c>
      <c r="AM7" s="11">
        <f>AK7+AL7</f>
        <v>77.83977591036415</v>
      </c>
      <c r="AN7" s="11">
        <f>AM7/60</f>
        <v>1.297329598506069</v>
      </c>
      <c r="AO7" s="11">
        <f t="shared" si="19"/>
        <v>3600000</v>
      </c>
      <c r="AP7" s="12">
        <f>AO7/T7</f>
        <v>625.3664256400234</v>
      </c>
      <c r="AQ7" s="12">
        <f>AP7/60</f>
        <v>10.42277376066706</v>
      </c>
      <c r="AR7" s="11">
        <f>AN7/AQ7</f>
        <v>0.1244706666666667</v>
      </c>
    </row>
    <row r="8" ht="20" customHeight="1">
      <c r="A8" s="11">
        <v>8</v>
      </c>
      <c r="B8" t="s" s="15">
        <v>63</v>
      </c>
      <c r="C8" s="15"/>
      <c r="D8" s="15"/>
      <c r="E8" s="15"/>
      <c r="F8" s="11">
        <v>12000000</v>
      </c>
      <c r="G8" s="11">
        <f>F8*2%</f>
        <v>240000</v>
      </c>
      <c r="H8" s="11"/>
      <c r="I8" s="11">
        <f>H8+G8+F8</f>
        <v>12240000</v>
      </c>
      <c r="J8" s="11">
        <v>10</v>
      </c>
      <c r="K8" s="11">
        <f>F8*12%</f>
        <v>1440000</v>
      </c>
      <c r="L8" s="11">
        <f>I8-K8</f>
        <v>10800000</v>
      </c>
      <c r="M8" s="11">
        <f>L8/J8</f>
        <v>1080000</v>
      </c>
      <c r="N8" s="11">
        <v>54</v>
      </c>
      <c r="O8" s="11">
        <v>10</v>
      </c>
      <c r="P8" s="11">
        <f>365-N8-O8</f>
        <v>301</v>
      </c>
      <c r="Q8" s="11">
        <v>3</v>
      </c>
      <c r="R8" s="11">
        <f>Q8*P8*7.5</f>
        <v>6772.5</v>
      </c>
      <c r="S8" s="11">
        <v>0.85</v>
      </c>
      <c r="T8" s="12">
        <f>S8*R8</f>
        <v>5756.625</v>
      </c>
      <c r="U8" s="11">
        <v>0.12</v>
      </c>
      <c r="V8" s="11">
        <v>0.8</v>
      </c>
      <c r="W8" s="11">
        <f>V8*U8*I8</f>
        <v>1175040</v>
      </c>
      <c r="X8" s="11">
        <f>I8*1%</f>
        <v>122400</v>
      </c>
      <c r="Y8" s="11">
        <f>1%*I8</f>
        <v>122400</v>
      </c>
      <c r="Z8" s="11">
        <v>22.25</v>
      </c>
      <c r="AA8" s="11">
        <v>5</v>
      </c>
      <c r="AB8" s="11">
        <f>Z8*AA8</f>
        <v>111.25</v>
      </c>
      <c r="AC8" s="11">
        <f>AB8*215.2</f>
        <v>23941</v>
      </c>
      <c r="AD8" s="11">
        <f>AC8*12</f>
        <v>287292</v>
      </c>
      <c r="AE8" s="11">
        <v>15000</v>
      </c>
      <c r="AF8" s="11">
        <v>0.1</v>
      </c>
      <c r="AG8" s="11"/>
      <c r="AH8" s="11">
        <v>30000</v>
      </c>
      <c r="AI8" s="11">
        <v>0.1</v>
      </c>
      <c r="AJ8" s="11">
        <v>0</v>
      </c>
      <c r="AK8" s="13">
        <f>(AD8+X8+W8+M8)/T8</f>
        <v>462.8983128134975</v>
      </c>
      <c r="AL8" s="12">
        <f>(AJ8+Y8)/T8</f>
        <v>21.2624584717608</v>
      </c>
      <c r="AM8" s="11">
        <f>AK8+AL8</f>
        <v>484.1607712852583</v>
      </c>
      <c r="AN8" s="11">
        <f>AM8/60</f>
        <v>8.069346188087639</v>
      </c>
      <c r="AO8" s="11">
        <f t="shared" si="19"/>
        <v>3600000</v>
      </c>
      <c r="AP8" s="12">
        <f>AO8/T8</f>
        <v>625.3664256400234</v>
      </c>
      <c r="AQ8" s="12">
        <f>AP8/60</f>
        <v>10.42277376066706</v>
      </c>
      <c r="AR8" s="11">
        <f>AN8/AQ8</f>
        <v>0.7742033333333335</v>
      </c>
    </row>
    <row r="9" ht="2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ht="2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8" customWidth="1"/>
    <col min="2" max="2" width="6.625" style="18" customWidth="1"/>
    <col min="3" max="3" width="6.625" style="18" customWidth="1"/>
    <col min="4" max="4" width="6.625" style="18" customWidth="1"/>
    <col min="5" max="5" width="6.625" style="18" customWidth="1"/>
    <col min="6" max="256" width="6.625" style="18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0" customWidth="1"/>
    <col min="2" max="2" width="6.625" style="20" customWidth="1"/>
    <col min="3" max="3" width="6.625" style="20" customWidth="1"/>
    <col min="4" max="4" width="6.625" style="20" customWidth="1"/>
    <col min="5" max="5" width="6.625" style="20" customWidth="1"/>
    <col min="6" max="256" width="6.625" style="20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