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codeName="ThisWorkbook" autoCompressPictures="0" defaultThemeVersion="124226"/>
  <mc:AlternateContent xmlns:mc="http://schemas.openxmlformats.org/markup-compatibility/2006">
    <mc:Choice Requires="x15">
      <x15ac:absPath xmlns:x15ac="http://schemas.microsoft.com/office/spreadsheetml/2010/11/ac" url="https://rutgersconnect-my.sharepoint.com/personal/kpj22_scarletmail_rutgers_edu/Documents/"/>
    </mc:Choice>
  </mc:AlternateContent>
  <xr:revisionPtr revIDLastSave="0" documentId="8_{0EDED44A-F45F-4648-B81A-BD9BF6137DFC}" xr6:coauthVersionLast="47" xr6:coauthVersionMax="47" xr10:uidLastSave="{00000000-0000-0000-0000-000000000000}"/>
  <bookViews>
    <workbookView xWindow="-108" yWindow="-108" windowWidth="23256" windowHeight="12456" tabRatio="736" firstSheet="2" activeTab="2" xr2:uid="{00000000-000D-0000-FFFF-FFFF00000000}"/>
  </bookViews>
  <sheets>
    <sheet name="Core Model &gt;&gt;&gt;" sheetId="87" r:id="rId1"/>
    <sheet name="Investment Thesis" sheetId="109" r:id="rId2"/>
    <sheet name="Rev Build Sample - Units" sheetId="97" r:id="rId3"/>
    <sheet name="Rev Build Sample - Growth" sheetId="99" r:id="rId4"/>
    <sheet name="FSM Complete" sheetId="93" r:id="rId5"/>
    <sheet name="Historicals" sheetId="66" r:id="rId6"/>
    <sheet name="PE_and_EPS" sheetId="105" r:id="rId7"/>
    <sheet name="Comparables" sheetId="104" r:id="rId8"/>
  </sheets>
  <definedNames>
    <definedName name="CIQWBGuid" hidden="1">"a611639b-bab1-425e-aaa5-008c326fdfdb"</definedName>
    <definedName name="IQ_CH">110000</definedName>
    <definedName name="IQ_CQ">5000</definedName>
    <definedName name="IQ_CY">10000</definedName>
    <definedName name="IQ_DAILY">500000</definedName>
    <definedName name="IQ_DNTM" hidden="1">700000</definedName>
    <definedName name="IQ_EXPENSE_CODE_" hidden="1">"019802400"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localSheetId="4" hidden="1">43967.6848263889</definedName>
    <definedName name="IQ_NAMES_REVISION_DATE_" hidden="1">43880.6877199074</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MLNK841c85bef3244d5c8fb6b3f84988d79e" hidden="1">#REF!</definedName>
    <definedName name="MLNKa7775792bf444a4785f8ed5c82461a24" hidden="1">#REF!</definedName>
    <definedName name="_xlnm.Print_Area" localSheetId="0">'Core Model &gt;&gt;&gt;'!$B$2:$N$32</definedName>
    <definedName name="_xlnm.Print_Area" localSheetId="4">'FSM Complete'!$C$2:$T$156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4" i="105" l="1"/>
  <c r="E43" i="105"/>
  <c r="E35" i="105"/>
  <c r="E36" i="105"/>
  <c r="E41" i="105"/>
  <c r="E29" i="105"/>
  <c r="E34" i="105"/>
  <c r="E27" i="105"/>
  <c r="D37" i="105"/>
  <c r="D30" i="105"/>
  <c r="C40" i="105"/>
  <c r="C33" i="105"/>
  <c r="D26" i="105"/>
  <c r="E26" i="105"/>
  <c r="C26" i="105"/>
  <c r="D35" i="66"/>
  <c r="H54" i="93"/>
  <c r="I54" i="93"/>
  <c r="J54" i="93"/>
  <c r="K54" i="93"/>
  <c r="G54" i="93"/>
  <c r="G74" i="93"/>
  <c r="H48" i="93"/>
  <c r="I48" i="93"/>
  <c r="J48" i="93"/>
  <c r="K48" i="93"/>
  <c r="H47" i="93"/>
  <c r="I47" i="93"/>
  <c r="J47" i="93"/>
  <c r="K47" i="93"/>
  <c r="G47" i="93"/>
  <c r="G48" i="93"/>
  <c r="G45" i="97"/>
  <c r="G29" i="99"/>
  <c r="H29" i="99"/>
  <c r="E90" i="93"/>
  <c r="F90" i="93"/>
  <c r="D91" i="93"/>
  <c r="E91" i="93"/>
  <c r="F91" i="93"/>
  <c r="D92" i="93"/>
  <c r="E92" i="93"/>
  <c r="F92" i="93"/>
  <c r="D93" i="93"/>
  <c r="E93" i="93"/>
  <c r="F93" i="93"/>
  <c r="D94" i="93"/>
  <c r="E94" i="93"/>
  <c r="F94" i="93"/>
  <c r="D95" i="93"/>
  <c r="E95" i="93"/>
  <c r="F95" i="93"/>
  <c r="E61" i="93"/>
  <c r="F61" i="93"/>
  <c r="D62" i="93"/>
  <c r="E62" i="93"/>
  <c r="F62" i="93"/>
  <c r="D63" i="93"/>
  <c r="E63" i="93"/>
  <c r="F63" i="93"/>
  <c r="D64" i="93"/>
  <c r="E64" i="93"/>
  <c r="F64" i="93"/>
  <c r="D65" i="93"/>
  <c r="E65" i="93"/>
  <c r="F65" i="93"/>
  <c r="D66" i="93"/>
  <c r="E66" i="93"/>
  <c r="F66" i="93"/>
  <c r="F37" i="93"/>
  <c r="F38" i="93"/>
  <c r="F39" i="93"/>
  <c r="F40" i="93"/>
  <c r="F41" i="93"/>
  <c r="E41" i="93"/>
  <c r="E40" i="93"/>
  <c r="E39" i="93"/>
  <c r="E38" i="93"/>
  <c r="E37" i="93"/>
  <c r="D41" i="93"/>
  <c r="D40" i="93"/>
  <c r="D39" i="93"/>
  <c r="D38" i="93"/>
  <c r="D37" i="93"/>
  <c r="F36" i="93"/>
  <c r="E36" i="93"/>
  <c r="E83" i="93"/>
  <c r="F83" i="93"/>
  <c r="D83" i="93"/>
  <c r="E81" i="93"/>
  <c r="F81" i="93"/>
  <c r="D81" i="93"/>
  <c r="E79" i="93"/>
  <c r="F79" i="93"/>
  <c r="D79" i="93"/>
  <c r="E78" i="93"/>
  <c r="F78" i="93"/>
  <c r="D78" i="93"/>
  <c r="E77" i="93"/>
  <c r="F77" i="93"/>
  <c r="D77" i="93"/>
  <c r="E75" i="93"/>
  <c r="F75" i="93"/>
  <c r="D75" i="93"/>
  <c r="E72" i="93"/>
  <c r="F72" i="93"/>
  <c r="D72" i="93"/>
  <c r="E71" i="93"/>
  <c r="F71" i="93"/>
  <c r="D71" i="93"/>
  <c r="E74" i="93"/>
  <c r="F74" i="93"/>
  <c r="D74" i="93"/>
  <c r="H45" i="93"/>
  <c r="I45" i="93"/>
  <c r="J45" i="93"/>
  <c r="K45" i="93"/>
  <c r="G45" i="93"/>
  <c r="H44" i="93"/>
  <c r="I44" i="93" s="1"/>
  <c r="J44" i="93" s="1"/>
  <c r="K44" i="93" s="1"/>
  <c r="G44" i="93"/>
  <c r="D56" i="93" l="1"/>
  <c r="F56" i="93"/>
  <c r="E56" i="93"/>
  <c r="E54" i="93"/>
  <c r="F54" i="93"/>
  <c r="D54" i="93"/>
  <c r="E52" i="93"/>
  <c r="F52" i="93"/>
  <c r="D52" i="93"/>
  <c r="E51" i="93"/>
  <c r="F51" i="93"/>
  <c r="D51" i="93"/>
  <c r="E50" i="93"/>
  <c r="F50" i="93"/>
  <c r="D50" i="93"/>
  <c r="E48" i="93"/>
  <c r="F48" i="93"/>
  <c r="D48" i="93"/>
  <c r="G50" i="93"/>
  <c r="H50" i="93" s="1"/>
  <c r="I50" i="93" s="1"/>
  <c r="J50" i="93" s="1"/>
  <c r="K50" i="93" s="1"/>
  <c r="E47" i="93"/>
  <c r="F47" i="93"/>
  <c r="D47" i="93"/>
  <c r="E45" i="93"/>
  <c r="F45" i="93"/>
  <c r="D45" i="93"/>
  <c r="F44" i="93"/>
  <c r="E44" i="93"/>
  <c r="D44" i="93"/>
  <c r="E32" i="93"/>
  <c r="F32" i="93"/>
  <c r="D32" i="93"/>
  <c r="F28" i="66"/>
  <c r="F20" i="93"/>
  <c r="I90" i="93"/>
  <c r="J90" i="93" s="1"/>
  <c r="K90" i="93" s="1"/>
  <c r="I91" i="93"/>
  <c r="J91" i="93" s="1"/>
  <c r="K91" i="93" s="1"/>
  <c r="I93" i="93"/>
  <c r="J93" i="93" s="1"/>
  <c r="K93" i="93" s="1"/>
  <c r="I94" i="93"/>
  <c r="J94" i="93"/>
  <c r="K94" i="93" s="1"/>
  <c r="I95" i="93"/>
  <c r="J95" i="93" s="1"/>
  <c r="K95" i="93" s="1"/>
  <c r="H95" i="93"/>
  <c r="H94" i="93"/>
  <c r="H93" i="93"/>
  <c r="H92" i="93"/>
  <c r="I92" i="93" s="1"/>
  <c r="J92" i="93" s="1"/>
  <c r="K92" i="93" s="1"/>
  <c r="H91" i="93"/>
  <c r="H90" i="93"/>
  <c r="E27" i="93"/>
  <c r="F27" i="93"/>
  <c r="I66" i="93"/>
  <c r="J66" i="93" s="1"/>
  <c r="K66" i="93" s="1"/>
  <c r="D27" i="93"/>
  <c r="H66" i="93"/>
  <c r="E25" i="93"/>
  <c r="F25" i="93"/>
  <c r="I65" i="93"/>
  <c r="J65" i="93" s="1"/>
  <c r="K65" i="93" s="1"/>
  <c r="D25" i="93"/>
  <c r="H65" i="93"/>
  <c r="E24" i="93"/>
  <c r="F24" i="93"/>
  <c r="D24" i="93"/>
  <c r="I64" i="93"/>
  <c r="J64" i="93" s="1"/>
  <c r="K64" i="93" s="1"/>
  <c r="E23" i="93"/>
  <c r="F23" i="93"/>
  <c r="H64" i="93"/>
  <c r="D23" i="93"/>
  <c r="H63" i="93"/>
  <c r="I63" i="93" s="1"/>
  <c r="J63" i="93" s="1"/>
  <c r="K63" i="93" s="1"/>
  <c r="I62" i="93"/>
  <c r="J62" i="93" s="1"/>
  <c r="K62" i="93" s="1"/>
  <c r="H62" i="93"/>
  <c r="I61" i="93"/>
  <c r="J61" i="93" s="1"/>
  <c r="K61" i="93" s="1"/>
  <c r="H61" i="93"/>
  <c r="E21" i="93"/>
  <c r="F21" i="93"/>
  <c r="D21" i="93"/>
  <c r="E20" i="93"/>
  <c r="D20" i="93"/>
  <c r="E18" i="93"/>
  <c r="F18" i="93"/>
  <c r="D18" i="93"/>
  <c r="E17" i="93"/>
  <c r="F17" i="93"/>
  <c r="D17" i="93"/>
  <c r="I41" i="93"/>
  <c r="J41" i="93"/>
  <c r="K41" i="93"/>
  <c r="H41" i="93"/>
  <c r="I40" i="93"/>
  <c r="J40" i="93" s="1"/>
  <c r="K40" i="93" s="1"/>
  <c r="H40" i="93"/>
  <c r="I39" i="93"/>
  <c r="J39" i="93" s="1"/>
  <c r="K39" i="93" s="1"/>
  <c r="H39" i="93"/>
  <c r="I38" i="93"/>
  <c r="J38" i="93" s="1"/>
  <c r="K38" i="93" s="1"/>
  <c r="H38" i="93"/>
  <c r="H37" i="93"/>
  <c r="I37" i="93" s="1"/>
  <c r="J37" i="93" s="1"/>
  <c r="K37" i="93" s="1"/>
  <c r="I36" i="93"/>
  <c r="J36" i="93" s="1"/>
  <c r="K36" i="93" s="1"/>
  <c r="H36" i="93"/>
  <c r="D22" i="105"/>
  <c r="B22" i="105"/>
  <c r="E19" i="93"/>
  <c r="F19" i="93"/>
  <c r="G71" i="93"/>
  <c r="H71" i="93" s="1"/>
  <c r="D73" i="93"/>
  <c r="D76" i="93" s="1"/>
  <c r="D80" i="93" s="1"/>
  <c r="D82" i="93" s="1"/>
  <c r="D84" i="93" s="1"/>
  <c r="E73" i="93"/>
  <c r="E76" i="93" s="1"/>
  <c r="E80" i="93" s="1"/>
  <c r="E82" i="93" s="1"/>
  <c r="F73" i="93"/>
  <c r="F76" i="93"/>
  <c r="F80" i="93" s="1"/>
  <c r="F82" i="93" s="1"/>
  <c r="G77" i="93"/>
  <c r="H77" i="93"/>
  <c r="I77" i="93" s="1"/>
  <c r="J77" i="93" s="1"/>
  <c r="K77" i="93" s="1"/>
  <c r="G78" i="93"/>
  <c r="H78" i="93" s="1"/>
  <c r="I78" i="93" s="1"/>
  <c r="J78" i="93" s="1"/>
  <c r="K78" i="93" s="1"/>
  <c r="G79" i="93"/>
  <c r="H79" i="93" s="1"/>
  <c r="I79" i="93" s="1"/>
  <c r="J79" i="93" s="1"/>
  <c r="K79" i="93" s="1"/>
  <c r="H83" i="93"/>
  <c r="I83" i="93"/>
  <c r="J83" i="93"/>
  <c r="K83" i="93"/>
  <c r="D46" i="93"/>
  <c r="D49" i="93" s="1"/>
  <c r="E46" i="93"/>
  <c r="E49" i="93" s="1"/>
  <c r="E53" i="93" s="1"/>
  <c r="E55" i="93" s="1"/>
  <c r="F46" i="93"/>
  <c r="F49" i="93" s="1"/>
  <c r="G51" i="93"/>
  <c r="H51" i="93" s="1"/>
  <c r="I51" i="93" s="1"/>
  <c r="J51" i="93" s="1"/>
  <c r="K51" i="93" s="1"/>
  <c r="G52" i="93"/>
  <c r="H52" i="93" s="1"/>
  <c r="I52" i="93" s="1"/>
  <c r="J52" i="93" s="1"/>
  <c r="K52" i="93" s="1"/>
  <c r="G56" i="93"/>
  <c r="H56" i="93"/>
  <c r="I56" i="93"/>
  <c r="J56" i="93"/>
  <c r="C40" i="99"/>
  <c r="C41" i="99"/>
  <c r="C39" i="99"/>
  <c r="C35" i="99"/>
  <c r="C36" i="99"/>
  <c r="C34" i="99"/>
  <c r="C30" i="99"/>
  <c r="C31" i="99"/>
  <c r="C29" i="99"/>
  <c r="D11" i="93"/>
  <c r="D11" i="66"/>
  <c r="F20" i="97"/>
  <c r="E20" i="97"/>
  <c r="F18" i="97"/>
  <c r="F14" i="97"/>
  <c r="F16" i="97"/>
  <c r="E18" i="97"/>
  <c r="E16" i="97"/>
  <c r="E14" i="97"/>
  <c r="D21" i="97"/>
  <c r="E62" i="66"/>
  <c r="E44" i="66"/>
  <c r="F49" i="66"/>
  <c r="D39" i="66"/>
  <c r="D38" i="66"/>
  <c r="D36" i="66"/>
  <c r="D30" i="66"/>
  <c r="I25" i="66"/>
  <c r="D22" i="66"/>
  <c r="D26" i="66" s="1"/>
  <c r="D28" i="66" s="1"/>
  <c r="D31" i="66" s="1"/>
  <c r="F18" i="66"/>
  <c r="G9" i="99"/>
  <c r="G39" i="99" s="1"/>
  <c r="G13" i="99"/>
  <c r="H13" i="99" s="1"/>
  <c r="G11" i="99"/>
  <c r="H11" i="99" s="1"/>
  <c r="F41" i="99"/>
  <c r="E41" i="99"/>
  <c r="F40" i="99"/>
  <c r="E40" i="99"/>
  <c r="F39" i="99"/>
  <c r="E39" i="99"/>
  <c r="K36" i="99"/>
  <c r="J36" i="99"/>
  <c r="I36" i="99"/>
  <c r="H36" i="99"/>
  <c r="K35" i="99"/>
  <c r="J35" i="99"/>
  <c r="I35" i="99"/>
  <c r="H35" i="99"/>
  <c r="K34" i="99"/>
  <c r="J34" i="99"/>
  <c r="I34" i="99"/>
  <c r="H34" i="99"/>
  <c r="G34" i="99"/>
  <c r="K31" i="99"/>
  <c r="J31" i="99"/>
  <c r="I31" i="99"/>
  <c r="H31" i="99"/>
  <c r="G31" i="99"/>
  <c r="F31" i="99"/>
  <c r="E31" i="99"/>
  <c r="K30" i="99"/>
  <c r="J30" i="99"/>
  <c r="I30" i="99"/>
  <c r="H30" i="99"/>
  <c r="G30" i="99"/>
  <c r="F30" i="99"/>
  <c r="E30" i="99"/>
  <c r="K29" i="99"/>
  <c r="J29" i="99"/>
  <c r="I29" i="99"/>
  <c r="F29" i="99"/>
  <c r="E29" i="99"/>
  <c r="F26" i="99"/>
  <c r="G36" i="99" s="1"/>
  <c r="E26" i="99"/>
  <c r="E36" i="99" s="1"/>
  <c r="D26" i="99"/>
  <c r="F25" i="99"/>
  <c r="G35" i="99" s="1"/>
  <c r="E25" i="99"/>
  <c r="E35" i="99" s="1"/>
  <c r="D25" i="99"/>
  <c r="F24" i="99"/>
  <c r="E24" i="99"/>
  <c r="D24" i="99"/>
  <c r="D15" i="99"/>
  <c r="F14" i="99"/>
  <c r="E14" i="99"/>
  <c r="G41" i="99"/>
  <c r="F12" i="99"/>
  <c r="E12" i="99"/>
  <c r="E15" i="99" s="1"/>
  <c r="E16" i="99" s="1"/>
  <c r="F10" i="99"/>
  <c r="F15" i="99" s="1"/>
  <c r="F16" i="99" s="1"/>
  <c r="E10" i="99"/>
  <c r="F12" i="97"/>
  <c r="E12" i="97"/>
  <c r="F10" i="97"/>
  <c r="E10" i="97"/>
  <c r="F62" i="97"/>
  <c r="E62" i="97"/>
  <c r="F58" i="97"/>
  <c r="E58" i="97"/>
  <c r="F57" i="97"/>
  <c r="E57" i="97"/>
  <c r="K51" i="97"/>
  <c r="J51" i="97"/>
  <c r="I51" i="97"/>
  <c r="H51" i="97"/>
  <c r="K50" i="97"/>
  <c r="J50" i="97"/>
  <c r="I50" i="97"/>
  <c r="H50" i="97"/>
  <c r="K49" i="97"/>
  <c r="J49" i="97"/>
  <c r="I49" i="97"/>
  <c r="H49" i="97"/>
  <c r="K46" i="97"/>
  <c r="J46" i="97"/>
  <c r="I46" i="97"/>
  <c r="H46" i="97"/>
  <c r="G46" i="97"/>
  <c r="F46" i="97"/>
  <c r="E46" i="97"/>
  <c r="K45" i="97"/>
  <c r="J45" i="97"/>
  <c r="I45" i="97"/>
  <c r="H45" i="97"/>
  <c r="F45" i="97"/>
  <c r="E45" i="97"/>
  <c r="K44" i="97"/>
  <c r="J44" i="97"/>
  <c r="I44" i="97"/>
  <c r="H44" i="97"/>
  <c r="G44" i="97"/>
  <c r="F44" i="97"/>
  <c r="E44" i="97"/>
  <c r="F38" i="97"/>
  <c r="E38" i="97"/>
  <c r="D38" i="97"/>
  <c r="F37" i="97"/>
  <c r="G50" i="97" s="1"/>
  <c r="E37" i="97"/>
  <c r="D37" i="97"/>
  <c r="F36" i="97"/>
  <c r="G49" i="97" s="1"/>
  <c r="E36" i="97"/>
  <c r="D36" i="97"/>
  <c r="K13" i="97"/>
  <c r="J13" i="97"/>
  <c r="I13" i="97"/>
  <c r="H13" i="97"/>
  <c r="G13" i="97"/>
  <c r="G62" i="97" s="1"/>
  <c r="K11" i="97"/>
  <c r="J11" i="97"/>
  <c r="I11" i="97"/>
  <c r="H11" i="97"/>
  <c r="G11" i="97"/>
  <c r="G58" i="97" s="1"/>
  <c r="K9" i="97"/>
  <c r="J9" i="97"/>
  <c r="I9" i="97"/>
  <c r="H9" i="97"/>
  <c r="G9" i="97"/>
  <c r="G57" i="97" s="1"/>
  <c r="G21" i="97" l="1"/>
  <c r="F34" i="99"/>
  <c r="E34" i="99"/>
  <c r="G72" i="93"/>
  <c r="G73" i="93" s="1"/>
  <c r="F53" i="93"/>
  <c r="F55" i="93" s="1"/>
  <c r="F57" i="93" s="1"/>
  <c r="C35" i="105" s="1"/>
  <c r="C37" i="105" s="1"/>
  <c r="D53" i="93"/>
  <c r="D55" i="93" s="1"/>
  <c r="D57" i="93" s="1"/>
  <c r="E22" i="93"/>
  <c r="E26" i="93" s="1"/>
  <c r="E28" i="93" s="1"/>
  <c r="E30" i="93" s="1"/>
  <c r="F22" i="93"/>
  <c r="D19" i="93"/>
  <c r="D22" i="93" s="1"/>
  <c r="E33" i="93"/>
  <c r="E84" i="93"/>
  <c r="E57" i="93"/>
  <c r="G83" i="93"/>
  <c r="G75" i="93"/>
  <c r="F84" i="93"/>
  <c r="C42" i="105" s="1"/>
  <c r="K56" i="93"/>
  <c r="H75" i="93"/>
  <c r="H74" i="93"/>
  <c r="H72" i="93"/>
  <c r="H73" i="93" s="1"/>
  <c r="I71" i="93"/>
  <c r="I75" i="93" s="1"/>
  <c r="H46" i="93"/>
  <c r="G46" i="93"/>
  <c r="F21" i="97"/>
  <c r="E21" i="97"/>
  <c r="E22" i="97" s="1"/>
  <c r="G40" i="99"/>
  <c r="I13" i="99"/>
  <c r="H41" i="99"/>
  <c r="I11" i="99"/>
  <c r="H40" i="99"/>
  <c r="H9" i="99"/>
  <c r="I9" i="99" s="1"/>
  <c r="J9" i="99" s="1"/>
  <c r="G15" i="99"/>
  <c r="G16" i="99" s="1"/>
  <c r="F36" i="99"/>
  <c r="F35" i="99"/>
  <c r="E49" i="97"/>
  <c r="F50" i="97"/>
  <c r="J58" i="97"/>
  <c r="K62" i="97"/>
  <c r="H21" i="97"/>
  <c r="I57" i="97"/>
  <c r="K58" i="97"/>
  <c r="E51" i="97"/>
  <c r="F51" i="97"/>
  <c r="H57" i="97"/>
  <c r="J57" i="97"/>
  <c r="H62" i="97"/>
  <c r="G51" i="97"/>
  <c r="K57" i="97"/>
  <c r="I62" i="97"/>
  <c r="H58" i="97"/>
  <c r="E50" i="97"/>
  <c r="I58" i="97"/>
  <c r="J62" i="97"/>
  <c r="J21" i="97"/>
  <c r="F49" i="97"/>
  <c r="K21" i="97"/>
  <c r="I21" i="97"/>
  <c r="G76" i="93" l="1"/>
  <c r="G80" i="93" s="1"/>
  <c r="G81" i="93" s="1"/>
  <c r="G82" i="93" s="1"/>
  <c r="G84" i="93" s="1"/>
  <c r="D40" i="105" s="1"/>
  <c r="D42" i="105" s="1"/>
  <c r="D44" i="105" s="1"/>
  <c r="F33" i="93"/>
  <c r="F26" i="93"/>
  <c r="F28" i="93" s="1"/>
  <c r="F30" i="93" s="1"/>
  <c r="C28" i="105" s="1"/>
  <c r="C30" i="105" s="1"/>
  <c r="D33" i="93"/>
  <c r="D26" i="93"/>
  <c r="D28" i="93" s="1"/>
  <c r="D30" i="93" s="1"/>
  <c r="H76" i="93"/>
  <c r="H80" i="93" s="1"/>
  <c r="H81" i="93" s="1"/>
  <c r="H82" i="93" s="1"/>
  <c r="H84" i="93" s="1"/>
  <c r="E40" i="105" s="1"/>
  <c r="E42" i="105" s="1"/>
  <c r="E44" i="105" s="1"/>
  <c r="I72" i="93"/>
  <c r="I73" i="93" s="1"/>
  <c r="J71" i="93"/>
  <c r="J72" i="93" s="1"/>
  <c r="J73" i="93" s="1"/>
  <c r="I74" i="93"/>
  <c r="H49" i="93"/>
  <c r="H53" i="93" s="1"/>
  <c r="I46" i="93"/>
  <c r="F22" i="97"/>
  <c r="G22" i="97"/>
  <c r="H39" i="99"/>
  <c r="J13" i="99"/>
  <c r="I41" i="99"/>
  <c r="J11" i="99"/>
  <c r="J15" i="99" s="1"/>
  <c r="I40" i="99"/>
  <c r="I15" i="99"/>
  <c r="H15" i="99"/>
  <c r="H16" i="99" s="1"/>
  <c r="I39" i="99"/>
  <c r="K9" i="99"/>
  <c r="J39" i="99"/>
  <c r="H22" i="97"/>
  <c r="I22" i="97"/>
  <c r="J22" i="97"/>
  <c r="K22" i="97"/>
  <c r="K71" i="93" l="1"/>
  <c r="J74" i="93"/>
  <c r="J75" i="93"/>
  <c r="I76" i="93"/>
  <c r="I80" i="93" s="1"/>
  <c r="I81" i="93" s="1"/>
  <c r="I82" i="93" s="1"/>
  <c r="I84" i="93" s="1"/>
  <c r="J76" i="93"/>
  <c r="J80" i="93" s="1"/>
  <c r="J81" i="93" s="1"/>
  <c r="J82" i="93" s="1"/>
  <c r="J84" i="93" s="1"/>
  <c r="K72" i="93"/>
  <c r="K73" i="93" s="1"/>
  <c r="K75" i="93"/>
  <c r="K74" i="93"/>
  <c r="I49" i="93"/>
  <c r="I53" i="93" s="1"/>
  <c r="J46" i="93"/>
  <c r="H55" i="93"/>
  <c r="H57" i="93" s="1"/>
  <c r="E33" i="105" s="1"/>
  <c r="E37" i="105" s="1"/>
  <c r="J16" i="99"/>
  <c r="K13" i="99"/>
  <c r="K41" i="99" s="1"/>
  <c r="J41" i="99"/>
  <c r="K11" i="99"/>
  <c r="K40" i="99" s="1"/>
  <c r="J40" i="99"/>
  <c r="I16" i="99"/>
  <c r="K15" i="99"/>
  <c r="K16" i="99" s="1"/>
  <c r="K39" i="99"/>
  <c r="I55" i="93" l="1"/>
  <c r="I57" i="93" s="1"/>
  <c r="J49" i="93"/>
  <c r="J53" i="93" s="1"/>
  <c r="K76" i="93"/>
  <c r="K80" i="93" s="1"/>
  <c r="K46" i="93"/>
  <c r="G29" i="93"/>
  <c r="H29" i="93"/>
  <c r="I29" i="93"/>
  <c r="J29" i="93"/>
  <c r="K29" i="93"/>
  <c r="G32" i="93"/>
  <c r="G24" i="93"/>
  <c r="H24" i="93" s="1"/>
  <c r="I24" i="93" s="1"/>
  <c r="J24" i="93" s="1"/>
  <c r="K24" i="93" s="1"/>
  <c r="G23" i="93"/>
  <c r="H23" i="93" s="1"/>
  <c r="I23" i="93" s="1"/>
  <c r="J23" i="93" s="1"/>
  <c r="K23" i="93" s="1"/>
  <c r="C2" i="66"/>
  <c r="J55" i="93" l="1"/>
  <c r="J57" i="93" s="1"/>
  <c r="H32" i="93"/>
  <c r="K81" i="93"/>
  <c r="K82" i="93" s="1"/>
  <c r="K84" i="93" s="1"/>
  <c r="K49" i="93"/>
  <c r="K53" i="93" s="1"/>
  <c r="F63" i="66"/>
  <c r="F58" i="66"/>
  <c r="F50" i="66"/>
  <c r="E63" i="66"/>
  <c r="E58" i="66"/>
  <c r="E50" i="66"/>
  <c r="F37" i="66"/>
  <c r="E38" i="66"/>
  <c r="F38" i="66"/>
  <c r="F35" i="66"/>
  <c r="E35" i="66"/>
  <c r="D37" i="66"/>
  <c r="E39" i="66"/>
  <c r="E37" i="66"/>
  <c r="D19" i="66"/>
  <c r="E19" i="66"/>
  <c r="F39" i="66"/>
  <c r="F19" i="66"/>
  <c r="F36" i="66" s="1"/>
  <c r="C2" i="93"/>
  <c r="E14" i="93"/>
  <c r="G17" i="93"/>
  <c r="G25" i="93"/>
  <c r="H25" i="93" s="1"/>
  <c r="I25" i="93" s="1"/>
  <c r="J25" i="93" s="1"/>
  <c r="K25" i="93" s="1"/>
  <c r="F14" i="66"/>
  <c r="E14" i="66" s="1"/>
  <c r="F15" i="66"/>
  <c r="C42" i="66"/>
  <c r="C43" i="66"/>
  <c r="I32" i="93" l="1"/>
  <c r="K55" i="93"/>
  <c r="K57" i="93" s="1"/>
  <c r="E65" i="66"/>
  <c r="F65" i="66"/>
  <c r="F43" i="66"/>
  <c r="E15" i="66"/>
  <c r="D15" i="66" s="1"/>
  <c r="E36" i="66"/>
  <c r="E22" i="66"/>
  <c r="E26" i="66" s="1"/>
  <c r="E28" i="66" s="1"/>
  <c r="E31" i="66" s="1"/>
  <c r="F22" i="66"/>
  <c r="F26" i="66" s="1"/>
  <c r="F31" i="66" s="1"/>
  <c r="E43" i="66"/>
  <c r="E42" i="66"/>
  <c r="D14" i="66"/>
  <c r="H17" i="93"/>
  <c r="G20" i="93"/>
  <c r="G18" i="93"/>
  <c r="G19" i="93" s="1"/>
  <c r="D14" i="93"/>
  <c r="F42" i="66"/>
  <c r="G21" i="93"/>
  <c r="G14" i="93"/>
  <c r="J32" i="93" l="1"/>
  <c r="G22" i="93"/>
  <c r="I17" i="93"/>
  <c r="H20" i="93"/>
  <c r="H18" i="93"/>
  <c r="H19" i="93" s="1"/>
  <c r="H21" i="93"/>
  <c r="H14" i="93"/>
  <c r="K32" i="93" l="1"/>
  <c r="I21" i="93"/>
  <c r="J17" i="93"/>
  <c r="I18" i="93"/>
  <c r="I19" i="93" s="1"/>
  <c r="I20" i="93"/>
  <c r="G33" i="93"/>
  <c r="I14" i="93"/>
  <c r="H22" i="93"/>
  <c r="I22" i="93" l="1"/>
  <c r="J21" i="93"/>
  <c r="J18" i="93"/>
  <c r="J19" i="93" s="1"/>
  <c r="K17" i="93"/>
  <c r="J20" i="93"/>
  <c r="H33" i="93"/>
  <c r="J14" i="93"/>
  <c r="J22" i="93" l="1"/>
  <c r="K14" i="93"/>
  <c r="K18" i="93"/>
  <c r="K19" i="93" s="1"/>
  <c r="K21" i="93"/>
  <c r="K20" i="93"/>
  <c r="I33" i="93"/>
  <c r="K22" i="93" l="1"/>
  <c r="J33" i="93"/>
  <c r="K33" i="93" l="1"/>
  <c r="I26" i="93" l="1"/>
  <c r="J26" i="93"/>
  <c r="K26" i="93"/>
  <c r="H26" i="93"/>
  <c r="H27" i="93" s="1"/>
  <c r="H28" i="93" s="1"/>
  <c r="H30" i="93" s="1"/>
  <c r="G26" i="93"/>
  <c r="D9" i="105" l="1"/>
  <c r="D18" i="105" s="1"/>
  <c r="E28" i="105"/>
  <c r="E30" i="105" s="1"/>
  <c r="G27" i="93"/>
  <c r="G28" i="93" s="1"/>
  <c r="G30" i="93" s="1"/>
  <c r="I27" i="93"/>
  <c r="I28" i="93" s="1"/>
  <c r="I30" i="93" s="1"/>
  <c r="J27" i="93"/>
  <c r="J28" i="93" s="1"/>
  <c r="J30" i="93" s="1"/>
  <c r="K27" i="93"/>
  <c r="K28" i="93" s="1"/>
  <c r="K30" i="93" s="1"/>
  <c r="G49" i="93"/>
  <c r="G53" i="93" s="1"/>
  <c r="B9" i="105" l="1"/>
  <c r="B18" i="105" s="1"/>
  <c r="D28" i="105"/>
  <c r="G55" i="93" l="1"/>
  <c r="G57" i="93" s="1"/>
  <c r="D33" i="105" s="1"/>
  <c r="D35" i="10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Saanika Kadam</author>
  </authors>
  <commentList>
    <comment ref="N11" authorId="0" shapeId="0" xr:uid="{93701FBA-0862-41FB-82C7-60F5F4E27C65}">
      <text>
        <r>
          <rPr>
            <sz val="11"/>
            <color theme="1"/>
            <rFont val="Calibri"/>
            <family val="2"/>
            <scheme val="minor"/>
          </rPr>
          <t xml:space="preserve">Saanika Kadam: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ojalk</author>
    <author>tc={5AE88DCB-5254-694C-9517-9908D7C74CE8}</author>
  </authors>
  <commentList>
    <comment ref="D5" authorId="0" shapeId="0" xr:uid="{15215E70-B315-4EB2-A13C-406EB91C2B2B}">
      <text>
        <r>
          <rPr>
            <sz val="9"/>
            <color indexed="81"/>
            <rFont val="Tahoma"/>
            <family val="2"/>
          </rPr>
          <t xml:space="preserve"> 
</t>
        </r>
      </text>
    </comment>
    <comment ref="D17" authorId="1" shapeId="0" xr:uid="{5AE88DCB-5254-694C-9517-9908D7C74CE8}">
      <text>
        <t>[Threaded comment]
Your version of Excel allows you to read this threaded comment; however, any edits to it will get removed if the file is opened in a newer version of Excel. Learn more: https://go.microsoft.com/fwlink/?linkid=870924
Comment:
    NKE, 10-K, 5/31/2020, pg 56
Consolidated statements of income. Cost of sales is "$21,162" in millions</t>
      </text>
    </comment>
    <comment ref="M23" authorId="0" shapeId="0" xr:uid="{80CB86E3-F314-42F5-933D-9C0A59EE341F}">
      <text>
        <r>
          <rPr>
            <b/>
            <sz val="9"/>
            <color indexed="81"/>
            <rFont val="Tahoma"/>
            <family val="2"/>
          </rPr>
          <t xml:space="preserve">ojalk:
</t>
        </r>
        <r>
          <rPr>
            <sz val="9"/>
            <color indexed="81"/>
            <rFont val="Tahoma"/>
            <family val="2"/>
          </rPr>
          <t xml:space="preserve">I straight-lined it to make it simple.
</t>
        </r>
      </text>
    </comment>
    <comment ref="M24" authorId="0" shapeId="0" xr:uid="{C9AD9DCC-FCF9-4653-A34F-0053302E7C69}">
      <text>
        <r>
          <rPr>
            <b/>
            <sz val="9"/>
            <color indexed="81"/>
            <rFont val="Tahoma"/>
            <family val="2"/>
          </rPr>
          <t xml:space="preserve">ojalk:
</t>
        </r>
        <r>
          <rPr>
            <sz val="9"/>
            <color indexed="81"/>
            <rFont val="Tahoma"/>
            <family val="2"/>
          </rPr>
          <t xml:space="preserve">I straight-lined it to make it simple.
</t>
        </r>
      </text>
    </comment>
    <comment ref="M32" authorId="0" shapeId="0" xr:uid="{8EC1D8A5-13E7-4267-AA25-AA03F739077A}">
      <text>
        <r>
          <rPr>
            <b/>
            <sz val="9"/>
            <color indexed="81"/>
            <rFont val="Tahoma"/>
            <family val="2"/>
          </rPr>
          <t xml:space="preserve">ojalk:
</t>
        </r>
        <r>
          <rPr>
            <sz val="9"/>
            <color indexed="81"/>
            <rFont val="Tahoma"/>
            <family val="2"/>
          </rPr>
          <t>I straight-lined it to make it simple. But we could set it as a percent of revenue.</t>
        </r>
      </text>
    </comment>
    <comment ref="M50" authorId="0" shapeId="0" xr:uid="{7B16DC01-041E-4EC1-8DAB-E2933D354E09}">
      <text>
        <r>
          <rPr>
            <b/>
            <sz val="9"/>
            <color indexed="81"/>
            <rFont val="Tahoma"/>
            <family val="2"/>
          </rPr>
          <t xml:space="preserve">ojalk:
</t>
        </r>
        <r>
          <rPr>
            <sz val="9"/>
            <color indexed="81"/>
            <rFont val="Tahoma"/>
            <family val="2"/>
          </rPr>
          <t xml:space="preserve">I straight-lined it to make it simple.
</t>
        </r>
      </text>
    </comment>
    <comment ref="M51" authorId="0" shapeId="0" xr:uid="{56C78BD0-068B-47CA-B93E-AB3815D64A1F}">
      <text>
        <r>
          <rPr>
            <b/>
            <sz val="9"/>
            <color indexed="81"/>
            <rFont val="Tahoma"/>
            <family val="2"/>
          </rPr>
          <t xml:space="preserve">ojalk:
</t>
        </r>
        <r>
          <rPr>
            <sz val="9"/>
            <color indexed="81"/>
            <rFont val="Tahoma"/>
            <family val="2"/>
          </rPr>
          <t xml:space="preserve">I straight-lined it to make it simple.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Eric Dong</author>
    <author>Matan Feldman</author>
  </authors>
  <commentList>
    <comment ref="D35" authorId="0" shapeId="0" xr:uid="{ABC4B9B0-52A7-4E6D-950B-DD117700241D}">
      <text>
        <r>
          <rPr>
            <b/>
            <sz val="9"/>
            <color indexed="81"/>
            <rFont val="Tahoma"/>
            <family val="2"/>
          </rPr>
          <t>Eric Dong:</t>
        </r>
        <r>
          <rPr>
            <sz val="9"/>
            <color indexed="81"/>
            <rFont val="Tahoma"/>
            <family val="2"/>
          </rPr>
          <t xml:space="preserve">
CALCULATED MANUALLY ON FSM</t>
        </r>
      </text>
    </comment>
    <comment ref="C49" authorId="1" shapeId="0" xr:uid="{3564B5D9-F78A-49B3-8DD6-EAF2B34762C2}">
      <text>
        <r>
          <rPr>
            <sz val="9"/>
            <color indexed="81"/>
            <rFont val="Tahoma"/>
            <family val="2"/>
          </rPr>
          <t xml:space="preserve">AAPL started aggregating goodwill, intangible assets and other non current assets into one line item in 2018 and no longer provides a breakout of the individual line items.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Krish Jaiswal</author>
    <author>tc={DF207008-0A69-4800-AAF7-B9CEE87D22D2}</author>
  </authors>
  <commentList>
    <comment ref="C4" authorId="0" shapeId="0" xr:uid="{CB9C5B36-4226-4824-BAC7-94E0E4A8C02A}">
      <text>
        <r>
          <rPr>
            <b/>
            <sz val="9"/>
            <color rgb="FF000000"/>
            <rFont val="Tahoma"/>
            <family val="2"/>
          </rPr>
          <t>Krish Jaiswal:</t>
        </r>
        <r>
          <rPr>
            <sz val="9"/>
            <color rgb="FF000000"/>
            <rFont val="Tahoma"/>
            <family val="2"/>
          </rPr>
          <t xml:space="preserve">
</t>
        </r>
        <r>
          <rPr>
            <sz val="9"/>
            <color rgb="FF000000"/>
            <rFont val="Tahoma"/>
            <family val="2"/>
          </rPr>
          <t>Close price as of 11/15/23</t>
        </r>
      </text>
    </comment>
    <comment ref="C27" authorId="1" shapeId="0" xr:uid="{DF207008-0A69-4800-AAF7-B9CEE87D22D2}">
      <text>
        <t>[Threaded comment]
Your version of Excel allows you to read this threaded comment; however, any edits to it will get removed if the file is opened in a newer version of Excel. Learn more: https://go.microsoft.com/fwlink/?linkid=870924
Comment:
    S&amp;P 500 Earnings and Estimate Report</t>
      </text>
    </comment>
  </commentList>
</comments>
</file>

<file path=xl/sharedStrings.xml><?xml version="1.0" encoding="utf-8"?>
<sst xmlns="http://schemas.openxmlformats.org/spreadsheetml/2006/main" count="353" uniqueCount="174">
  <si>
    <t>Core Model</t>
  </si>
  <si>
    <t>Price / volume build</t>
  </si>
  <si>
    <t>(Did not know how to calculate units)</t>
  </si>
  <si>
    <t>$ in millions, units in thousands</t>
  </si>
  <si>
    <t xml:space="preserve">Fiscal year  </t>
  </si>
  <si>
    <t>Fiscal year end date</t>
  </si>
  <si>
    <t>Revenue by product</t>
  </si>
  <si>
    <t>Core products</t>
  </si>
  <si>
    <t>Footwear</t>
  </si>
  <si>
    <t>Apparel</t>
  </si>
  <si>
    <t>Equipment</t>
  </si>
  <si>
    <t>Global Brand Divisions</t>
  </si>
  <si>
    <t>Converse</t>
  </si>
  <si>
    <t>Corporate</t>
  </si>
  <si>
    <t>Total revenue</t>
  </si>
  <si>
    <t>% growth</t>
  </si>
  <si>
    <t>Units</t>
  </si>
  <si>
    <t>Average selling price</t>
  </si>
  <si>
    <t>Units % growth</t>
  </si>
  <si>
    <t>Average selling price % growth</t>
  </si>
  <si>
    <t>Revenue growth rate by product</t>
  </si>
  <si>
    <t>Thesis</t>
  </si>
  <si>
    <t>Increasing advertising, normal industry is currently experiences tailwinds</t>
  </si>
  <si>
    <t>Quick</t>
  </si>
  <si>
    <t xml:space="preserve">Equipment </t>
  </si>
  <si>
    <t>$ mm except per share</t>
  </si>
  <si>
    <t>Company name</t>
  </si>
  <si>
    <t>Nike Inc</t>
  </si>
  <si>
    <t>Ticker</t>
  </si>
  <si>
    <t>NKE</t>
  </si>
  <si>
    <t>Circ break 1=off, 0=on</t>
  </si>
  <si>
    <t>Latest closing share price</t>
  </si>
  <si>
    <t>Latest closing share price date</t>
  </si>
  <si>
    <t>Latest fiscal year end date</t>
  </si>
  <si>
    <t>Shares outstanding (millions)</t>
  </si>
  <si>
    <t>x</t>
  </si>
  <si>
    <t>INCOME STATEMENT</t>
  </si>
  <si>
    <t>WSP Comments</t>
  </si>
  <si>
    <t>Revenue</t>
  </si>
  <si>
    <t>Previous year's revenues x (1+revenue growth rate)</t>
  </si>
  <si>
    <t>Cost of sales (enter as -)</t>
  </si>
  <si>
    <t>Revenue x (1 - Gross Margin forecast) x (-1)</t>
  </si>
  <si>
    <t>Gross Profit</t>
  </si>
  <si>
    <t>Revenue + Cost of sales (when cost of sales is entered as a negative)</t>
  </si>
  <si>
    <t>Research &amp; development (enter as -)</t>
  </si>
  <si>
    <t>Revenue x R&amp;D % of sales forecast x (-1)</t>
  </si>
  <si>
    <t>Selling, general &amp; administrative (enter as -)</t>
  </si>
  <si>
    <t>Revenue x SG&amp;A % of sales forecast x (-1)</t>
  </si>
  <si>
    <t>Operating profit (EBIT)</t>
  </si>
  <si>
    <t>Gross Profit - R&amp;D - SG&amp;A</t>
  </si>
  <si>
    <t>Interest income</t>
  </si>
  <si>
    <t>Straight-line</t>
  </si>
  <si>
    <t>Interest expense (enter as -)</t>
  </si>
  <si>
    <t>Other expense, net (enter as -)</t>
  </si>
  <si>
    <t>Pretax profit</t>
  </si>
  <si>
    <t>EBIT + interest income less interest expense less other expense</t>
  </si>
  <si>
    <t>Taxes (enter expense as -)</t>
  </si>
  <si>
    <t>Pre-tax Profit x Tax Rate forecast x (-1)</t>
  </si>
  <si>
    <t>Net income</t>
  </si>
  <si>
    <t>Pre-tax Profit less taxes</t>
  </si>
  <si>
    <t>EPS</t>
  </si>
  <si>
    <t>Depreciation &amp; amortization</t>
  </si>
  <si>
    <t>EBITDA</t>
  </si>
  <si>
    <t>EBIT + D&amp;A</t>
  </si>
  <si>
    <t>Growth rates &amp; margins</t>
  </si>
  <si>
    <t>Revenue growth</t>
  </si>
  <si>
    <t>took 6 year average and rounded down to be conservative</t>
  </si>
  <si>
    <t>Gross profit margin</t>
  </si>
  <si>
    <t>3 year average</t>
  </si>
  <si>
    <t>R&amp;D % of sales</t>
  </si>
  <si>
    <t>R&amp;D expected to conservatively increase</t>
  </si>
  <si>
    <t>SG&amp;A % of sales</t>
  </si>
  <si>
    <t>conservative decrease of SG&amp;A</t>
  </si>
  <si>
    <t>Tax rate (Taxes/ EBIT)</t>
  </si>
  <si>
    <t>21% tax from tax law jobs and cuts</t>
  </si>
  <si>
    <t>D&amp;A % of sales</t>
  </si>
  <si>
    <t>Bear Case</t>
  </si>
  <si>
    <t>Tax rate</t>
  </si>
  <si>
    <t>Bull  Case</t>
  </si>
  <si>
    <t>Sources</t>
  </si>
  <si>
    <t xml:space="preserve">NKE, 10-K, 5/31/2020 (pg </t>
  </si>
  <si>
    <t>NKE, 10-K, 7/20/2023 (pg)</t>
  </si>
  <si>
    <t xml:space="preserve">Nike </t>
  </si>
  <si>
    <t xml:space="preserve">NKE </t>
  </si>
  <si>
    <t xml:space="preserve"> </t>
  </si>
  <si>
    <t>*net income higher compared to on the income statement on 10k</t>
  </si>
  <si>
    <t>From cash flow statement</t>
  </si>
  <si>
    <t>Stock based compensation</t>
  </si>
  <si>
    <t xml:space="preserve">Growth rates &amp; margins </t>
  </si>
  <si>
    <t>Current year / Last year - 1</t>
  </si>
  <si>
    <t>Gross profit / revenue</t>
  </si>
  <si>
    <t>R&amp;D / Revenue x (-1)</t>
  </si>
  <si>
    <t>SG&amp;A / Revenue x (-1)</t>
  </si>
  <si>
    <t>Taxes / Pretax Profit x (-1)</t>
  </si>
  <si>
    <t>BALANCE SHEET</t>
  </si>
  <si>
    <t>Cash &amp; equivalents, ST and LT marketable securities</t>
  </si>
  <si>
    <t>Include Cash and cash equivalents, Marketable securities, and Long-term marketable securities</t>
  </si>
  <si>
    <t>Accounts receivable</t>
  </si>
  <si>
    <t>Inventories</t>
  </si>
  <si>
    <t>Other current assets</t>
  </si>
  <si>
    <t>Include non-trade receivables</t>
  </si>
  <si>
    <t>Property, plant &amp; equipment</t>
  </si>
  <si>
    <t>Other non current assets</t>
  </si>
  <si>
    <t>Total assets</t>
  </si>
  <si>
    <t>Accounts payable</t>
  </si>
  <si>
    <t>Other current liabilities</t>
  </si>
  <si>
    <t>Deferred revenue (current and non current)</t>
  </si>
  <si>
    <t>Commercial paper / revolver</t>
  </si>
  <si>
    <t>Long term debt (includes current portion)</t>
  </si>
  <si>
    <t>Other non current liabilities</t>
  </si>
  <si>
    <t>Total liabilities</t>
  </si>
  <si>
    <t>Common stock</t>
  </si>
  <si>
    <t xml:space="preserve">Retained earnings </t>
  </si>
  <si>
    <t>Other comprehensive income</t>
  </si>
  <si>
    <t>Total equity</t>
  </si>
  <si>
    <t>Balance check</t>
  </si>
  <si>
    <t>Additional data</t>
  </si>
  <si>
    <t>Capital expenditures (enter as +)</t>
  </si>
  <si>
    <t>D&amp;A related only to PP&amp;E (enter as -)</t>
  </si>
  <si>
    <t>Dividends</t>
  </si>
  <si>
    <t>Repurchases</t>
  </si>
  <si>
    <t>Weighted avg. interest rate on commercial paper</t>
  </si>
  <si>
    <t>N/A</t>
  </si>
  <si>
    <t>Weighted avg. interest rate on cash</t>
  </si>
  <si>
    <t>P/E and EPS Comparison and Databox</t>
  </si>
  <si>
    <t>Current Share Price:</t>
  </si>
  <si>
    <t>Our Calculated EPS</t>
  </si>
  <si>
    <t>2024 Estimated</t>
  </si>
  <si>
    <t>2025 Estimated</t>
  </si>
  <si>
    <t>WallStreet Analyst's Estimated EPS</t>
  </si>
  <si>
    <t>P/E</t>
  </si>
  <si>
    <t>Our Calculated P/E</t>
  </si>
  <si>
    <t>WallStreet Analyst's Estimated P/E</t>
  </si>
  <si>
    <t>Base Case</t>
  </si>
  <si>
    <t>2023A</t>
  </si>
  <si>
    <t>2024E</t>
  </si>
  <si>
    <t>2025E</t>
  </si>
  <si>
    <t>Company EPS</t>
  </si>
  <si>
    <t>S&amp;P EPS</t>
  </si>
  <si>
    <t>Company P/E</t>
  </si>
  <si>
    <t>S&amp;P P/E</t>
  </si>
  <si>
    <t>Relative P/E</t>
  </si>
  <si>
    <t>Bull Case</t>
  </si>
  <si>
    <t>NAME</t>
  </si>
  <si>
    <t>Market Cap (MC)</t>
  </si>
  <si>
    <t>Enterprise Value</t>
  </si>
  <si>
    <t>P/S TTM</t>
  </si>
  <si>
    <t>EV/SALES</t>
  </si>
  <si>
    <t>EV/EBITDA</t>
  </si>
  <si>
    <t>LULU</t>
  </si>
  <si>
    <t xml:space="preserve">Lululemon </t>
  </si>
  <si>
    <t>ADS</t>
  </si>
  <si>
    <t>Adidas</t>
  </si>
  <si>
    <t>PMMAF</t>
  </si>
  <si>
    <t>Puma</t>
  </si>
  <si>
    <t>SKX</t>
  </si>
  <si>
    <t>Skechers</t>
  </si>
  <si>
    <t>Nike</t>
  </si>
  <si>
    <t>(not included in median)</t>
  </si>
  <si>
    <t>::::: in billions</t>
  </si>
  <si>
    <t>MEDIAN</t>
  </si>
  <si>
    <t xml:space="preserve">Observations: </t>
  </si>
  <si>
    <t>Nike appears to be relatively more expensive than its peers based on the P/E ratio when compared to Adidas, Puma, and Skechers.</t>
  </si>
  <si>
    <t>Nike's P/S ratio indicates it is generating more sales relative to its market value compared to Lululemon but is less efficient in this regard compared to Puma and Skechers.</t>
  </si>
  <si>
    <t>Nike's EV/Sales ratio is higher than Adidas, suggesting it is relatively less expensive based on sales.</t>
  </si>
  <si>
    <t xml:space="preserve">Valuation: </t>
  </si>
  <si>
    <t>Forecasted NKE EPS (one year out) to be $3.72 per share</t>
  </si>
  <si>
    <t>Industry average P/E is 32.64X</t>
  </si>
  <si>
    <t>Price = P/E * Earnings = $121.42 per share</t>
  </si>
  <si>
    <t xml:space="preserve">Sources: </t>
  </si>
  <si>
    <t>https://finance.yahoo.com/quote/LULU/key-statistics/</t>
  </si>
  <si>
    <t>https://finance.yahoo.com/quote/ADS.DE/key-statistics/</t>
  </si>
  <si>
    <t>https://finance.yahoo.com/quote/SKX/key-statistics/</t>
  </si>
  <si>
    <t>https://finance.yahoo.com/quote/PUM.DE/key-statistics/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</si>
</sst>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5">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0.0%_);\(0.0%\);@_)"/>
    <numFmt numFmtId="165" formatCode="#,##0.00_);\(#,##0\)"/>
    <numFmt numFmtId="166" formatCode="#,##0.0%_);\(#,##0.0%\)"/>
    <numFmt numFmtId="167" formatCode="0.0\ \x"/>
    <numFmt numFmtId="168" formatCode="#,##0.00\ ;\(#,##0.00\)"/>
    <numFmt numFmtId="169" formatCode="&quot;$&quot;#,##0.00\ ;\(&quot;$&quot;#,##0.00\)"/>
    <numFmt numFmtId="170" formatCode="0.0%_);\(0.0%\)"/>
    <numFmt numFmtId="171" formatCode="0.000\ \x&quot;rate&quot;"/>
    <numFmt numFmtId="172" formatCode="#,##0.000_);[Red]\(#,##0.000\)"/>
    <numFmt numFmtId="173" formatCode="0.00_);\(0.00\);0.00"/>
    <numFmt numFmtId="174" formatCode="\C&quot;$&quot;#,##0.00_);[Red]\(&quot;$&quot;#,##0.00\)"/>
    <numFmt numFmtId="175" formatCode="#,##0%_);\(#,##0.0%\)"/>
    <numFmt numFmtId="176" formatCode="_(* #,##0.00000000_);_(* \(#,##0.00000000\);_(* &quot;-&quot;?_);_(@_)"/>
    <numFmt numFmtId="177" formatCode="mmm\-d\-yyyy"/>
    <numFmt numFmtId="178" formatCode="mmm\-yyyy"/>
    <numFmt numFmtId="179" formatCode="yyyy"/>
    <numFmt numFmtId="180" formatCode="0.00\x&quot;rate&quot;"/>
    <numFmt numFmtId="181" formatCode="0.0&quot;  &quot;"/>
    <numFmt numFmtId="182" formatCode="&quot;$&quot;#,##0.0\ ;[Red]\(&quot;$&quot;#,##0\)"/>
    <numFmt numFmtId="183" formatCode="&quot;$&quot;#,##0.000_);[Red]\(&quot;$&quot;#,##0.000\)"/>
    <numFmt numFmtId="184" formatCode="&quot;$&quot;#,##0.00&quot;A&quot;;[Red]\(&quot;$&quot;#,##0.00\)&quot;A&quot;"/>
    <numFmt numFmtId="185" formatCode="#,##0.0\ ;[Red]\(&quot;$&quot;#,##0\)"/>
    <numFmt numFmtId="186" formatCode="&quot;$&quot;#,##0.00&quot;E&quot;;[Red]\(&quot;$&quot;#,##0.00\)&quot;E&quot;"/>
    <numFmt numFmtId="187" formatCode="_([$€-2]* #,##0.00_);_([$€-2]* \(#,##0.00\);_([$€-2]* &quot;-&quot;??_)"/>
    <numFmt numFmtId="188" formatCode="#,##0.00;\(#,##0.00\)"/>
    <numFmt numFmtId="189" formatCode=".%\,\(0.0%%;\t"/>
    <numFmt numFmtId="190" formatCode="#,##0.0_);[Red]\(#,##0.0\)"/>
    <numFmt numFmtId="191" formatCode="0.0%_);[Red]\(0.0%\)"/>
    <numFmt numFmtId="192" formatCode="0.00_);\(0.00\);0.00_)"/>
    <numFmt numFmtId="193" formatCode="0.0%"/>
    <numFmt numFmtId="194" formatCode="#,##0\x"/>
    <numFmt numFmtId="195" formatCode="&quot;TKR&quot;\ 0"/>
    <numFmt numFmtId="196" formatCode=".%\,\(0.%%;\t"/>
    <numFmt numFmtId="197" formatCode="&quot;$&quot;#,###.0\ \ "/>
    <numFmt numFmtId="198" formatCode="#,##0.00\x_);[Red]\(#,##0.00\x\)"/>
    <numFmt numFmtId="199" formatCode="#,##0.0_);\(#,##0.0\)"/>
    <numFmt numFmtId="200" formatCode="#,##0.000_);\(#,##0.000\)"/>
    <numFmt numFmtId="201" formatCode="#,##0.00\x_);[Red]\(#,##0.00\x\);&quot;--  &quot;"/>
    <numFmt numFmtId="202" formatCode="_(* #,##0.0_);_(* \(#,##0.0\);_(* &quot;-&quot;??_);_(@_)"/>
    <numFmt numFmtId="203" formatCode="0.0\x_);[Red]\(0.0\x\)"/>
    <numFmt numFmtId="204" formatCode="0.0\ "/>
    <numFmt numFmtId="205" formatCode="&quot;$&quot;#,##0.0;\(&quot;$&quot;#,##0.00\)"/>
    <numFmt numFmtId="206" formatCode="#,##0.00%_);\(#,##0.00%\)"/>
    <numFmt numFmtId="207" formatCode="0.00\%;\-0.00\%;0.00\%"/>
    <numFmt numFmtId="208" formatCode="0.0%\ ;\(0.0%\)"/>
    <numFmt numFmtId="209" formatCode="_(&quot;$&quot;* #,##0_);_(&quot;$&quot;* \(#,##0\);_(&quot;$&quot;* &quot;-&quot;??_);_(@_)"/>
    <numFmt numFmtId="210" formatCode="&quot;$&quot;0.00\ "/>
    <numFmt numFmtId="211" formatCode="0.0\ \ \ \ \ "/>
    <numFmt numFmtId="212" formatCode="0.00\x;\-0.00\x;0.00\x"/>
    <numFmt numFmtId="213" formatCode="&quot;$&quot;#,##0.000_);\(&quot;$&quot;#,##0.000\)"/>
    <numFmt numFmtId="214" formatCode="#,##0.0_);\(#,##0.0\);_(* &quot;-&quot;_)"/>
    <numFmt numFmtId="215" formatCode="_(&quot;$&quot;* #,##0.00_);_(&quot;$&quot;* \(#,##0.00\);_(* &quot;-&quot;_);_(@_)"/>
    <numFmt numFmtId="216" formatCode="0.00%_);[Red]\(0.00%\)"/>
    <numFmt numFmtId="217" formatCode="#,##0.0\x_);\(#,##0.0\x\)"/>
    <numFmt numFmtId="218" formatCode="#,##0.00\x_);\(#,##0.00\x\)"/>
    <numFmt numFmtId="219" formatCode="###0&quot;E&quot;_)"/>
    <numFmt numFmtId="220" formatCode="0\A;[Red]0\A"/>
    <numFmt numFmtId="221" formatCode="0\P_);\(0\P\)"/>
    <numFmt numFmtId="222" formatCode="m/d/yy;@"/>
    <numFmt numFmtId="223" formatCode="[&gt;1]&quot;10Q: &quot;0&quot; qtrs&quot;;&quot;10Q: &quot;0&quot; qtr&quot;"/>
    <numFmt numFmtId="224" formatCode="&quot;$&quot;#,##0.00_);[Red]\(&quot;$&quot;#,##0.00\);&quot;--  &quot;;_(@_)"/>
    <numFmt numFmtId="225" formatCode="mmm\-dd\-yy"/>
    <numFmt numFmtId="226" formatCode="mmm\-dd\-yyyy"/>
    <numFmt numFmtId="227" formatCode="#,##0.0_);[Red]\(#,##0.0\);&quot;--  &quot;"/>
    <numFmt numFmtId="228" formatCode="0.00\x"/>
    <numFmt numFmtId="229" formatCode="0.0&quot; years&quot;"/>
    <numFmt numFmtId="230" formatCode="_(#,##0.0%_);\(#,##0.0%\);_(&quot;–&quot;_)_%;_(@_)_%"/>
    <numFmt numFmtId="231" formatCode="_(#,##0_)_%;\(#,##0\)_%;_(&quot;–&quot;_)_%;_(@_)_%"/>
    <numFmt numFmtId="232" formatCode="#,##0.0_);\(#,##0.0\);@_)"/>
    <numFmt numFmtId="233" formatCode="#,##0_);\(#,##0\);\-\-"/>
  </numFmts>
  <fonts count="100">
    <font>
      <sz val="11"/>
      <color theme="1"/>
      <name val="Calibri"/>
      <family val="2"/>
      <scheme val="minor"/>
    </font>
    <font>
      <sz val="11"/>
      <color rgb="FF0000FF"/>
      <name val="Calibri"/>
      <family val="2"/>
      <scheme val="minor"/>
    </font>
    <font>
      <sz val="11"/>
      <color rgb="FF000000"/>
      <name val="Calibri"/>
      <family val="2"/>
      <scheme val="minor"/>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amily val="2"/>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amily val="1"/>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0000"/>
      <name val="Calibri"/>
      <family val="2"/>
      <scheme val="minor"/>
    </font>
    <font>
      <sz val="9"/>
      <color indexed="81"/>
      <name val="Tahoma"/>
      <family val="2"/>
    </font>
    <font>
      <i/>
      <sz val="11"/>
      <color rgb="FF000000"/>
      <name val="Calibri"/>
      <family val="2"/>
      <scheme val="minor"/>
    </font>
    <font>
      <b/>
      <sz val="11"/>
      <color theme="1"/>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0"/>
      <color indexed="8"/>
      <name val="Arial"/>
      <family val="2"/>
    </font>
    <font>
      <b/>
      <sz val="8"/>
      <color indexed="8"/>
      <name val="Verdana"/>
      <family val="2"/>
    </font>
    <font>
      <sz val="8"/>
      <color indexed="12"/>
      <name val="Arial"/>
      <family val="2"/>
    </font>
    <font>
      <sz val="1"/>
      <color indexed="9"/>
      <name val="Symbol"/>
      <family val="1"/>
      <charset val="2"/>
    </font>
    <font>
      <sz val="11"/>
      <color indexed="8"/>
      <name val="Calibri"/>
      <family val="2"/>
      <scheme val="minor"/>
    </font>
    <font>
      <b/>
      <u val="singleAccounting"/>
      <sz val="8"/>
      <color indexed="8"/>
      <name val="Verdana"/>
      <family val="2"/>
    </font>
    <font>
      <b/>
      <sz val="10"/>
      <color indexed="9"/>
      <name val="Arial"/>
      <family val="2"/>
    </font>
    <font>
      <b/>
      <sz val="12"/>
      <color indexed="8"/>
      <name val="Verdana"/>
      <family val="2"/>
    </font>
    <font>
      <sz val="8"/>
      <color indexed="10"/>
      <name val="Arial"/>
      <family val="2"/>
    </font>
    <font>
      <b/>
      <sz val="8"/>
      <color indexed="9"/>
      <name val="Verdana"/>
      <family val="2"/>
    </font>
    <font>
      <vertAlign val="subscript"/>
      <sz val="8"/>
      <color indexed="8"/>
      <name val="Arial"/>
      <family val="2"/>
    </font>
    <font>
      <vertAlign val="superscript"/>
      <sz val="8"/>
      <color indexed="8"/>
      <name val="Arial"/>
      <family val="2"/>
    </font>
    <font>
      <b/>
      <sz val="8"/>
      <color indexed="8"/>
      <name val="Arial"/>
      <family val="2"/>
    </font>
    <font>
      <i/>
      <sz val="8"/>
      <color indexed="8"/>
      <name val="Arial"/>
      <family val="2"/>
    </font>
    <font>
      <b/>
      <sz val="13"/>
      <color indexed="8"/>
      <name val="Verdana"/>
      <family val="2"/>
    </font>
    <font>
      <sz val="11"/>
      <name val="Calibri"/>
      <family val="2"/>
      <scheme val="minor"/>
    </font>
    <font>
      <b/>
      <sz val="11"/>
      <name val="Calibri"/>
      <family val="2"/>
      <scheme val="minor"/>
    </font>
    <font>
      <b/>
      <sz val="16"/>
      <color theme="1"/>
      <name val="Calibri"/>
      <family val="2"/>
      <scheme val="minor"/>
    </font>
    <font>
      <sz val="8"/>
      <color theme="1"/>
      <name val="Calibri"/>
      <family val="2"/>
      <scheme val="minor"/>
    </font>
    <font>
      <sz val="36"/>
      <color theme="1"/>
      <name val="Calibri"/>
      <family val="2"/>
      <scheme val="minor"/>
    </font>
    <font>
      <b/>
      <sz val="11"/>
      <color rgb="FFC00000"/>
      <name val="Calibri"/>
      <family val="2"/>
      <scheme val="minor"/>
    </font>
    <font>
      <b/>
      <sz val="9"/>
      <color indexed="81"/>
      <name val="Tahoma"/>
      <family val="2"/>
    </font>
    <font>
      <u/>
      <sz val="11"/>
      <color rgb="FF000000"/>
      <name val="Calibri"/>
      <family val="2"/>
      <scheme val="minor"/>
    </font>
    <font>
      <sz val="10"/>
      <color theme="1"/>
      <name val="Calibri"/>
      <family val="2"/>
      <scheme val="minor"/>
    </font>
    <font>
      <sz val="8"/>
      <color rgb="FF000000"/>
      <name val="Calibri"/>
      <family val="2"/>
      <scheme val="minor"/>
    </font>
    <font>
      <sz val="10"/>
      <color rgb="FF000000"/>
      <name val="Calibri"/>
      <family val="2"/>
      <scheme val="minor"/>
    </font>
    <font>
      <b/>
      <sz val="10"/>
      <color theme="1"/>
      <name val="Calibri"/>
      <family val="2"/>
      <scheme val="minor"/>
    </font>
    <font>
      <sz val="8"/>
      <color rgb="FF444444"/>
      <name val="Calibri"/>
      <family val="2"/>
    </font>
    <font>
      <b/>
      <sz val="9"/>
      <color rgb="FF000000"/>
      <name val="Tahoma"/>
      <family val="2"/>
    </font>
    <font>
      <sz val="9"/>
      <color rgb="FF000000"/>
      <name val="Tahoma"/>
      <family val="2"/>
    </font>
    <font>
      <u/>
      <sz val="11"/>
      <color theme="10"/>
      <name val="Calibri"/>
      <family val="2"/>
      <scheme val="minor"/>
    </font>
    <font>
      <sz val="11"/>
      <color rgb="FF00B050"/>
      <name val="Calibri"/>
      <family val="2"/>
      <scheme val="minor"/>
    </font>
    <font>
      <sz val="11"/>
      <color rgb="FF0070C0"/>
      <name val="Calibri"/>
      <family val="2"/>
      <scheme val="minor"/>
    </font>
  </fonts>
  <fills count="4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indexed="60"/>
        <bgColor indexed="64"/>
      </patternFill>
    </fill>
    <fill>
      <patternFill patternType="solid">
        <fgColor rgb="FF808080"/>
        <bgColor indexed="64"/>
      </patternFill>
    </fill>
    <fill>
      <patternFill patternType="solid">
        <fgColor indexed="62"/>
        <bgColor indexed="64"/>
      </patternFill>
    </fill>
    <fill>
      <patternFill patternType="solid">
        <fgColor indexed="63"/>
        <bgColor indexed="64"/>
      </patternFill>
    </fill>
    <fill>
      <patternFill patternType="solid">
        <fgColor indexed="56"/>
        <bgColor indexed="64"/>
      </patternFill>
    </fill>
    <fill>
      <patternFill patternType="solid">
        <fgColor rgb="FFFCE5CD"/>
        <bgColor indexed="64"/>
      </patternFill>
    </fill>
    <fill>
      <patternFill patternType="solid">
        <fgColor rgb="FFC9DAF8"/>
        <bgColor indexed="64"/>
      </patternFill>
    </fill>
    <fill>
      <patternFill patternType="solid">
        <fgColor rgb="FFC9DAF8"/>
        <bgColor rgb="FF000000"/>
      </patternFill>
    </fill>
    <fill>
      <patternFill patternType="solid">
        <fgColor theme="0"/>
        <bgColor indexed="64"/>
      </patternFill>
    </fill>
    <fill>
      <patternFill patternType="solid">
        <fgColor rgb="FFFFFFFF"/>
        <bgColor indexed="64"/>
      </patternFill>
    </fill>
    <fill>
      <patternFill patternType="solid">
        <fgColor theme="4" tint="0.39997558519241921"/>
        <bgColor indexed="64"/>
      </patternFill>
    </fill>
  </fills>
  <borders count="42">
    <border>
      <left/>
      <right/>
      <top/>
      <bottom/>
      <diagonal/>
    </border>
    <border>
      <left/>
      <right/>
      <top/>
      <bottom style="thin">
        <color rgb="FF000000"/>
      </bottom>
      <diagonal/>
    </border>
    <border>
      <left style="thin">
        <color indexed="23"/>
      </left>
      <right style="thin">
        <color indexed="23"/>
      </right>
      <top style="thin">
        <color indexed="23"/>
      </top>
      <bottom style="thin">
        <color indexed="23"/>
      </bottom>
      <diagonal/>
    </border>
    <border>
      <left/>
      <right/>
      <top/>
      <bottom style="double">
        <color auto="1"/>
      </bottom>
      <diagonal/>
    </border>
    <border>
      <left style="double">
        <color indexed="63"/>
      </left>
      <right style="double">
        <color indexed="63"/>
      </right>
      <top style="double">
        <color indexed="63"/>
      </top>
      <bottom style="double">
        <color indexed="63"/>
      </bottom>
      <diagonal/>
    </border>
    <border>
      <left/>
      <right/>
      <top/>
      <bottom style="thin">
        <color auto="1"/>
      </bottom>
      <diagonal/>
    </border>
    <border>
      <left/>
      <right style="thin">
        <color auto="1"/>
      </right>
      <top/>
      <bottom/>
      <diagonal/>
    </border>
    <border>
      <left style="thin">
        <color indexed="9"/>
      </left>
      <right style="thin">
        <color indexed="9"/>
      </right>
      <top/>
      <bottom/>
      <diagonal/>
    </border>
    <border>
      <left style="thin">
        <color auto="1"/>
      </left>
      <right style="thin">
        <color auto="1"/>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auto="1"/>
      </right>
      <top style="thin">
        <color auto="1"/>
      </top>
      <bottom/>
      <diagonal/>
    </border>
    <border>
      <left/>
      <right/>
      <top/>
      <bottom style="thick">
        <color auto="1"/>
      </bottom>
      <diagonal/>
    </border>
    <border>
      <left/>
      <right/>
      <top style="thin">
        <color indexed="62"/>
      </top>
      <bottom style="double">
        <color indexed="62"/>
      </bottom>
      <diagonal/>
    </border>
    <border>
      <left/>
      <right/>
      <top style="medium">
        <color rgb="FF000000"/>
      </top>
      <bottom style="medium">
        <color rgb="FF000000"/>
      </bottom>
      <diagonal/>
    </border>
    <border>
      <left style="thin">
        <color indexed="23"/>
      </left>
      <right style="thin">
        <color indexed="23"/>
      </right>
      <top/>
      <bottom/>
      <diagonal/>
    </border>
    <border>
      <left style="thin">
        <color auto="1"/>
      </left>
      <right style="thin">
        <color auto="1"/>
      </right>
      <top/>
      <bottom style="thin">
        <color auto="1"/>
      </bottom>
      <diagonal/>
    </border>
    <border>
      <left/>
      <right style="hair">
        <color rgb="FF000000"/>
      </right>
      <top/>
      <bottom/>
      <diagonal/>
    </border>
    <border>
      <left/>
      <right/>
      <top style="medium">
        <color rgb="FF000000"/>
      </top>
      <bottom/>
      <diagonal/>
    </border>
    <border>
      <left style="hair">
        <color rgb="FF000000"/>
      </left>
      <right style="hair">
        <color rgb="FF000000"/>
      </right>
      <top style="hair">
        <color rgb="FF000000"/>
      </top>
      <bottom style="hair">
        <color rgb="FF000000"/>
      </bottom>
      <diagonal/>
    </border>
    <border>
      <left/>
      <right/>
      <top/>
      <bottom style="hair">
        <color rgb="FF000000"/>
      </bottom>
      <diagonal/>
    </border>
    <border>
      <left/>
      <right/>
      <top/>
      <bottom style="medium">
        <color auto="1"/>
      </bottom>
      <diagonal/>
    </border>
    <border>
      <left/>
      <right/>
      <top style="thin">
        <color rgb="FF000000"/>
      </top>
      <bottom style="hair">
        <color rgb="FF000000"/>
      </bottom>
      <diagonal/>
    </border>
    <border>
      <left/>
      <right style="hair">
        <color rgb="FF000000"/>
      </right>
      <top style="hair">
        <color rgb="FF000000"/>
      </top>
      <bottom/>
      <diagonal/>
    </border>
    <border>
      <left/>
      <right style="hair">
        <color rgb="FF000000"/>
      </right>
      <top/>
      <bottom style="hair">
        <color rgb="FF000000"/>
      </bottom>
      <diagonal/>
    </border>
    <border>
      <left/>
      <right/>
      <top style="hair">
        <color rgb="FF000000"/>
      </top>
      <bottom/>
      <diagonal/>
    </border>
    <border>
      <left style="hair">
        <color rgb="FF000000"/>
      </left>
      <right/>
      <top/>
      <bottom/>
      <diagonal/>
    </border>
    <border>
      <left style="hair">
        <color rgb="FF000000"/>
      </left>
      <right/>
      <top/>
      <bottom style="hair">
        <color rgb="FF000000"/>
      </bottom>
      <diagonal/>
    </border>
    <border>
      <left style="hair">
        <color rgb="FF000000"/>
      </left>
      <right/>
      <top style="hair">
        <color rgb="FF000000"/>
      </top>
      <bottom/>
      <diagonal/>
    </border>
    <border>
      <left style="hair">
        <color rgb="FF000000"/>
      </left>
      <right/>
      <top style="thin">
        <color rgb="FF000000"/>
      </top>
      <bottom style="hair">
        <color rgb="FF000000"/>
      </bottom>
      <diagonal/>
    </border>
    <border>
      <left/>
      <right style="hair">
        <color rgb="FF000000"/>
      </right>
      <top style="thin">
        <color rgb="FF000000"/>
      </top>
      <bottom style="hair">
        <color rgb="FF000000"/>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000000"/>
      </top>
      <bottom style="thin">
        <color rgb="FFCCCCCC"/>
      </bottom>
      <diagonal/>
    </border>
    <border>
      <left style="thin">
        <color rgb="FFCCCCCC"/>
      </left>
      <right style="thin">
        <color rgb="FF000000"/>
      </right>
      <top style="thin">
        <color rgb="FFCCCCCC"/>
      </top>
      <bottom style="thin">
        <color rgb="FFCCCCCC"/>
      </bottom>
      <diagonal/>
    </border>
  </borders>
  <cellStyleXfs count="211">
    <xf numFmtId="0" fontId="0" fillId="0" borderId="0"/>
    <xf numFmtId="0" fontId="3" fillId="0" borderId="0"/>
    <xf numFmtId="165" fontId="3" fillId="0" borderId="0">
      <alignment horizontal="right"/>
    </xf>
    <xf numFmtId="166" fontId="3" fillId="2" borderId="0"/>
    <xf numFmtId="167" fontId="3" fillId="2" borderId="0"/>
    <xf numFmtId="168" fontId="3" fillId="2" borderId="0"/>
    <xf numFmtId="169" fontId="3" fillId="2" borderId="0">
      <alignment horizontal="right"/>
    </xf>
    <xf numFmtId="170" fontId="4" fillId="0" borderId="0" applyFont="0" applyFill="0" applyBorder="0" applyAlignment="0" applyProtection="0"/>
    <xf numFmtId="0" fontId="5" fillId="0" borderId="0" applyNumberFormat="0" applyFont="0" applyFill="0" applyBorder="0" applyAlignment="0" applyProtection="0"/>
    <xf numFmtId="171" fontId="6" fillId="0" borderId="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20" borderId="0" applyNumberFormat="0" applyBorder="0" applyAlignment="0" applyProtection="0"/>
    <xf numFmtId="0" fontId="6" fillId="0" borderId="0"/>
    <xf numFmtId="0" fontId="9" fillId="4" borderId="0" applyNumberFormat="0" applyBorder="0" applyAlignment="0" applyProtection="0"/>
    <xf numFmtId="172" fontId="10" fillId="0" borderId="0" applyFont="0" applyFill="0" applyBorder="0" applyAlignment="0" applyProtection="0"/>
    <xf numFmtId="38" fontId="10" fillId="0" borderId="0" applyFill="0" applyBorder="0" applyAlignment="0" applyProtection="0">
      <protection locked="0"/>
    </xf>
    <xf numFmtId="0" fontId="11" fillId="0" borderId="0"/>
    <xf numFmtId="37" fontId="12" fillId="0" borderId="0">
      <alignment horizontal="centerContinuous"/>
    </xf>
    <xf numFmtId="0" fontId="13" fillId="21" borderId="2" applyNumberFormat="0" applyAlignment="0" applyProtection="0"/>
    <xf numFmtId="172" fontId="10" fillId="0" borderId="0" applyFont="0" applyFill="0" applyBorder="0" applyAlignment="0" applyProtection="0">
      <protection locked="0"/>
    </xf>
    <xf numFmtId="172" fontId="10" fillId="0" borderId="3" applyFont="0" applyFill="0" applyAlignment="0" applyProtection="0"/>
    <xf numFmtId="0" fontId="14" fillId="22" borderId="4" applyNumberFormat="0" applyAlignment="0" applyProtection="0"/>
    <xf numFmtId="0" fontId="5" fillId="0" borderId="0">
      <alignment horizontal="center" wrapText="1"/>
      <protection hidden="1"/>
    </xf>
    <xf numFmtId="0" fontId="15" fillId="0" borderId="5" applyNumberFormat="0" applyFill="0" applyBorder="0" applyProtection="0">
      <alignment horizontal="left" vertical="center"/>
    </xf>
    <xf numFmtId="0" fontId="15" fillId="0" borderId="5" applyNumberFormat="0" applyFill="0" applyBorder="0" applyProtection="0">
      <alignment horizontal="right" vertical="center"/>
    </xf>
    <xf numFmtId="43" fontId="5" fillId="0" borderId="0" applyFont="0" applyFill="0" applyBorder="0" applyAlignment="0" applyProtection="0"/>
    <xf numFmtId="37" fontId="16" fillId="0" borderId="0" applyFont="0" applyFill="0" applyBorder="0" applyAlignment="0" applyProtection="0"/>
    <xf numFmtId="39" fontId="16" fillId="0" borderId="0" applyFont="0" applyFill="0" applyBorder="0" applyAlignment="0" applyProtection="0"/>
    <xf numFmtId="0" fontId="17" fillId="23" borderId="0">
      <alignment horizontal="center" vertical="center" wrapText="1"/>
    </xf>
    <xf numFmtId="173" fontId="5" fillId="0" borderId="0" applyFill="0" applyBorder="0">
      <alignment horizontal="right"/>
      <protection locked="0"/>
    </xf>
    <xf numFmtId="0" fontId="18" fillId="0" borderId="0" applyFont="0" applyFill="0" applyBorder="0" applyAlignment="0"/>
    <xf numFmtId="7" fontId="19" fillId="0" borderId="0" applyFont="0" applyFill="0" applyBorder="0" applyAlignment="0" applyProtection="0"/>
    <xf numFmtId="5" fontId="16" fillId="0" borderId="0" applyFont="0" applyFill="0" applyBorder="0" applyAlignment="0" applyProtection="0"/>
    <xf numFmtId="174" fontId="6" fillId="0" borderId="0" applyFill="0" applyBorder="0" applyProtection="0">
      <alignment horizontal="right"/>
    </xf>
    <xf numFmtId="175" fontId="3" fillId="2" borderId="6">
      <alignment horizontal="right"/>
    </xf>
    <xf numFmtId="176" fontId="3" fillId="2" borderId="6">
      <alignment horizontal="right"/>
    </xf>
    <xf numFmtId="175" fontId="3" fillId="2" borderId="6">
      <alignment horizontal="right"/>
    </xf>
    <xf numFmtId="15" fontId="20" fillId="0" borderId="0" applyFill="0" applyBorder="0" applyAlignment="0"/>
    <xf numFmtId="177" fontId="18" fillId="24" borderId="0" applyFont="0" applyFill="0" applyBorder="0" applyAlignment="0" applyProtection="0"/>
    <xf numFmtId="178" fontId="20" fillId="0" borderId="5"/>
    <xf numFmtId="14" fontId="21" fillId="0" borderId="0" applyFont="0" applyFill="0" applyBorder="0" applyAlignment="0" applyProtection="0">
      <alignment horizontal="center"/>
    </xf>
    <xf numFmtId="179" fontId="21" fillId="0" borderId="0" applyFont="0" applyFill="0" applyBorder="0" applyAlignment="0" applyProtection="0">
      <alignment horizontal="center"/>
    </xf>
    <xf numFmtId="180" fontId="6" fillId="0" borderId="0" applyFont="0" applyFill="0" applyBorder="0" applyAlignment="0" applyProtection="0"/>
    <xf numFmtId="8" fontId="10" fillId="0" borderId="0" applyFont="0" applyFill="0" applyBorder="0" applyAlignment="0" applyProtection="0"/>
    <xf numFmtId="6" fontId="10" fillId="0" borderId="0" applyFont="0" applyFill="0" applyBorder="0" applyAlignment="0" applyProtection="0">
      <alignment horizontal="right"/>
    </xf>
    <xf numFmtId="6" fontId="10" fillId="0" borderId="0" applyFont="0" applyFill="0" applyBorder="0" applyAlignment="0" applyProtection="0"/>
    <xf numFmtId="39" fontId="3" fillId="25" borderId="0"/>
    <xf numFmtId="7" fontId="3" fillId="25" borderId="0" applyBorder="0"/>
    <xf numFmtId="181" fontId="3" fillId="25" borderId="0"/>
    <xf numFmtId="182" fontId="3" fillId="0" borderId="0"/>
    <xf numFmtId="183" fontId="3" fillId="25" borderId="0"/>
    <xf numFmtId="184" fontId="11" fillId="0" borderId="0" applyFont="0" applyFill="0" applyBorder="0" applyProtection="0">
      <alignment horizontal="left"/>
      <protection locked="0"/>
    </xf>
    <xf numFmtId="185" fontId="3" fillId="0" borderId="0"/>
    <xf numFmtId="186" fontId="11" fillId="0" borderId="0" applyFont="0" applyFill="0" applyBorder="0" applyProtection="0">
      <alignment horizontal="left"/>
      <protection locked="0"/>
    </xf>
    <xf numFmtId="187" fontId="5" fillId="0" borderId="0" applyFont="0" applyFill="0" applyBorder="0" applyAlignment="0" applyProtection="0"/>
    <xf numFmtId="0" fontId="22" fillId="0" borderId="0" applyNumberFormat="0" applyFill="0" applyBorder="0" applyAlignment="0" applyProtection="0"/>
    <xf numFmtId="170" fontId="3" fillId="0" borderId="7"/>
    <xf numFmtId="188" fontId="3" fillId="2" borderId="6">
      <alignment horizontal="right"/>
    </xf>
    <xf numFmtId="189" fontId="3" fillId="2" borderId="6">
      <alignment horizontal="right"/>
    </xf>
    <xf numFmtId="188" fontId="3" fillId="2" borderId="6">
      <alignment horizontal="right"/>
    </xf>
    <xf numFmtId="190" fontId="10" fillId="0" borderId="0" applyFill="0" applyBorder="0" applyAlignment="0" applyProtection="0">
      <protection locked="0"/>
    </xf>
    <xf numFmtId="0" fontId="23" fillId="5" borderId="0" applyNumberFormat="0" applyBorder="0" applyAlignment="0" applyProtection="0"/>
    <xf numFmtId="191" fontId="24" fillId="0" borderId="0" applyFill="0" applyBorder="0" applyAlignment="0" applyProtection="0"/>
    <xf numFmtId="170" fontId="25" fillId="0" borderId="0" applyAlignment="0">
      <alignment horizontal="left"/>
      <protection locked="0"/>
    </xf>
    <xf numFmtId="190" fontId="6" fillId="26" borderId="8" applyNumberFormat="0" applyFont="0" applyAlignment="0" applyProtection="0"/>
    <xf numFmtId="0" fontId="26" fillId="0" borderId="9"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28" fillId="0" borderId="0" applyNumberFormat="0" applyFill="0" applyBorder="0" applyAlignment="0" applyProtection="0"/>
    <xf numFmtId="190" fontId="29" fillId="0" borderId="0" applyNumberFormat="0" applyFill="0" applyBorder="0" applyAlignment="0" applyProtection="0"/>
    <xf numFmtId="0" fontId="30" fillId="0" borderId="0"/>
    <xf numFmtId="172" fontId="10" fillId="0" borderId="0" applyFont="0" applyFill="0" applyBorder="0" applyAlignment="0" applyProtection="0"/>
    <xf numFmtId="38" fontId="10" fillId="0" borderId="0" applyFill="0" applyBorder="0" applyAlignment="0" applyProtection="0">
      <alignment horizontal="right"/>
      <protection locked="0"/>
    </xf>
    <xf numFmtId="0" fontId="31" fillId="8" borderId="2" applyNumberFormat="0" applyAlignment="0" applyProtection="0"/>
    <xf numFmtId="0" fontId="18" fillId="24" borderId="0" applyFont="0" applyBorder="0" applyAlignment="0">
      <protection locked="0"/>
    </xf>
    <xf numFmtId="0" fontId="5" fillId="0" borderId="0" applyFill="0" applyBorder="0">
      <alignment horizontal="right"/>
      <protection locked="0"/>
    </xf>
    <xf numFmtId="17" fontId="32" fillId="27" borderId="0"/>
    <xf numFmtId="192" fontId="5" fillId="0" borderId="0" applyFill="0" applyBorder="0">
      <alignment horizontal="right"/>
      <protection locked="0"/>
    </xf>
    <xf numFmtId="0" fontId="33" fillId="28" borderId="12">
      <alignment horizontal="left" vertical="center" wrapText="1"/>
    </xf>
    <xf numFmtId="0" fontId="34" fillId="0" borderId="13" applyNumberFormat="0" applyFill="0" applyAlignment="0" applyProtection="0"/>
    <xf numFmtId="193" fontId="10" fillId="0" borderId="0" applyFont="0" applyFill="0" applyBorder="0" applyAlignment="0" applyProtection="0">
      <alignment horizontal="right"/>
    </xf>
    <xf numFmtId="194" fontId="3" fillId="0" borderId="0">
      <alignment horizontal="right"/>
    </xf>
    <xf numFmtId="195" fontId="3" fillId="25" borderId="0">
      <alignment horizontal="right"/>
    </xf>
    <xf numFmtId="196" fontId="3" fillId="0" borderId="0">
      <alignment horizontal="right"/>
    </xf>
    <xf numFmtId="194" fontId="3" fillId="0" borderId="0">
      <alignment horizontal="right"/>
    </xf>
    <xf numFmtId="170" fontId="35" fillId="0" borderId="0" applyFill="0" applyBorder="0" applyAlignment="0" applyProtection="0">
      <alignment horizontal="right"/>
    </xf>
    <xf numFmtId="170" fontId="35" fillId="0" borderId="0" applyFill="0" applyBorder="0" applyAlignment="0" applyProtection="0"/>
    <xf numFmtId="197" fontId="3" fillId="2" borderId="6">
      <alignment horizontal="right"/>
    </xf>
    <xf numFmtId="198" fontId="10" fillId="0" borderId="0" applyFont="0" applyFill="0" applyBorder="0" applyAlignment="0" applyProtection="0"/>
    <xf numFmtId="0" fontId="16" fillId="2" borderId="0" applyFont="0" applyBorder="0" applyAlignment="0" applyProtection="0">
      <alignment horizontal="right"/>
      <protection hidden="1"/>
    </xf>
    <xf numFmtId="0" fontId="36" fillId="26" borderId="0" applyNumberFormat="0" applyBorder="0" applyAlignment="0" applyProtection="0"/>
    <xf numFmtId="37" fontId="19" fillId="0" borderId="0" applyFont="0" applyFill="0" applyBorder="0" applyAlignment="0" applyProtection="0"/>
    <xf numFmtId="199" fontId="5" fillId="0" borderId="0" applyFont="0" applyFill="0" applyBorder="0" applyAlignment="0" applyProtection="0"/>
    <xf numFmtId="39" fontId="5" fillId="0" borderId="0" applyFont="0" applyFill="0" applyBorder="0" applyAlignment="0" applyProtection="0"/>
    <xf numFmtId="200" fontId="5" fillId="0" borderId="0" applyFont="0" applyFill="0" applyBorder="0" applyAlignment="0" applyProtection="0"/>
    <xf numFmtId="0" fontId="5" fillId="0" borderId="0"/>
    <xf numFmtId="0" fontId="20" fillId="0" borderId="0" applyNumberFormat="0" applyFill="0" applyBorder="0" applyAlignment="0" applyProtection="0"/>
    <xf numFmtId="0" fontId="18" fillId="0" borderId="0" applyFont="0" applyFill="0" applyBorder="0" applyAlignment="0" applyProtection="0"/>
    <xf numFmtId="201" fontId="18" fillId="0" borderId="0" applyFont="0" applyFill="0" applyBorder="0" applyAlignment="0" applyProtection="0"/>
    <xf numFmtId="0" fontId="7" fillId="29" borderId="14" applyNumberFormat="0" applyFont="0" applyAlignment="0" applyProtection="0"/>
    <xf numFmtId="0" fontId="16" fillId="0" borderId="0" applyFont="0" applyFill="0" applyBorder="0" applyAlignment="0" applyProtection="0"/>
    <xf numFmtId="202" fontId="5" fillId="0" borderId="0" applyFont="0" applyFill="0" applyBorder="0" applyAlignment="0" applyProtection="0"/>
    <xf numFmtId="0" fontId="16" fillId="0" borderId="0" applyFont="0" applyFill="0" applyBorder="0" applyAlignment="0" applyProtection="0"/>
    <xf numFmtId="0" fontId="37" fillId="21" borderId="15" applyNumberFormat="0" applyAlignment="0" applyProtection="0"/>
    <xf numFmtId="203" fontId="10" fillId="0" borderId="0" applyFont="0" applyFill="0" applyBorder="0" applyAlignment="0" applyProtection="0">
      <alignment horizontal="right"/>
    </xf>
    <xf numFmtId="0" fontId="38" fillId="0" borderId="0" applyNumberFormat="0" applyFill="0" applyBorder="0" applyAlignment="0" applyProtection="0"/>
    <xf numFmtId="0" fontId="18" fillId="0" borderId="0"/>
    <xf numFmtId="204" fontId="3" fillId="25" borderId="0"/>
    <xf numFmtId="9" fontId="10" fillId="0" borderId="0" applyFont="0" applyFill="0" applyBorder="0" applyAlignment="0" applyProtection="0">
      <alignment horizontal="right"/>
    </xf>
    <xf numFmtId="205" fontId="3" fillId="0" borderId="0"/>
    <xf numFmtId="0" fontId="5" fillId="0" borderId="0" applyFont="0" applyFill="0" applyBorder="0" applyAlignment="0"/>
    <xf numFmtId="166" fontId="5" fillId="0" borderId="0" applyFont="0" applyFill="0" applyBorder="0" applyAlignment="0" applyProtection="0"/>
    <xf numFmtId="206" fontId="5" fillId="0" borderId="0" applyFont="0" applyFill="0" applyBorder="0" applyAlignment="0" applyProtection="0"/>
    <xf numFmtId="207" fontId="5" fillId="0" borderId="0" applyFill="0" applyBorder="0">
      <alignment horizontal="right"/>
      <protection locked="0"/>
    </xf>
    <xf numFmtId="191" fontId="10" fillId="0" borderId="0" applyFont="0" applyFill="0" applyBorder="0" applyAlignment="0" applyProtection="0"/>
    <xf numFmtId="8" fontId="10" fillId="0" borderId="0" applyFont="0" applyFill="0" applyBorder="0" applyAlignment="0" applyProtection="0"/>
    <xf numFmtId="172" fontId="10" fillId="0" borderId="0" applyFont="0" applyFill="0" applyBorder="0" applyAlignment="0" applyProtection="0">
      <protection locked="0"/>
    </xf>
    <xf numFmtId="190" fontId="10" fillId="0" borderId="0" applyFill="0" applyBorder="0" applyAlignment="0" applyProtection="0"/>
    <xf numFmtId="38" fontId="10" fillId="0" borderId="0" applyFont="0" applyFill="0" applyBorder="0" applyAlignment="0" applyProtection="0"/>
    <xf numFmtId="168" fontId="3" fillId="2" borderId="16">
      <alignment horizontal="right"/>
    </xf>
    <xf numFmtId="208" fontId="39" fillId="2" borderId="0"/>
    <xf numFmtId="209" fontId="3" fillId="2" borderId="0"/>
    <xf numFmtId="0" fontId="40" fillId="0" borderId="0">
      <alignment horizontal="center"/>
    </xf>
    <xf numFmtId="0" fontId="3" fillId="0" borderId="5">
      <alignment horizontal="centerContinuous"/>
    </xf>
    <xf numFmtId="210" fontId="3" fillId="2" borderId="0">
      <alignment horizontal="right"/>
    </xf>
    <xf numFmtId="211" fontId="3" fillId="2" borderId="6">
      <alignment horizontal="right"/>
    </xf>
    <xf numFmtId="212" fontId="5" fillId="0" borderId="0">
      <alignment horizontal="right"/>
      <protection locked="0"/>
    </xf>
    <xf numFmtId="190" fontId="21" fillId="0" borderId="0" applyFont="0" applyFill="0" applyBorder="0" applyAlignment="0" applyProtection="0"/>
    <xf numFmtId="0" fontId="41" fillId="0" borderId="0" applyNumberFormat="0" applyFill="0" applyBorder="0" applyProtection="0">
      <alignment horizontal="right" vertical="center"/>
    </xf>
    <xf numFmtId="0" fontId="42" fillId="23" borderId="8">
      <alignment horizontal="center" vertical="center" wrapText="1"/>
      <protection hidden="1"/>
    </xf>
    <xf numFmtId="172" fontId="10" fillId="0" borderId="0" applyFill="0" applyBorder="0" applyAlignment="0" applyProtection="0">
      <protection locked="0"/>
    </xf>
    <xf numFmtId="213" fontId="21" fillId="0" borderId="0" applyFont="0" applyFill="0" applyBorder="0" applyAlignment="0" applyProtection="0">
      <alignment horizontal="right"/>
    </xf>
    <xf numFmtId="38" fontId="5" fillId="0" borderId="0" applyFont="0" applyFill="0" applyBorder="0" applyAlignment="0" applyProtection="0"/>
    <xf numFmtId="0" fontId="43" fillId="0" borderId="17" applyNumberFormat="0" applyFill="0" applyProtection="0">
      <alignment horizontal="left" vertical="top" wrapText="1"/>
    </xf>
    <xf numFmtId="0" fontId="30" fillId="0" borderId="0" applyNumberFormat="0" applyFill="0" applyBorder="0" applyProtection="0">
      <alignment horizontal="left" vertical="top" wrapText="1"/>
    </xf>
    <xf numFmtId="0" fontId="44" fillId="0" borderId="0" applyNumberFormat="0" applyFill="0" applyProtection="0">
      <alignment horizontal="left" vertical="top" wrapText="1"/>
    </xf>
    <xf numFmtId="0" fontId="45" fillId="0" borderId="0" applyNumberFormat="0" applyFill="0" applyBorder="0" applyProtection="0"/>
    <xf numFmtId="0" fontId="46" fillId="30" borderId="0" applyNumberFormat="0" applyBorder="0" applyProtection="0"/>
    <xf numFmtId="0" fontId="47" fillId="0" borderId="0" applyNumberFormat="0" applyFill="0" applyBorder="0" applyProtection="0">
      <alignment vertical="top"/>
    </xf>
    <xf numFmtId="214" fontId="48" fillId="0" borderId="0" applyFill="0" applyBorder="0" applyProtection="0">
      <alignment horizontal="right" wrapText="1"/>
    </xf>
    <xf numFmtId="215" fontId="48" fillId="0" borderId="0" applyFill="0" applyBorder="0" applyProtection="0">
      <alignment horizontal="right"/>
    </xf>
    <xf numFmtId="4" fontId="18" fillId="0" borderId="0" applyFill="0" applyBorder="0" applyProtection="0">
      <alignment horizontal="right"/>
    </xf>
    <xf numFmtId="183" fontId="49" fillId="0" borderId="0" applyFill="0" applyBorder="0" applyAlignment="0" applyProtection="0"/>
    <xf numFmtId="216" fontId="50" fillId="0" borderId="0" applyFill="0" applyBorder="0" applyAlignment="0" applyProtection="0">
      <alignment horizontal="left"/>
      <protection locked="0"/>
    </xf>
    <xf numFmtId="216" fontId="50" fillId="0" borderId="0" applyFill="0" applyBorder="0" applyAlignment="0" applyProtection="0"/>
    <xf numFmtId="216" fontId="51" fillId="0" borderId="0" applyFill="0" applyBorder="0" applyAlignment="0" applyProtection="0">
      <alignment horizontal="left"/>
      <protection locked="0"/>
    </xf>
    <xf numFmtId="216" fontId="51" fillId="0" borderId="0" applyFill="0" applyBorder="0" applyAlignment="0" applyProtection="0">
      <protection locked="0"/>
    </xf>
    <xf numFmtId="190" fontId="10" fillId="0" borderId="0" applyFill="0" applyBorder="0" applyAlignment="0" applyProtection="0">
      <protection locked="0"/>
    </xf>
    <xf numFmtId="190" fontId="49" fillId="0" borderId="0" applyFill="0" applyBorder="0" applyAlignment="0" applyProtection="0"/>
    <xf numFmtId="49" fontId="52" fillId="0" borderId="0"/>
    <xf numFmtId="217" fontId="5" fillId="0" borderId="0" applyFont="0" applyFill="0" applyBorder="0" applyAlignment="0" applyProtection="0"/>
    <xf numFmtId="218" fontId="5" fillId="0" borderId="0" applyFont="0" applyFill="0" applyBorder="0" applyAlignment="0" applyProtection="0"/>
    <xf numFmtId="0" fontId="53" fillId="0" borderId="0" applyNumberFormat="0" applyFill="0" applyBorder="0" applyAlignment="0" applyProtection="0"/>
    <xf numFmtId="0" fontId="54" fillId="1" borderId="0" applyNumberFormat="0" applyBorder="0" applyProtection="0">
      <alignment horizontal="left" vertical="center"/>
    </xf>
    <xf numFmtId="190" fontId="55" fillId="0" borderId="0" applyNumberFormat="0" applyFill="0" applyBorder="0" applyAlignment="0" applyProtection="0"/>
    <xf numFmtId="0" fontId="5" fillId="0" borderId="0" applyBorder="0"/>
    <xf numFmtId="38" fontId="56" fillId="0" borderId="0" applyFill="0" applyBorder="0" applyAlignment="0" applyProtection="0">
      <alignment horizontal="left"/>
    </xf>
    <xf numFmtId="0" fontId="57" fillId="0" borderId="0"/>
    <xf numFmtId="0" fontId="58" fillId="0" borderId="18" applyNumberFormat="0" applyFill="0" applyAlignment="0" applyProtection="0"/>
    <xf numFmtId="0" fontId="59" fillId="0" borderId="0" applyNumberFormat="0" applyFill="0" applyBorder="0" applyAlignment="0" applyProtection="0"/>
    <xf numFmtId="1" fontId="10" fillId="0" borderId="0" applyFont="0" applyFill="0" applyBorder="0" applyAlignment="0" applyProtection="0"/>
    <xf numFmtId="219" fontId="19" fillId="0" borderId="0" applyFont="0" applyFill="0" applyBorder="0" applyAlignment="0" applyProtection="0"/>
    <xf numFmtId="223" fontId="20" fillId="0" borderId="0" applyFill="0" applyBorder="0" applyAlignment="0" applyProtection="0">
      <alignment horizontal="right"/>
    </xf>
    <xf numFmtId="0" fontId="67" fillId="0" borderId="0" applyAlignment="0"/>
    <xf numFmtId="0" fontId="68" fillId="0" borderId="0" applyAlignment="0"/>
    <xf numFmtId="0" fontId="46" fillId="31" borderId="0" applyAlignment="0"/>
    <xf numFmtId="224" fontId="18" fillId="0" borderId="20" applyFont="0" applyFill="0" applyBorder="0" applyAlignment="0" applyProtection="0"/>
    <xf numFmtId="225" fontId="20" fillId="0" borderId="0" applyFont="0" applyFill="0" applyBorder="0" applyAlignment="0" applyProtection="0"/>
    <xf numFmtId="226" fontId="18" fillId="0" borderId="0" applyFont="0" applyFill="0" applyBorder="0" applyAlignment="0" applyProtection="0"/>
    <xf numFmtId="177" fontId="69" fillId="24" borderId="21" applyFont="0" applyFill="0" applyBorder="0" applyAlignment="0" applyProtection="0"/>
    <xf numFmtId="0" fontId="70" fillId="0" borderId="0" applyAlignment="0"/>
    <xf numFmtId="14" fontId="20" fillId="0" borderId="5" applyFont="0" applyFill="0" applyBorder="0" applyAlignment="0" applyProtection="0"/>
    <xf numFmtId="0" fontId="71" fillId="32" borderId="22"/>
    <xf numFmtId="0" fontId="72" fillId="33" borderId="0" applyAlignment="0"/>
    <xf numFmtId="0" fontId="73" fillId="34" borderId="0" applyAlignment="0"/>
    <xf numFmtId="0" fontId="74" fillId="0" borderId="0" applyAlignment="0"/>
    <xf numFmtId="227" fontId="18" fillId="0" borderId="0" applyFont="0" applyFill="0" applyBorder="0" applyAlignment="0" applyProtection="0">
      <alignment horizontal="right"/>
    </xf>
    <xf numFmtId="190" fontId="75" fillId="0" borderId="0" applyNumberFormat="0" applyFill="0" applyBorder="0" applyAlignment="0" applyProtection="0">
      <alignment horizontal="left"/>
    </xf>
    <xf numFmtId="0" fontId="76" fillId="35" borderId="0" applyAlignment="0"/>
    <xf numFmtId="0" fontId="77" fillId="0" borderId="0" applyAlignment="0"/>
    <xf numFmtId="0" fontId="78" fillId="0" borderId="0" applyAlignment="0"/>
    <xf numFmtId="0" fontId="79" fillId="0" borderId="0" applyAlignment="0"/>
    <xf numFmtId="0" fontId="80" fillId="0" borderId="0" applyAlignment="0"/>
    <xf numFmtId="0" fontId="47" fillId="0" borderId="0" applyAlignment="0"/>
    <xf numFmtId="228" fontId="18" fillId="0" borderId="0" applyFont="0" applyFill="0" applyBorder="0" applyAlignment="0" applyProtection="0">
      <alignment horizontal="right"/>
    </xf>
    <xf numFmtId="0" fontId="81" fillId="0" borderId="0" applyAlignment="0"/>
    <xf numFmtId="229" fontId="18" fillId="0" borderId="0" applyFont="0" applyFill="0" applyBorder="0" applyAlignment="0"/>
    <xf numFmtId="233" fontId="90" fillId="0" borderId="0"/>
    <xf numFmtId="0" fontId="97" fillId="0" borderId="0" applyNumberFormat="0" applyFill="0" applyBorder="0" applyAlignment="0" applyProtection="0"/>
  </cellStyleXfs>
  <cellXfs count="146">
    <xf numFmtId="0" fontId="0" fillId="0" borderId="0" xfId="0"/>
    <xf numFmtId="0" fontId="2" fillId="0" borderId="0" xfId="0" applyFont="1"/>
    <xf numFmtId="14" fontId="62" fillId="0" borderId="0" xfId="0" applyNumberFormat="1" applyFont="1" applyAlignment="1">
      <alignment horizontal="left"/>
    </xf>
    <xf numFmtId="37" fontId="1" fillId="0" borderId="0" xfId="0" applyNumberFormat="1" applyFont="1"/>
    <xf numFmtId="0" fontId="63" fillId="0" borderId="1" xfId="0" applyFont="1" applyBorder="1"/>
    <xf numFmtId="0" fontId="0" fillId="0" borderId="1" xfId="0" applyBorder="1"/>
    <xf numFmtId="220" fontId="63" fillId="0" borderId="0" xfId="0" applyNumberFormat="1" applyFont="1"/>
    <xf numFmtId="221" fontId="63" fillId="0" borderId="0" xfId="0" applyNumberFormat="1" applyFont="1"/>
    <xf numFmtId="0" fontId="64" fillId="0" borderId="1" xfId="0" applyFont="1" applyBorder="1"/>
    <xf numFmtId="222" fontId="64" fillId="0" borderId="1" xfId="0" applyNumberFormat="1" applyFont="1" applyBorder="1"/>
    <xf numFmtId="0" fontId="64" fillId="0" borderId="0" xfId="0" applyFont="1"/>
    <xf numFmtId="222" fontId="65" fillId="0" borderId="0" xfId="0" applyNumberFormat="1" applyFont="1"/>
    <xf numFmtId="222" fontId="64" fillId="0" borderId="0" xfId="0" applyNumberFormat="1" applyFont="1"/>
    <xf numFmtId="37" fontId="2" fillId="0" borderId="0" xfId="0" applyNumberFormat="1" applyFont="1"/>
    <xf numFmtId="0" fontId="63" fillId="0" borderId="0" xfId="0" applyFont="1"/>
    <xf numFmtId="37" fontId="60" fillId="0" borderId="0" xfId="0" applyNumberFormat="1" applyFont="1"/>
    <xf numFmtId="37" fontId="0" fillId="0" borderId="0" xfId="0" applyNumberFormat="1"/>
    <xf numFmtId="0" fontId="66" fillId="0" borderId="0" xfId="0" applyFont="1"/>
    <xf numFmtId="0" fontId="0" fillId="0" borderId="0" xfId="0" applyAlignment="1">
      <alignment horizontal="left" indent="1"/>
    </xf>
    <xf numFmtId="164" fontId="2" fillId="0" borderId="0" xfId="0" applyNumberFormat="1" applyFont="1"/>
    <xf numFmtId="164" fontId="1" fillId="0" borderId="0" xfId="0" applyNumberFormat="1" applyFont="1"/>
    <xf numFmtId="220" fontId="60" fillId="0" borderId="0" xfId="0" applyNumberFormat="1" applyFont="1"/>
    <xf numFmtId="222" fontId="62" fillId="0" borderId="1" xfId="0" applyNumberFormat="1" applyFont="1" applyBorder="1"/>
    <xf numFmtId="14" fontId="64" fillId="0" borderId="0" xfId="0" applyNumberFormat="1" applyFont="1"/>
    <xf numFmtId="0" fontId="63" fillId="0" borderId="0" xfId="0" applyFont="1" applyAlignment="1">
      <alignment horizontal="left"/>
    </xf>
    <xf numFmtId="0" fontId="0" fillId="0" borderId="0" xfId="0" applyAlignment="1">
      <alignment horizontal="left"/>
    </xf>
    <xf numFmtId="37" fontId="63" fillId="0" borderId="0" xfId="0" applyNumberFormat="1" applyFont="1"/>
    <xf numFmtId="37" fontId="64" fillId="0" borderId="0" xfId="0" applyNumberFormat="1" applyFont="1"/>
    <xf numFmtId="3" fontId="0" fillId="0" borderId="0" xfId="0" applyNumberFormat="1"/>
    <xf numFmtId="4" fontId="0" fillId="0" borderId="0" xfId="0" applyNumberFormat="1"/>
    <xf numFmtId="0" fontId="0" fillId="0" borderId="23" xfId="0" applyBorder="1"/>
    <xf numFmtId="0" fontId="0" fillId="0" borderId="19" xfId="0" applyBorder="1"/>
    <xf numFmtId="0" fontId="63" fillId="0" borderId="5" xfId="0" applyFont="1" applyBorder="1"/>
    <xf numFmtId="9" fontId="64" fillId="0" borderId="0" xfId="0" applyNumberFormat="1" applyFont="1"/>
    <xf numFmtId="193" fontId="64" fillId="0" borderId="0" xfId="0" applyNumberFormat="1" applyFont="1"/>
    <xf numFmtId="0" fontId="0" fillId="0" borderId="0" xfId="0" quotePrefix="1"/>
    <xf numFmtId="222" fontId="64" fillId="0" borderId="5" xfId="0" applyNumberFormat="1" applyFont="1" applyBorder="1"/>
    <xf numFmtId="37" fontId="1" fillId="37" borderId="0" xfId="0" applyNumberFormat="1" applyFont="1" applyFill="1"/>
    <xf numFmtId="0" fontId="1" fillId="0" borderId="0" xfId="0" applyFont="1" applyAlignment="1">
      <alignment horizontal="center"/>
    </xf>
    <xf numFmtId="231" fontId="1" fillId="36" borderId="24" xfId="0" applyNumberFormat="1" applyFont="1" applyFill="1" applyBorder="1" applyAlignment="1">
      <alignment horizontal="center"/>
    </xf>
    <xf numFmtId="8" fontId="1" fillId="0" borderId="0" xfId="0" applyNumberFormat="1" applyFont="1" applyAlignment="1">
      <alignment horizontal="center"/>
    </xf>
    <xf numFmtId="14" fontId="1" fillId="0" borderId="0" xfId="0" applyNumberFormat="1" applyFont="1" applyAlignment="1">
      <alignment horizontal="center"/>
    </xf>
    <xf numFmtId="222" fontId="1" fillId="0" borderId="0" xfId="0" applyNumberFormat="1" applyFont="1" applyAlignment="1">
      <alignment horizontal="center"/>
    </xf>
    <xf numFmtId="200" fontId="1" fillId="37" borderId="0" xfId="0" applyNumberFormat="1" applyFont="1" applyFill="1" applyAlignment="1">
      <alignment horizontal="center"/>
    </xf>
    <xf numFmtId="0" fontId="60" fillId="0" borderId="0" xfId="0" applyFont="1"/>
    <xf numFmtId="37" fontId="60" fillId="37" borderId="0" xfId="0" applyNumberFormat="1" applyFont="1" applyFill="1"/>
    <xf numFmtId="37" fontId="1" fillId="38" borderId="0" xfId="0" applyNumberFormat="1" applyFont="1" applyFill="1"/>
    <xf numFmtId="37" fontId="60" fillId="38" borderId="0" xfId="0" applyNumberFormat="1" applyFont="1" applyFill="1"/>
    <xf numFmtId="230" fontId="2" fillId="37" borderId="0" xfId="0" applyNumberFormat="1" applyFont="1" applyFill="1"/>
    <xf numFmtId="37" fontId="1" fillId="37" borderId="25" xfId="0" applyNumberFormat="1" applyFont="1" applyFill="1" applyBorder="1"/>
    <xf numFmtId="10" fontId="1" fillId="37" borderId="0" xfId="0" applyNumberFormat="1" applyFont="1" applyFill="1"/>
    <xf numFmtId="0" fontId="84" fillId="0" borderId="19" xfId="0" applyFont="1" applyBorder="1"/>
    <xf numFmtId="0" fontId="0" fillId="0" borderId="0" xfId="0" applyAlignment="1">
      <alignment horizontal="center"/>
    </xf>
    <xf numFmtId="0" fontId="85" fillId="0" borderId="0" xfId="0" applyFont="1" applyAlignment="1">
      <alignment horizontal="center"/>
    </xf>
    <xf numFmtId="0" fontId="86" fillId="0" borderId="26" xfId="0" applyFont="1" applyBorder="1"/>
    <xf numFmtId="0" fontId="0" fillId="0" borderId="26" xfId="0" applyBorder="1"/>
    <xf numFmtId="0" fontId="82" fillId="0" borderId="0" xfId="0" applyFont="1"/>
    <xf numFmtId="0" fontId="82" fillId="0" borderId="0" xfId="0" quotePrefix="1" applyFont="1"/>
    <xf numFmtId="0" fontId="2" fillId="32" borderId="0" xfId="0" applyFont="1" applyFill="1"/>
    <xf numFmtId="0" fontId="83" fillId="0" borderId="0" xfId="0" applyFont="1"/>
    <xf numFmtId="37" fontId="62" fillId="0" borderId="0" xfId="0" applyNumberFormat="1" applyFont="1"/>
    <xf numFmtId="0" fontId="87" fillId="0" borderId="0" xfId="0" applyFont="1"/>
    <xf numFmtId="7" fontId="0" fillId="0" borderId="0" xfId="0" applyNumberFormat="1"/>
    <xf numFmtId="222" fontId="62" fillId="0" borderId="0" xfId="0" applyNumberFormat="1" applyFont="1"/>
    <xf numFmtId="0" fontId="2" fillId="0" borderId="27" xfId="0" applyFont="1" applyBorder="1"/>
    <xf numFmtId="0" fontId="2" fillId="0" borderId="28" xfId="0" applyFont="1" applyBorder="1"/>
    <xf numFmtId="6" fontId="0" fillId="0" borderId="0" xfId="0" applyNumberFormat="1"/>
    <xf numFmtId="3" fontId="1" fillId="0" borderId="0" xfId="0" applyNumberFormat="1" applyFont="1"/>
    <xf numFmtId="164" fontId="0" fillId="0" borderId="0" xfId="0" applyNumberFormat="1"/>
    <xf numFmtId="164" fontId="0" fillId="0" borderId="22" xfId="0" applyNumberFormat="1" applyBorder="1"/>
    <xf numFmtId="0" fontId="0" fillId="0" borderId="25" xfId="0" applyBorder="1"/>
    <xf numFmtId="0" fontId="0" fillId="0" borderId="29" xfId="0" applyBorder="1"/>
    <xf numFmtId="0" fontId="0" fillId="0" borderId="22" xfId="0" applyBorder="1"/>
    <xf numFmtId="232" fontId="2" fillId="0" borderId="0" xfId="0" applyNumberFormat="1" applyFont="1"/>
    <xf numFmtId="232" fontId="1" fillId="0" borderId="0" xfId="0" applyNumberFormat="1" applyFont="1"/>
    <xf numFmtId="0" fontId="0" fillId="0" borderId="31" xfId="0" applyBorder="1"/>
    <xf numFmtId="232" fontId="0" fillId="0" borderId="0" xfId="0" applyNumberFormat="1"/>
    <xf numFmtId="0" fontId="2" fillId="0" borderId="33" xfId="0" applyFont="1" applyBorder="1"/>
    <xf numFmtId="0" fontId="2" fillId="0" borderId="30" xfId="0" applyFont="1" applyBorder="1"/>
    <xf numFmtId="37" fontId="0" fillId="0" borderId="31" xfId="0" applyNumberFormat="1" applyBorder="1"/>
    <xf numFmtId="37" fontId="0" fillId="0" borderId="22" xfId="0" applyNumberFormat="1" applyBorder="1"/>
    <xf numFmtId="37" fontId="2" fillId="0" borderId="22" xfId="0" applyNumberFormat="1" applyFont="1" applyBorder="1"/>
    <xf numFmtId="37" fontId="1" fillId="0" borderId="22" xfId="0" applyNumberFormat="1" applyFont="1" applyBorder="1"/>
    <xf numFmtId="3" fontId="60" fillId="0" borderId="0" xfId="0" applyNumberFormat="1" applyFont="1"/>
    <xf numFmtId="3" fontId="60" fillId="0" borderId="22" xfId="0" applyNumberFormat="1" applyFont="1" applyBorder="1"/>
    <xf numFmtId="199" fontId="0" fillId="0" borderId="0" xfId="0" applyNumberFormat="1"/>
    <xf numFmtId="232" fontId="1" fillId="0" borderId="31" xfId="0" applyNumberFormat="1" applyFont="1" applyBorder="1"/>
    <xf numFmtId="232" fontId="1" fillId="0" borderId="22" xfId="0" applyNumberFormat="1" applyFont="1" applyBorder="1"/>
    <xf numFmtId="0" fontId="0" fillId="0" borderId="32" xfId="0" applyBorder="1"/>
    <xf numFmtId="164" fontId="2" fillId="0" borderId="31" xfId="0" applyNumberFormat="1" applyFont="1" applyBorder="1"/>
    <xf numFmtId="164" fontId="2" fillId="0" borderId="22" xfId="0" applyNumberFormat="1" applyFont="1" applyBorder="1"/>
    <xf numFmtId="230" fontId="0" fillId="0" borderId="0" xfId="0" applyNumberFormat="1"/>
    <xf numFmtId="230" fontId="0" fillId="0" borderId="31" xfId="0" applyNumberFormat="1" applyBorder="1"/>
    <xf numFmtId="230" fontId="0" fillId="0" borderId="22" xfId="0" applyNumberFormat="1" applyBorder="1"/>
    <xf numFmtId="232" fontId="1" fillId="0" borderId="33" xfId="0" applyNumberFormat="1" applyFont="1" applyBorder="1"/>
    <xf numFmtId="232" fontId="1" fillId="0" borderId="30" xfId="0" applyNumberFormat="1" applyFont="1" applyBorder="1"/>
    <xf numFmtId="232" fontId="1" fillId="0" borderId="28" xfId="0" applyNumberFormat="1" applyFont="1" applyBorder="1"/>
    <xf numFmtId="230" fontId="0" fillId="0" borderId="25" xfId="0" applyNumberFormat="1" applyBorder="1"/>
    <xf numFmtId="230" fontId="0" fillId="0" borderId="32" xfId="0" applyNumberFormat="1" applyBorder="1"/>
    <xf numFmtId="230" fontId="0" fillId="0" borderId="29" xfId="0" applyNumberFormat="1" applyBorder="1"/>
    <xf numFmtId="0" fontId="89" fillId="0" borderId="33" xfId="0" applyFont="1" applyBorder="1"/>
    <xf numFmtId="0" fontId="0" fillId="0" borderId="31" xfId="0" applyBorder="1" applyAlignment="1">
      <alignment horizontal="left" indent="1"/>
    </xf>
    <xf numFmtId="0" fontId="63" fillId="0" borderId="31" xfId="0" applyFont="1" applyBorder="1"/>
    <xf numFmtId="0" fontId="0" fillId="0" borderId="31" xfId="0" applyBorder="1" applyAlignment="1">
      <alignment horizontal="left" indent="2"/>
    </xf>
    <xf numFmtId="0" fontId="63" fillId="0" borderId="32" xfId="0" applyFont="1" applyBorder="1"/>
    <xf numFmtId="0" fontId="63" fillId="0" borderId="31" xfId="0" applyFont="1" applyBorder="1" applyAlignment="1">
      <alignment horizontal="left" indent="1"/>
    </xf>
    <xf numFmtId="0" fontId="0" fillId="0" borderId="33" xfId="0" applyBorder="1"/>
    <xf numFmtId="220" fontId="60" fillId="0" borderId="30" xfId="0" applyNumberFormat="1" applyFont="1" applyBorder="1"/>
    <xf numFmtId="221" fontId="60" fillId="0" borderId="30" xfId="0" applyNumberFormat="1" applyFont="1" applyBorder="1"/>
    <xf numFmtId="221" fontId="60" fillId="0" borderId="28" xfId="0" applyNumberFormat="1" applyFont="1" applyBorder="1"/>
    <xf numFmtId="0" fontId="64" fillId="0" borderId="31" xfId="0" applyFont="1" applyBorder="1"/>
    <xf numFmtId="222" fontId="62" fillId="0" borderId="22" xfId="0" applyNumberFormat="1" applyFont="1" applyBorder="1"/>
    <xf numFmtId="0" fontId="60" fillId="0" borderId="34" xfId="0" applyFont="1" applyBorder="1"/>
    <xf numFmtId="0" fontId="2" fillId="0" borderId="35" xfId="0" applyFont="1" applyBorder="1"/>
    <xf numFmtId="193" fontId="82" fillId="0" borderId="0" xfId="0" applyNumberFormat="1" applyFont="1"/>
    <xf numFmtId="10" fontId="82" fillId="0" borderId="0" xfId="0" applyNumberFormat="1" applyFont="1"/>
    <xf numFmtId="10" fontId="82" fillId="0" borderId="22" xfId="0" applyNumberFormat="1" applyFont="1" applyBorder="1"/>
    <xf numFmtId="9" fontId="0" fillId="0" borderId="31" xfId="0" applyNumberFormat="1" applyBorder="1"/>
    <xf numFmtId="9" fontId="0" fillId="0" borderId="0" xfId="0" applyNumberFormat="1"/>
    <xf numFmtId="9" fontId="0" fillId="0" borderId="22" xfId="0" applyNumberFormat="1" applyBorder="1"/>
    <xf numFmtId="9" fontId="2" fillId="0" borderId="0" xfId="0" applyNumberFormat="1" applyFont="1"/>
    <xf numFmtId="9" fontId="2" fillId="0" borderId="22" xfId="0" applyNumberFormat="1" applyFont="1" applyBorder="1"/>
    <xf numFmtId="37" fontId="82" fillId="0" borderId="0" xfId="0" applyNumberFormat="1" applyFont="1"/>
    <xf numFmtId="0" fontId="0" fillId="0" borderId="8" xfId="0" applyBorder="1"/>
    <xf numFmtId="7" fontId="0" fillId="0" borderId="8" xfId="0" applyNumberFormat="1" applyBorder="1"/>
    <xf numFmtId="0" fontId="90" fillId="0" borderId="38" xfId="0" applyFont="1" applyBorder="1" applyAlignment="1">
      <alignment readingOrder="1"/>
    </xf>
    <xf numFmtId="0" fontId="90" fillId="0" borderId="39" xfId="0" applyFont="1" applyBorder="1" applyAlignment="1">
      <alignment readingOrder="1"/>
    </xf>
    <xf numFmtId="0" fontId="90" fillId="0" borderId="41" xfId="0" applyFont="1" applyBorder="1" applyAlignment="1">
      <alignment readingOrder="1"/>
    </xf>
    <xf numFmtId="0" fontId="90" fillId="40" borderId="39" xfId="0" applyFont="1" applyFill="1" applyBorder="1" applyAlignment="1">
      <alignment readingOrder="1"/>
    </xf>
    <xf numFmtId="0" fontId="92" fillId="0" borderId="39" xfId="0" applyFont="1" applyBorder="1" applyAlignment="1">
      <alignment readingOrder="1"/>
    </xf>
    <xf numFmtId="0" fontId="93" fillId="41" borderId="36" xfId="0" applyFont="1" applyFill="1" applyBorder="1" applyAlignment="1">
      <alignment readingOrder="1"/>
    </xf>
    <xf numFmtId="0" fontId="93" fillId="41" borderId="37" xfId="0" applyFont="1" applyFill="1" applyBorder="1" applyAlignment="1">
      <alignment readingOrder="1"/>
    </xf>
    <xf numFmtId="0" fontId="93" fillId="41" borderId="40" xfId="0" applyFont="1" applyFill="1" applyBorder="1" applyAlignment="1">
      <alignment readingOrder="1"/>
    </xf>
    <xf numFmtId="0" fontId="0" fillId="39" borderId="0" xfId="0" applyFill="1"/>
    <xf numFmtId="0" fontId="94" fillId="0" borderId="0" xfId="0" applyFont="1"/>
    <xf numFmtId="0" fontId="91" fillId="0" borderId="0" xfId="0" applyFont="1" applyAlignment="1">
      <alignment readingOrder="1"/>
    </xf>
    <xf numFmtId="0" fontId="97" fillId="0" borderId="0" xfId="210"/>
    <xf numFmtId="39" fontId="0" fillId="0" borderId="0" xfId="0" applyNumberFormat="1"/>
    <xf numFmtId="164" fontId="98" fillId="0" borderId="0" xfId="0" applyNumberFormat="1" applyFont="1"/>
    <xf numFmtId="37" fontId="98" fillId="0" borderId="0" xfId="0" applyNumberFormat="1" applyFont="1"/>
    <xf numFmtId="37" fontId="99" fillId="0" borderId="0" xfId="0" applyNumberFormat="1" applyFont="1"/>
    <xf numFmtId="2" fontId="0" fillId="0" borderId="8" xfId="0" applyNumberFormat="1" applyBorder="1"/>
    <xf numFmtId="230" fontId="98" fillId="37" borderId="0" xfId="0" applyNumberFormat="1" applyFont="1" applyFill="1"/>
    <xf numFmtId="7" fontId="98" fillId="0" borderId="8" xfId="0" applyNumberFormat="1" applyFont="1" applyBorder="1"/>
    <xf numFmtId="7" fontId="99" fillId="0" borderId="0" xfId="0" applyNumberFormat="1" applyFont="1"/>
    <xf numFmtId="39" fontId="0" fillId="0" borderId="8" xfId="0" applyNumberFormat="1" applyBorder="1"/>
  </cellXfs>
  <cellStyles count="211">
    <cellStyle name="$" xfId="1" xr:uid="{00000000-0005-0000-0000-000000000000}"/>
    <cellStyle name="$m" xfId="2" xr:uid="{00000000-0005-0000-0000-000001000000}"/>
    <cellStyle name="$q" xfId="3" xr:uid="{00000000-0005-0000-0000-000002000000}"/>
    <cellStyle name="$q*" xfId="4" xr:uid="{00000000-0005-0000-0000-000003000000}"/>
    <cellStyle name="$qA" xfId="5" xr:uid="{00000000-0005-0000-0000-000004000000}"/>
    <cellStyle name="$qRange" xfId="6" xr:uid="{00000000-0005-0000-0000-000005000000}"/>
    <cellStyle name="%" xfId="7" xr:uid="{00000000-0005-0000-0000-000006000000}"/>
    <cellStyle name="******************************************" xfId="8" xr:uid="{00000000-0005-0000-0000-000007000000}"/>
    <cellStyle name="10Q" xfId="184" xr:uid="{00000000-0005-0000-0000-000008000000}"/>
    <cellStyle name="2 Decimal Places_MA Software Comps - List_AccretionDilution OTGS v16.xls Chart 1" xfId="9" xr:uid="{00000000-0005-0000-0000-000009000000}"/>
    <cellStyle name="20% - Accent1 2" xfId="10" xr:uid="{00000000-0005-0000-0000-00000A000000}"/>
    <cellStyle name="20% - Accent2 2" xfId="11" xr:uid="{00000000-0005-0000-0000-00000B000000}"/>
    <cellStyle name="20% - Accent3 2" xfId="12" xr:uid="{00000000-0005-0000-0000-00000C000000}"/>
    <cellStyle name="20% - Accent4 2" xfId="13" xr:uid="{00000000-0005-0000-0000-00000D000000}"/>
    <cellStyle name="20% - Accent5 2" xfId="14" xr:uid="{00000000-0005-0000-0000-00000E000000}"/>
    <cellStyle name="20% - Accent6 2" xfId="15" xr:uid="{00000000-0005-0000-0000-00000F000000}"/>
    <cellStyle name="40% - Accent1 2" xfId="16" xr:uid="{00000000-0005-0000-0000-000010000000}"/>
    <cellStyle name="40% - Accent2 2" xfId="17" xr:uid="{00000000-0005-0000-0000-000011000000}"/>
    <cellStyle name="40% - Accent3 2" xfId="18" xr:uid="{00000000-0005-0000-0000-000012000000}"/>
    <cellStyle name="40% - Accent4 2" xfId="19" xr:uid="{00000000-0005-0000-0000-000013000000}"/>
    <cellStyle name="40% - Accent5 2" xfId="20" xr:uid="{00000000-0005-0000-0000-000014000000}"/>
    <cellStyle name="40% - Accent6 2" xfId="21" xr:uid="{00000000-0005-0000-0000-000015000000}"/>
    <cellStyle name="60% - Accent1 2" xfId="22" xr:uid="{00000000-0005-0000-0000-000016000000}"/>
    <cellStyle name="60% - Accent2 2" xfId="23" xr:uid="{00000000-0005-0000-0000-000017000000}"/>
    <cellStyle name="60% - Accent3 2" xfId="24" xr:uid="{00000000-0005-0000-0000-000018000000}"/>
    <cellStyle name="60% - Accent4 2" xfId="25" xr:uid="{00000000-0005-0000-0000-000019000000}"/>
    <cellStyle name="60% - Accent5 2" xfId="26" xr:uid="{00000000-0005-0000-0000-00001A000000}"/>
    <cellStyle name="60% - Accent6 2" xfId="27" xr:uid="{00000000-0005-0000-0000-00001B000000}"/>
    <cellStyle name="Accent1 2" xfId="28" xr:uid="{00000000-0005-0000-0000-00001C000000}"/>
    <cellStyle name="Accent2 2" xfId="29" xr:uid="{00000000-0005-0000-0000-00001D000000}"/>
    <cellStyle name="Accent3 2" xfId="30" xr:uid="{00000000-0005-0000-0000-00001E000000}"/>
    <cellStyle name="Accent4 2" xfId="31" xr:uid="{00000000-0005-0000-0000-00001F000000}"/>
    <cellStyle name="Accent5 2" xfId="32" xr:uid="{00000000-0005-0000-0000-000020000000}"/>
    <cellStyle name="Accent6 2" xfId="33" xr:uid="{00000000-0005-0000-0000-000021000000}"/>
    <cellStyle name="AFE" xfId="34" xr:uid="{00000000-0005-0000-0000-000022000000}"/>
    <cellStyle name="Bad 2" xfId="35" xr:uid="{00000000-0005-0000-0000-000023000000}"/>
    <cellStyle name="Balance" xfId="36" xr:uid="{00000000-0005-0000-0000-000024000000}"/>
    <cellStyle name="BalanceSheet" xfId="37" xr:uid="{00000000-0005-0000-0000-000025000000}"/>
    <cellStyle name="Body_$Numeric" xfId="38" xr:uid="{00000000-0005-0000-0000-000026000000}"/>
    <cellStyle name="Bold Header" xfId="39" xr:uid="{00000000-0005-0000-0000-000027000000}"/>
    <cellStyle name="Calculation 2" xfId="40" xr:uid="{00000000-0005-0000-0000-000028000000}"/>
    <cellStyle name="CashFlow" xfId="41" xr:uid="{00000000-0005-0000-0000-000029000000}"/>
    <cellStyle name="ChartingText" xfId="185" xr:uid="{00000000-0005-0000-0000-00002A000000}"/>
    <cellStyle name="Check" xfId="42" xr:uid="{00000000-0005-0000-0000-00002B000000}"/>
    <cellStyle name="Check Cell 2" xfId="43" xr:uid="{00000000-0005-0000-0000-00002C000000}"/>
    <cellStyle name="CHPTop" xfId="186" xr:uid="{00000000-0005-0000-0000-00002D000000}"/>
    <cellStyle name="ColHeading" xfId="44" xr:uid="{00000000-0005-0000-0000-00002E000000}"/>
    <cellStyle name="colheadleft" xfId="45" xr:uid="{00000000-0005-0000-0000-00002F000000}"/>
    <cellStyle name="colheadright" xfId="46" xr:uid="{00000000-0005-0000-0000-000030000000}"/>
    <cellStyle name="ColumnHeaderNormal" xfId="187" xr:uid="{00000000-0005-0000-0000-000031000000}"/>
    <cellStyle name="Comma 2" xfId="47" xr:uid="{00000000-0005-0000-0000-000032000000}"/>
    <cellStyle name="Comma0" xfId="48" xr:uid="{00000000-0005-0000-0000-000033000000}"/>
    <cellStyle name="Comma2" xfId="49" xr:uid="{00000000-0005-0000-0000-000034000000}"/>
    <cellStyle name="Company" xfId="50" xr:uid="{00000000-0005-0000-0000-000035000000}"/>
    <cellStyle name="CurRatio" xfId="51" xr:uid="{00000000-0005-0000-0000-000036000000}"/>
    <cellStyle name="Currency--" xfId="188" xr:uid="{00000000-0005-0000-0000-000037000000}"/>
    <cellStyle name="Currency [1]" xfId="52" xr:uid="{00000000-0005-0000-0000-000038000000}"/>
    <cellStyle name="Currency [2]" xfId="53" xr:uid="{00000000-0005-0000-0000-000039000000}"/>
    <cellStyle name="Currency0" xfId="54" xr:uid="{00000000-0005-0000-0000-00003A000000}"/>
    <cellStyle name="Currency2" xfId="55" xr:uid="{00000000-0005-0000-0000-00003B000000}"/>
    <cellStyle name="d_yield" xfId="56" xr:uid="{00000000-0005-0000-0000-00003C000000}"/>
    <cellStyle name="d_yield_CW's MAKER MODEL" xfId="57" xr:uid="{00000000-0005-0000-0000-00003D000000}"/>
    <cellStyle name="d_yield_valuation" xfId="58" xr:uid="{00000000-0005-0000-0000-00003E000000}"/>
    <cellStyle name="Date [d-mmm-yy]" xfId="59" xr:uid="{00000000-0005-0000-0000-00003F000000}"/>
    <cellStyle name="Date [mm-dd-yy]" xfId="189" xr:uid="{00000000-0005-0000-0000-000040000000}"/>
    <cellStyle name="Date [mm-dd-yyyy]" xfId="190" xr:uid="{00000000-0005-0000-0000-000041000000}"/>
    <cellStyle name="Date [mm-d-yyyy]" xfId="191" xr:uid="{00000000-0005-0000-0000-000042000000}"/>
    <cellStyle name="Date [mmm-d-yyyy]" xfId="60" xr:uid="{00000000-0005-0000-0000-000043000000}"/>
    <cellStyle name="Date [mmm-yyyy]" xfId="61" xr:uid="{00000000-0005-0000-0000-000044000000}"/>
    <cellStyle name="Dates" xfId="62" xr:uid="{00000000-0005-0000-0000-000045000000}"/>
    <cellStyle name="DateYear" xfId="63" xr:uid="{00000000-0005-0000-0000-000046000000}"/>
    <cellStyle name="Dezimal_Capital expenditure planning FY 2000" xfId="64" xr:uid="{00000000-0005-0000-0000-000047000000}"/>
    <cellStyle name="Dollar" xfId="65" xr:uid="{00000000-0005-0000-0000-000048000000}"/>
    <cellStyle name="Dollars" xfId="66" xr:uid="{00000000-0005-0000-0000-000049000000}"/>
    <cellStyle name="DollarWhole" xfId="67" xr:uid="{00000000-0005-0000-0000-00004A000000}"/>
    <cellStyle name="eps" xfId="68" xr:uid="{00000000-0005-0000-0000-00004B000000}"/>
    <cellStyle name="eps$" xfId="69" xr:uid="{00000000-0005-0000-0000-00004C000000}"/>
    <cellStyle name="eps$A" xfId="70" xr:uid="{00000000-0005-0000-0000-00004D000000}"/>
    <cellStyle name="eps$E" xfId="71" xr:uid="{00000000-0005-0000-0000-00004E000000}"/>
    <cellStyle name="epsA" xfId="72" xr:uid="{00000000-0005-0000-0000-00004F000000}"/>
    <cellStyle name="EPSActual" xfId="73" xr:uid="{00000000-0005-0000-0000-000050000000}"/>
    <cellStyle name="epsE" xfId="74" xr:uid="{00000000-0005-0000-0000-000051000000}"/>
    <cellStyle name="EPSEstimate" xfId="75" xr:uid="{00000000-0005-0000-0000-000052000000}"/>
    <cellStyle name="Euro" xfId="76" xr:uid="{00000000-0005-0000-0000-000053000000}"/>
    <cellStyle name="Explanatory Text 2" xfId="77" xr:uid="{00000000-0005-0000-0000-000054000000}"/>
    <cellStyle name="fy_eps$" xfId="78" xr:uid="{00000000-0005-0000-0000-000055000000}"/>
    <cellStyle name="g_rate" xfId="79" xr:uid="{00000000-0005-0000-0000-000056000000}"/>
    <cellStyle name="g_rate_CW's MAKER MODEL" xfId="80" xr:uid="{00000000-0005-0000-0000-000057000000}"/>
    <cellStyle name="g_rate_valuation" xfId="81" xr:uid="{00000000-0005-0000-0000-000058000000}"/>
    <cellStyle name="General" xfId="82" xr:uid="{00000000-0005-0000-0000-000059000000}"/>
    <cellStyle name="Good 2" xfId="83" xr:uid="{00000000-0005-0000-0000-00005A000000}"/>
    <cellStyle name="GrowthRate" xfId="84" xr:uid="{00000000-0005-0000-0000-00005B000000}"/>
    <cellStyle name="GrowthSeq" xfId="85" xr:uid="{00000000-0005-0000-0000-00005C000000}"/>
    <cellStyle name="Hard Number Input" xfId="86" xr:uid="{00000000-0005-0000-0000-00005D000000}"/>
    <cellStyle name="Heading 1 2" xfId="87" xr:uid="{00000000-0005-0000-0000-00005E000000}"/>
    <cellStyle name="Heading 2 2" xfId="88" xr:uid="{00000000-0005-0000-0000-00005F000000}"/>
    <cellStyle name="Heading 3 2" xfId="89" xr:uid="{00000000-0005-0000-0000-000060000000}"/>
    <cellStyle name="Heading 4 2" xfId="90" xr:uid="{00000000-0005-0000-0000-000061000000}"/>
    <cellStyle name="Historical Number" xfId="91" xr:uid="{00000000-0005-0000-0000-000062000000}"/>
    <cellStyle name="Hyperlink" xfId="210" builtinId="8"/>
    <cellStyle name="iemens" xfId="92" xr:uid="{00000000-0005-0000-0000-000064000000}"/>
    <cellStyle name="Income" xfId="93" xr:uid="{00000000-0005-0000-0000-000065000000}"/>
    <cellStyle name="IncomeStatement" xfId="94" xr:uid="{00000000-0005-0000-0000-000066000000}"/>
    <cellStyle name="Input 2" xfId="95" xr:uid="{00000000-0005-0000-0000-000067000000}"/>
    <cellStyle name="Input Fixed [0]" xfId="96" xr:uid="{00000000-0005-0000-0000-000068000000}"/>
    <cellStyle name="Integer" xfId="97" xr:uid="{00000000-0005-0000-0000-000069000000}"/>
    <cellStyle name="Inverse Header" xfId="98" xr:uid="{00000000-0005-0000-0000-00006A000000}"/>
    <cellStyle name="Invisible" xfId="192" xr:uid="{00000000-0005-0000-0000-00006B000000}"/>
    <cellStyle name="Item" xfId="99" xr:uid="{00000000-0005-0000-0000-00006C000000}"/>
    <cellStyle name="ItemTypeClass" xfId="100" xr:uid="{00000000-0005-0000-0000-00006D000000}"/>
    <cellStyle name="Linked Cell 2" xfId="101" xr:uid="{00000000-0005-0000-0000-00006E000000}"/>
    <cellStyle name="LTGR" xfId="102" xr:uid="{00000000-0005-0000-0000-00006F000000}"/>
    <cellStyle name="m" xfId="103" xr:uid="{00000000-0005-0000-0000-000070000000}"/>
    <cellStyle name="m$" xfId="104" xr:uid="{00000000-0005-0000-0000-000071000000}"/>
    <cellStyle name="m/d/yy" xfId="193" xr:uid="{00000000-0005-0000-0000-000072000000}"/>
    <cellStyle name="m_CW's MAKER MODEL" xfId="105" xr:uid="{00000000-0005-0000-0000-000073000000}"/>
    <cellStyle name="m_valuation" xfId="106" xr:uid="{00000000-0005-0000-0000-000074000000}"/>
    <cellStyle name="Margin" xfId="107" xr:uid="{00000000-0005-0000-0000-000075000000}"/>
    <cellStyle name="Margins" xfId="108" xr:uid="{00000000-0005-0000-0000-000076000000}"/>
    <cellStyle name="mm" xfId="109" xr:uid="{00000000-0005-0000-0000-000077000000}"/>
    <cellStyle name="Multiple" xfId="110" xr:uid="{00000000-0005-0000-0000-000078000000}"/>
    <cellStyle name="MyStyle" xfId="194" xr:uid="{00000000-0005-0000-0000-000079000000}"/>
    <cellStyle name="NA is zero" xfId="111" xr:uid="{00000000-0005-0000-0000-00007A000000}"/>
    <cellStyle name="Neutral 2" xfId="112" xr:uid="{00000000-0005-0000-0000-00007B000000}"/>
    <cellStyle name="NewColumnHeaderNormal" xfId="195" xr:uid="{00000000-0005-0000-0000-00007C000000}"/>
    <cellStyle name="NewSectionHeaderNormal" xfId="196" xr:uid="{00000000-0005-0000-0000-00007D000000}"/>
    <cellStyle name="NewTitleNormal" xfId="197" xr:uid="{00000000-0005-0000-0000-00007E000000}"/>
    <cellStyle name="Normal" xfId="0" builtinId="0"/>
    <cellStyle name="Normal--" xfId="198" xr:uid="{00000000-0005-0000-0000-000080000000}"/>
    <cellStyle name="Normal [0]" xfId="113" xr:uid="{00000000-0005-0000-0000-000081000000}"/>
    <cellStyle name="Normal [1]" xfId="114" xr:uid="{00000000-0005-0000-0000-000082000000}"/>
    <cellStyle name="Normal [2]" xfId="115" xr:uid="{00000000-0005-0000-0000-000083000000}"/>
    <cellStyle name="Normal [3]" xfId="116" xr:uid="{00000000-0005-0000-0000-000084000000}"/>
    <cellStyle name="Normal 2" xfId="117" xr:uid="{00000000-0005-0000-0000-000085000000}"/>
    <cellStyle name="Normal 5" xfId="209" xr:uid="{C9811929-597F-49B5-A416-98A0D5968178}"/>
    <cellStyle name="Normal Bold" xfId="118" xr:uid="{00000000-0005-0000-0000-000086000000}"/>
    <cellStyle name="Normal Pct" xfId="119" xr:uid="{00000000-0005-0000-0000-000087000000}"/>
    <cellStyle name="NormalX" xfId="120" xr:uid="{00000000-0005-0000-0000-000088000000}"/>
    <cellStyle name="Note 2" xfId="121" xr:uid="{00000000-0005-0000-0000-000089000000}"/>
    <cellStyle name="NPPESalesPct" xfId="122" xr:uid="{00000000-0005-0000-0000-00008A000000}"/>
    <cellStyle name="Number" xfId="123" xr:uid="{00000000-0005-0000-0000-00008B000000}"/>
    <cellStyle name="NWI%S" xfId="124" xr:uid="{00000000-0005-0000-0000-00008C000000}"/>
    <cellStyle name="Output 2" xfId="125" xr:uid="{00000000-0005-0000-0000-00008D000000}"/>
    <cellStyle name="P/E" xfId="126" xr:uid="{00000000-0005-0000-0000-00008E000000}"/>
    <cellStyle name="Palatino" xfId="127" xr:uid="{00000000-0005-0000-0000-00008F000000}"/>
    <cellStyle name="pc1" xfId="128" xr:uid="{00000000-0005-0000-0000-000090000000}"/>
    <cellStyle name="pe" xfId="129" xr:uid="{00000000-0005-0000-0000-000091000000}"/>
    <cellStyle name="PE/LTGR" xfId="130" xr:uid="{00000000-0005-0000-0000-000092000000}"/>
    <cellStyle name="PEG" xfId="131" xr:uid="{00000000-0005-0000-0000-000093000000}"/>
    <cellStyle name="Percent [0]" xfId="132" xr:uid="{00000000-0005-0000-0000-000094000000}"/>
    <cellStyle name="Percent [1]" xfId="133" xr:uid="{00000000-0005-0000-0000-000095000000}"/>
    <cellStyle name="Percent [2]" xfId="134" xr:uid="{00000000-0005-0000-0000-000096000000}"/>
    <cellStyle name="PercentChange" xfId="135" xr:uid="{00000000-0005-0000-0000-000097000000}"/>
    <cellStyle name="PercentPresentation" xfId="136" xr:uid="{00000000-0005-0000-0000-000098000000}"/>
    <cellStyle name="PerShare" xfId="137" xr:uid="{00000000-0005-0000-0000-000099000000}"/>
    <cellStyle name="POPS" xfId="138" xr:uid="{00000000-0005-0000-0000-00009A000000}"/>
    <cellStyle name="Presentation" xfId="139" xr:uid="{00000000-0005-0000-0000-00009B000000}"/>
    <cellStyle name="PresentationZero" xfId="140" xr:uid="{00000000-0005-0000-0000-00009C000000}"/>
    <cellStyle name="price" xfId="141" xr:uid="{00000000-0005-0000-0000-00009D000000}"/>
    <cellStyle name="q" xfId="142" xr:uid="{00000000-0005-0000-0000-00009E000000}"/>
    <cellStyle name="q_CW's MAKER MODEL" xfId="143" xr:uid="{00000000-0005-0000-0000-00009F000000}"/>
    <cellStyle name="QEPS-h" xfId="144" xr:uid="{00000000-0005-0000-0000-0000A0000000}"/>
    <cellStyle name="QEPS-H1" xfId="145" xr:uid="{00000000-0005-0000-0000-0000A1000000}"/>
    <cellStyle name="qRange" xfId="146" xr:uid="{00000000-0005-0000-0000-0000A2000000}"/>
    <cellStyle name="range" xfId="147" xr:uid="{00000000-0005-0000-0000-0000A3000000}"/>
    <cellStyle name="RatioX" xfId="148" xr:uid="{00000000-0005-0000-0000-0000A4000000}"/>
    <cellStyle name="Red font" xfId="199" xr:uid="{00000000-0005-0000-0000-0000A5000000}"/>
    <cellStyle name="Report" xfId="149" xr:uid="{00000000-0005-0000-0000-0000A6000000}"/>
    <cellStyle name="Right" xfId="150" xr:uid="{00000000-0005-0000-0000-0000A7000000}"/>
    <cellStyle name="SectionHeaderNormal" xfId="200" xr:uid="{00000000-0005-0000-0000-0000A8000000}"/>
    <cellStyle name="SectionHeading" xfId="151" xr:uid="{00000000-0005-0000-0000-0000A9000000}"/>
    <cellStyle name="Shares" xfId="152" xr:uid="{00000000-0005-0000-0000-0000AA000000}"/>
    <cellStyle name="StockPrice" xfId="153" xr:uid="{00000000-0005-0000-0000-0000AB000000}"/>
    <cellStyle name="Style 1" xfId="154" xr:uid="{00000000-0005-0000-0000-0000AC000000}"/>
    <cellStyle name="Style 21" xfId="155" xr:uid="{00000000-0005-0000-0000-0000AD000000}"/>
    <cellStyle name="Style 22" xfId="156" xr:uid="{00000000-0005-0000-0000-0000AE000000}"/>
    <cellStyle name="Style 23" xfId="157" xr:uid="{00000000-0005-0000-0000-0000AF000000}"/>
    <cellStyle name="Style 24" xfId="158" xr:uid="{00000000-0005-0000-0000-0000B0000000}"/>
    <cellStyle name="Style 26" xfId="159" xr:uid="{00000000-0005-0000-0000-0000B1000000}"/>
    <cellStyle name="Style 27" xfId="160" xr:uid="{00000000-0005-0000-0000-0000B2000000}"/>
    <cellStyle name="Style 34" xfId="161" xr:uid="{00000000-0005-0000-0000-0000B3000000}"/>
    <cellStyle name="Style 37" xfId="162" xr:uid="{00000000-0005-0000-0000-0000B4000000}"/>
    <cellStyle name="Style 63" xfId="163" xr:uid="{00000000-0005-0000-0000-0000B5000000}"/>
    <cellStyle name="SubDollar" xfId="164" xr:uid="{00000000-0005-0000-0000-0000B6000000}"/>
    <cellStyle name="SubGrowth" xfId="165" xr:uid="{00000000-0005-0000-0000-0000B7000000}"/>
    <cellStyle name="SubGrowthRate" xfId="166" xr:uid="{00000000-0005-0000-0000-0000B8000000}"/>
    <cellStyle name="SubMargins" xfId="167" xr:uid="{00000000-0005-0000-0000-0000B9000000}"/>
    <cellStyle name="SubPenetration" xfId="168" xr:uid="{00000000-0005-0000-0000-0000BA000000}"/>
    <cellStyle name="Subscribers" xfId="169" xr:uid="{00000000-0005-0000-0000-0000BB000000}"/>
    <cellStyle name="SubScript" xfId="201" xr:uid="{00000000-0005-0000-0000-0000BC000000}"/>
    <cellStyle name="SubVariable" xfId="170" xr:uid="{00000000-0005-0000-0000-0000BD000000}"/>
    <cellStyle name="SuperScript" xfId="202" xr:uid="{00000000-0005-0000-0000-0000BE000000}"/>
    <cellStyle name="tcn" xfId="171" xr:uid="{00000000-0005-0000-0000-0000BF000000}"/>
    <cellStyle name="TextBold" xfId="203" xr:uid="{00000000-0005-0000-0000-0000C0000000}"/>
    <cellStyle name="TextItalic" xfId="204" xr:uid="{00000000-0005-0000-0000-0000C1000000}"/>
    <cellStyle name="TextNormal" xfId="205" xr:uid="{00000000-0005-0000-0000-0000C2000000}"/>
    <cellStyle name="Times" xfId="206" xr:uid="{00000000-0005-0000-0000-0000C3000000}"/>
    <cellStyle name="Times [1]" xfId="172" xr:uid="{00000000-0005-0000-0000-0000C4000000}"/>
    <cellStyle name="Times [2]" xfId="173" xr:uid="{00000000-0005-0000-0000-0000C5000000}"/>
    <cellStyle name="Title 2" xfId="174" xr:uid="{00000000-0005-0000-0000-0000C6000000}"/>
    <cellStyle name="title2" xfId="175" xr:uid="{00000000-0005-0000-0000-0000C7000000}"/>
    <cellStyle name="TitleII" xfId="176" xr:uid="{00000000-0005-0000-0000-0000C8000000}"/>
    <cellStyle name="TitleNormal" xfId="207" xr:uid="{00000000-0005-0000-0000-0000C9000000}"/>
    <cellStyle name="Titles" xfId="177" xr:uid="{00000000-0005-0000-0000-0000CA000000}"/>
    <cellStyle name="TitleSub" xfId="178" xr:uid="{00000000-0005-0000-0000-0000CB000000}"/>
    <cellStyle name="tn" xfId="179" xr:uid="{00000000-0005-0000-0000-0000CC000000}"/>
    <cellStyle name="Total 2" xfId="180" xr:uid="{00000000-0005-0000-0000-0000CD000000}"/>
    <cellStyle name="Warning Text 2" xfId="181" xr:uid="{00000000-0005-0000-0000-0000CE000000}"/>
    <cellStyle name="WholeNumber" xfId="182" xr:uid="{00000000-0005-0000-0000-0000CF000000}"/>
    <cellStyle name="Year&quot;E&quot;" xfId="183" xr:uid="{00000000-0005-0000-0000-0000D0000000}"/>
    <cellStyle name="Years" xfId="208" xr:uid="{00000000-0005-0000-0000-0000D1000000}"/>
  </cellStyles>
  <dxfs count="9">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s>
  <tableStyles count="0" defaultTableStyle="TableStyleMedium2" defaultPivotStyle="PivotStyleLight16"/>
  <colors>
    <mruColors>
      <color rgb="FF808080"/>
      <color rgb="FF008000"/>
      <color rgb="FF0000FF"/>
      <color rgb="FFFFFF99"/>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28575</xdr:colOff>
      <xdr:row>1</xdr:row>
      <xdr:rowOff>133350</xdr:rowOff>
    </xdr:from>
    <xdr:to>
      <xdr:col>7</xdr:col>
      <xdr:colOff>342900</xdr:colOff>
      <xdr:row>6</xdr:row>
      <xdr:rowOff>176841</xdr:rowOff>
    </xdr:to>
    <xdr:pic>
      <xdr:nvPicPr>
        <xdr:cNvPr id="3" name="Picture 2">
          <a:extLst>
            <a:ext uri="{FF2B5EF4-FFF2-40B4-BE49-F238E27FC236}">
              <a16:creationId xmlns:a16="http://schemas.microsoft.com/office/drawing/2014/main" id="{141EE3FD-358F-4723-A4AC-54C631056098}"/>
            </a:ext>
          </a:extLst>
        </xdr:cNvPr>
        <xdr:cNvPicPr>
          <a:picLocks noChangeAspect="1"/>
        </xdr:cNvPicPr>
      </xdr:nvPicPr>
      <xdr:blipFill>
        <a:blip xmlns:r="http://schemas.openxmlformats.org/officeDocument/2006/relationships" r:embed="rId1"/>
        <a:stretch>
          <a:fillRect/>
        </a:stretch>
      </xdr:blipFill>
      <xdr:spPr>
        <a:xfrm>
          <a:off x="4286250" y="323850"/>
          <a:ext cx="2143125" cy="9959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152400</xdr:rowOff>
    </xdr:from>
    <xdr:to>
      <xdr:col>17</xdr:col>
      <xdr:colOff>520700</xdr:colOff>
      <xdr:row>38</xdr:row>
      <xdr:rowOff>101600</xdr:rowOff>
    </xdr:to>
    <xdr:sp macro="" textlink="">
      <xdr:nvSpPr>
        <xdr:cNvPr id="1398" name="TextBox 1">
          <a:extLst>
            <a:ext uri="{FF2B5EF4-FFF2-40B4-BE49-F238E27FC236}">
              <a16:creationId xmlns:a16="http://schemas.microsoft.com/office/drawing/2014/main" id="{76C2AC3B-B9B0-FB91-E6D0-4F56B7E648B4}"/>
            </a:ext>
          </a:extLst>
        </xdr:cNvPr>
        <xdr:cNvSpPr txBox="1"/>
      </xdr:nvSpPr>
      <xdr:spPr>
        <a:xfrm>
          <a:off x="825500" y="342900"/>
          <a:ext cx="13728700" cy="699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Investment Thesis: BUY</a:t>
          </a:r>
        </a:p>
        <a:p>
          <a:endParaRPr lang="en-US" sz="2000"/>
        </a:p>
        <a:p>
          <a:r>
            <a:rPr lang="en-US" sz="2000"/>
            <a:t>Nike, Inc. stands as a formidable athleisure and footwear brand, showcasing a diverse product line encompassing footwear, apparel, equipment, and accessories. Despite operating in a fiercely competitive market, Nike maintains its position as the preeminent apparel brand in the sportswear industry. The company's resilience is evident through its robust digital presence and a consistent in-store customer experience, showcasing its adaptability and sustained brand strength.</a:t>
          </a:r>
        </a:p>
        <a:p>
          <a:endParaRPr lang="en-US" sz="2000"/>
        </a:p>
        <a:p>
          <a:r>
            <a:rPr lang="en-US" sz="2000"/>
            <a:t>The challenges posed by the global pandemic in recent years serve as a testament to Nike's ability to navigate adversity. While facing a dip in share prices in May 2020, the company successfully orchestrated a recovery, with shares rebounding to approximately $170 by November 2021. It's noteworthy that external factors, such as the 2023 recession, likely contributed to the temporary decline, given the economic implications, particularly the impact of high inflation on consumer spending.</a:t>
          </a:r>
        </a:p>
        <a:p>
          <a:endParaRPr lang="en-US" sz="2000"/>
        </a:p>
        <a:p>
          <a:r>
            <a:rPr lang="en-US" sz="2000"/>
            <a:t>Despite these challenges, the current share price of $107 demonstrates a resilience and stability that aligns with Nike's historical performance. We view this as an opportune entry point for investors, with a buy recommendation and a price target of $123.76. This projection represents an estimated upside of approximately 13% from the current price of $107.82.</a:t>
          </a:r>
        </a:p>
        <a:p>
          <a:endParaRPr lang="en-US" sz="2000"/>
        </a:p>
        <a:p>
          <a:r>
            <a:rPr lang="en-US" sz="2000"/>
            <a:t>Furthermore, our confidence in Nike's future trajectory stems from the company's ongoing commitment to research and development. This dedication positions Nike for a steady and gradual growth trajectory. As such, we anticipate that the company will continue to navigate challenges effectively, making it an attractive investment with promising long-term potential.</a:t>
          </a:r>
          <a:endParaRPr lang="en-US" sz="1400"/>
        </a:p>
        <a:p>
          <a:r>
            <a:rPr lang="en-US" sz="1400"/>
            <a:t> </a:t>
          </a:r>
        </a:p>
      </xdr:txBody>
    </xdr:sp>
    <xdr:clientData/>
  </xdr:twoCellAnchor>
</xdr:wsDr>
</file>

<file path=xl/persons/person.xml><?xml version="1.0" encoding="utf-8"?>
<personList xmlns="http://schemas.microsoft.com/office/spreadsheetml/2018/threadedcomments" xmlns:x="http://schemas.openxmlformats.org/spreadsheetml/2006/main">
  <person displayName="Saanika Kadam" id="{150CF26D-3A7F-459F-99E9-5D84149379F2}" userId="S::sak340@scarletmail.rutgers.edu::ab9c6573-72f3-431a-8528-dcbba6c53e91" providerId="AD"/>
  <person displayName="Savani Vaidya" id="{676AB88A-E40E-4D41-A247-03C1130651CD}" userId="S::sav114@scarletmail.rutgers.edu::675cbeed-c884-4259-8539-4aa180549d21"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7" dT="2023-11-16T03:01:32.54" personId="{676AB88A-E40E-4D41-A247-03C1130651CD}" id="{5AE88DCB-5254-694C-9517-9908D7C74CE8}">
    <text>NKE, 10-K, 5/31/2020, pg 56
Consolidated statements of income. Cost of sales is "$21,162" in millions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C27" dT="2023-11-16T04:42:49.24" personId="{150CF26D-3A7F-459F-99E9-5D84149379F2}" id="{DF207008-0A69-4800-AAF7-B9CEE87D22D2}">
    <text>S&amp;P 500 Earnings and Estimate Report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hyperlink" Target="https://finance.yahoo.com/quote/SKX/key-statistics/" TargetMode="External"/><Relationship Id="rId2" Type="http://schemas.openxmlformats.org/officeDocument/2006/relationships/hyperlink" Target="https://finance.yahoo.com/quote/ADS.DE/key-statistics/" TargetMode="External"/><Relationship Id="rId1" Type="http://schemas.openxmlformats.org/officeDocument/2006/relationships/hyperlink" Target="https://finance.yahoo.com/quote/LULU/key-statistics/" TargetMode="External"/><Relationship Id="rId4" Type="http://schemas.openxmlformats.org/officeDocument/2006/relationships/hyperlink" Target="https://finance.yahoo.com/quote/PUM.DE/key-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FBBFB-F417-4FC8-9A9D-D83C12F8ACD2}">
  <sheetPr>
    <tabColor theme="5"/>
  </sheetPr>
  <dimension ref="B12:N12"/>
  <sheetViews>
    <sheetView showGridLines="0" zoomScale="52" zoomScaleNormal="100" workbookViewId="0"/>
  </sheetViews>
  <sheetFormatPr defaultColWidth="8.85546875" defaultRowHeight="14.45"/>
  <cols>
    <col min="1" max="1" width="2.7109375" customWidth="1"/>
    <col min="3" max="3" width="42.85546875" customWidth="1"/>
  </cols>
  <sheetData>
    <row r="12" spans="2:14" ht="46.9" thickBot="1">
      <c r="B12" s="54" t="s">
        <v>0</v>
      </c>
      <c r="C12" s="55"/>
      <c r="D12" s="55"/>
      <c r="E12" s="55"/>
      <c r="F12" s="55"/>
      <c r="G12" s="55"/>
      <c r="H12" s="55"/>
      <c r="I12" s="55"/>
      <c r="J12" s="55"/>
      <c r="K12" s="55"/>
      <c r="L12" s="55"/>
      <c r="M12" s="55"/>
      <c r="N12" s="55"/>
    </row>
  </sheetData>
  <sheetProtection sheet="1" objects="1" scenarios="1"/>
  <pageMargins left="0.7" right="0.7" top="0.75" bottom="0.75" header="0.3" footer="0.3"/>
  <pageSetup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6DAC9-2BCD-4BBA-A90E-FAA8AB4EE888}">
  <dimension ref="A1"/>
  <sheetViews>
    <sheetView workbookViewId="0">
      <selection activeCell="W19" sqref="W19"/>
    </sheetView>
  </sheetViews>
  <sheetFormatPr defaultColWidth="11.42578125" defaultRowHeight="14.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A80C8-570E-464F-A256-71894405A004}">
  <dimension ref="A1:R75"/>
  <sheetViews>
    <sheetView showGridLines="0" tabSelected="1" zoomScale="78" zoomScaleNormal="78" workbookViewId="0">
      <selection activeCell="D25" sqref="D25"/>
    </sheetView>
  </sheetViews>
  <sheetFormatPr defaultColWidth="8.85546875" defaultRowHeight="14.45"/>
  <cols>
    <col min="1" max="2" width="1.7109375" customWidth="1"/>
    <col min="3" max="3" width="27.42578125" customWidth="1"/>
    <col min="6" max="6" width="11.42578125" customWidth="1"/>
    <col min="7" max="11" width="10.85546875" customWidth="1"/>
    <col min="12" max="12" width="2.42578125" customWidth="1"/>
    <col min="14" max="14" width="29.42578125" bestFit="1" customWidth="1"/>
    <col min="15" max="15" width="12.42578125" bestFit="1" customWidth="1"/>
    <col min="16" max="16" width="10" bestFit="1" customWidth="1"/>
  </cols>
  <sheetData>
    <row r="1" spans="1:16" ht="15" thickBot="1">
      <c r="A1" s="52"/>
    </row>
    <row r="2" spans="1:16" ht="21.6" thickBot="1">
      <c r="C2" s="51" t="s">
        <v>1</v>
      </c>
      <c r="D2" s="31" t="s">
        <v>2</v>
      </c>
      <c r="E2" s="31"/>
      <c r="F2" s="31"/>
      <c r="G2" s="31"/>
      <c r="H2" s="31"/>
      <c r="I2" s="31"/>
      <c r="J2" s="31"/>
      <c r="K2" s="31"/>
    </row>
    <row r="3" spans="1:16">
      <c r="C3" s="10" t="s">
        <v>3</v>
      </c>
    </row>
    <row r="4" spans="1:16">
      <c r="C4" s="10"/>
    </row>
    <row r="5" spans="1:16" ht="14.45" customHeight="1">
      <c r="C5" s="106" t="s">
        <v>4</v>
      </c>
      <c r="D5" s="107">
        <v>2021</v>
      </c>
      <c r="E5" s="107">
        <v>2022</v>
      </c>
      <c r="F5" s="107">
        <v>2023</v>
      </c>
      <c r="G5" s="108">
        <v>2019</v>
      </c>
      <c r="H5" s="108">
        <v>2020</v>
      </c>
      <c r="I5" s="108">
        <v>2021</v>
      </c>
      <c r="J5" s="108">
        <v>2022</v>
      </c>
      <c r="K5" s="109">
        <v>2023</v>
      </c>
    </row>
    <row r="6" spans="1:16" ht="14.45" customHeight="1">
      <c r="C6" s="110" t="s">
        <v>5</v>
      </c>
      <c r="D6" s="63">
        <v>44347</v>
      </c>
      <c r="E6" s="63">
        <v>44712</v>
      </c>
      <c r="F6" s="63">
        <v>45077</v>
      </c>
      <c r="G6" s="63">
        <v>45443</v>
      </c>
      <c r="H6" s="63">
        <v>45808</v>
      </c>
      <c r="I6" s="63">
        <v>46173</v>
      </c>
      <c r="J6" s="63">
        <v>46538</v>
      </c>
      <c r="K6" s="63">
        <v>46904</v>
      </c>
    </row>
    <row r="7" spans="1:16" ht="14.45" customHeight="1">
      <c r="C7" s="112" t="s">
        <v>6</v>
      </c>
      <c r="D7" s="64"/>
      <c r="E7" s="64"/>
      <c r="F7" s="64"/>
      <c r="G7" s="64"/>
      <c r="H7" s="64"/>
      <c r="I7" s="64"/>
      <c r="J7" s="64"/>
      <c r="K7" s="113"/>
    </row>
    <row r="8" spans="1:16" ht="14.45" customHeight="1">
      <c r="C8" s="100" t="s">
        <v>7</v>
      </c>
      <c r="D8" s="1"/>
      <c r="E8" s="1"/>
      <c r="F8" s="1"/>
      <c r="G8" s="77"/>
      <c r="H8" s="78"/>
      <c r="I8" s="78"/>
      <c r="J8" s="78"/>
      <c r="K8" s="65"/>
    </row>
    <row r="9" spans="1:16" ht="14.45" customHeight="1">
      <c r="C9" s="101" t="s">
        <v>8</v>
      </c>
      <c r="D9" s="3">
        <v>28021</v>
      </c>
      <c r="E9" s="3">
        <v>29143</v>
      </c>
      <c r="F9" s="3">
        <v>33135</v>
      </c>
      <c r="G9" s="79">
        <f>G25*G36</f>
        <v>0</v>
      </c>
      <c r="H9" s="16">
        <f>H25*H36</f>
        <v>0</v>
      </c>
      <c r="I9" s="16">
        <f>I25*I36</f>
        <v>0</v>
      </c>
      <c r="J9" s="16">
        <f>J25*J36</f>
        <v>0</v>
      </c>
      <c r="K9" s="80">
        <f>K25*K36</f>
        <v>0</v>
      </c>
      <c r="P9" s="66"/>
    </row>
    <row r="10" spans="1:16" ht="14.45" customHeight="1">
      <c r="C10" s="101"/>
      <c r="D10" s="3"/>
      <c r="E10" s="114">
        <f>E9/D9-1</f>
        <v>4.004139752328606E-2</v>
      </c>
      <c r="F10" s="114">
        <f>F9/E9-1</f>
        <v>0.13697972068764375</v>
      </c>
      <c r="G10" s="79"/>
      <c r="H10" s="16"/>
      <c r="I10" s="16"/>
      <c r="J10" s="16"/>
      <c r="K10" s="80"/>
      <c r="P10" s="66"/>
    </row>
    <row r="11" spans="1:16" ht="14.45" customHeight="1">
      <c r="C11" s="101" t="s">
        <v>9</v>
      </c>
      <c r="D11" s="3">
        <v>12865</v>
      </c>
      <c r="E11" s="3">
        <v>13567</v>
      </c>
      <c r="F11" s="3">
        <v>13843</v>
      </c>
      <c r="G11" s="79">
        <f>G26*G37</f>
        <v>0</v>
      </c>
      <c r="H11" s="16">
        <f>H26*H37</f>
        <v>0</v>
      </c>
      <c r="I11" s="16">
        <f>I26*I37</f>
        <v>0</v>
      </c>
      <c r="J11" s="16">
        <f>J26*J37</f>
        <v>0</v>
      </c>
      <c r="K11" s="80">
        <f>K26*K37</f>
        <v>0</v>
      </c>
      <c r="O11" s="28"/>
      <c r="P11" s="28"/>
    </row>
    <row r="12" spans="1:16" ht="14.45" customHeight="1">
      <c r="C12" s="101"/>
      <c r="D12" s="3"/>
      <c r="E12" s="115">
        <f>E11/D11-1</f>
        <v>5.4566653711620727E-2</v>
      </c>
      <c r="F12" s="115">
        <f>F11/E11-1</f>
        <v>2.0343480504164457E-2</v>
      </c>
      <c r="G12" s="79"/>
      <c r="H12" s="16"/>
      <c r="I12" s="16"/>
      <c r="J12" s="16"/>
      <c r="K12" s="80"/>
      <c r="O12" s="28"/>
      <c r="P12" s="28"/>
    </row>
    <row r="13" spans="1:16" ht="14.45" customHeight="1">
      <c r="C13" s="101" t="s">
        <v>10</v>
      </c>
      <c r="D13" s="3">
        <v>1382</v>
      </c>
      <c r="E13" s="3">
        <v>1624</v>
      </c>
      <c r="F13" s="3">
        <v>1727</v>
      </c>
      <c r="G13" s="79">
        <f>G27*G38</f>
        <v>0</v>
      </c>
      <c r="H13" s="16">
        <f>H27*H38</f>
        <v>0</v>
      </c>
      <c r="I13" s="16">
        <f>I27*I38</f>
        <v>0</v>
      </c>
      <c r="J13" s="16">
        <f>J27*J38</f>
        <v>0</v>
      </c>
      <c r="K13" s="80">
        <f>K27*K38</f>
        <v>0</v>
      </c>
      <c r="O13" s="28"/>
      <c r="P13" s="28"/>
    </row>
    <row r="14" spans="1:16" ht="14.45" customHeight="1">
      <c r="C14" s="101"/>
      <c r="D14" s="3"/>
      <c r="E14" s="115">
        <f>E13/D13-1</f>
        <v>0.17510853835021711</v>
      </c>
      <c r="F14" s="115">
        <f>F13/E13-1</f>
        <v>6.3423645320197064E-2</v>
      </c>
      <c r="H14" s="16"/>
      <c r="I14" s="16"/>
      <c r="J14" s="16"/>
      <c r="K14" s="80"/>
      <c r="O14" s="28"/>
      <c r="P14" s="28"/>
    </row>
    <row r="15" spans="1:16" ht="14.45" customHeight="1">
      <c r="C15" s="101" t="s">
        <v>11</v>
      </c>
      <c r="D15" s="3">
        <v>25</v>
      </c>
      <c r="E15" s="3">
        <v>102</v>
      </c>
      <c r="F15" s="72">
        <v>58</v>
      </c>
      <c r="H15" s="16"/>
      <c r="I15" s="16"/>
      <c r="J15" s="16"/>
      <c r="K15" s="80"/>
      <c r="O15" s="28"/>
      <c r="P15" s="28"/>
    </row>
    <row r="16" spans="1:16" ht="14.45" customHeight="1">
      <c r="C16" s="101"/>
      <c r="D16" s="3"/>
      <c r="E16" s="115">
        <f>E15/D15-1</f>
        <v>3.08</v>
      </c>
      <c r="F16" s="115">
        <f>F15/E15-1</f>
        <v>-0.43137254901960786</v>
      </c>
      <c r="H16" s="16"/>
      <c r="I16" s="16"/>
      <c r="J16" s="16"/>
      <c r="K16" s="80"/>
      <c r="O16" s="28"/>
      <c r="P16" s="28"/>
    </row>
    <row r="17" spans="3:18" ht="14.45" customHeight="1">
      <c r="C17" s="101" t="s">
        <v>12</v>
      </c>
      <c r="D17" s="3">
        <v>2205</v>
      </c>
      <c r="E17" s="3">
        <v>2346</v>
      </c>
      <c r="F17" s="72">
        <v>2427</v>
      </c>
      <c r="H17" s="16"/>
      <c r="I17" s="16"/>
      <c r="J17" s="16"/>
      <c r="K17" s="80"/>
      <c r="O17" s="28"/>
      <c r="P17" s="28"/>
    </row>
    <row r="18" spans="3:18" ht="14.45" customHeight="1">
      <c r="C18" s="101"/>
      <c r="D18" s="3"/>
      <c r="E18" s="115">
        <f>E17/D17-1</f>
        <v>6.3945578231292544E-2</v>
      </c>
      <c r="F18" s="115">
        <f>F17/E17-1</f>
        <v>3.4526854219948833E-2</v>
      </c>
      <c r="H18" s="16"/>
      <c r="I18" s="16"/>
      <c r="J18" s="16"/>
      <c r="K18" s="80"/>
      <c r="O18" s="28"/>
      <c r="P18" s="28"/>
    </row>
    <row r="19" spans="3:18" ht="14.45" customHeight="1">
      <c r="C19" s="101" t="s">
        <v>13</v>
      </c>
      <c r="D19" s="3">
        <v>40</v>
      </c>
      <c r="E19" s="3">
        <v>-72</v>
      </c>
      <c r="F19" s="72">
        <v>27</v>
      </c>
      <c r="H19" s="16"/>
      <c r="I19" s="16"/>
      <c r="J19" s="16"/>
      <c r="K19" s="80"/>
      <c r="O19" s="28"/>
      <c r="P19" s="28"/>
    </row>
    <row r="20" spans="3:18" ht="14.45" customHeight="1">
      <c r="C20" s="101"/>
      <c r="D20" s="67"/>
      <c r="E20" s="115">
        <f>E19/D19-1</f>
        <v>-2.8</v>
      </c>
      <c r="F20" s="115">
        <f>F19/E19-1</f>
        <v>-1.375</v>
      </c>
      <c r="G20" s="13"/>
      <c r="H20" s="13"/>
      <c r="I20" s="13"/>
      <c r="J20" s="13"/>
      <c r="K20" s="81"/>
      <c r="O20" s="28"/>
      <c r="P20" s="28"/>
    </row>
    <row r="21" spans="3:18" ht="14.45" customHeight="1">
      <c r="C21" s="102" t="s">
        <v>14</v>
      </c>
      <c r="D21" s="83">
        <f>SUM(D9:D19)</f>
        <v>44538</v>
      </c>
      <c r="E21" s="83">
        <f t="shared" ref="E21:F21" si="0">SUM(E9:E19)</f>
        <v>46713.413662167819</v>
      </c>
      <c r="F21" s="83">
        <f t="shared" si="0"/>
        <v>51216.823901151707</v>
      </c>
      <c r="G21" s="83">
        <f>SUM(G9:G13)</f>
        <v>0</v>
      </c>
      <c r="H21" s="83">
        <f>SUM(H9:H13)</f>
        <v>0</v>
      </c>
      <c r="I21" s="83">
        <f>SUM(I9:I13)</f>
        <v>0</v>
      </c>
      <c r="J21" s="83">
        <f>SUM(J9:J13)</f>
        <v>0</v>
      </c>
      <c r="K21" s="84">
        <f>SUM(K9:K13)</f>
        <v>0</v>
      </c>
      <c r="Q21" s="28"/>
    </row>
    <row r="22" spans="3:18" ht="14.45" customHeight="1">
      <c r="C22" s="103" t="s">
        <v>15</v>
      </c>
      <c r="E22" s="68">
        <f>E21/D21-1</f>
        <v>4.884399079814572E-2</v>
      </c>
      <c r="F22" s="69">
        <f t="shared" ref="F22:K22" si="1">F21/E21-1</f>
        <v>9.6405076956110003E-2</v>
      </c>
      <c r="G22" s="68">
        <f t="shared" si="1"/>
        <v>-1</v>
      </c>
      <c r="H22" s="68" t="e">
        <f t="shared" si="1"/>
        <v>#DIV/0!</v>
      </c>
      <c r="I22" s="68" t="e">
        <f t="shared" si="1"/>
        <v>#DIV/0!</v>
      </c>
      <c r="J22" s="68" t="e">
        <f t="shared" si="1"/>
        <v>#DIV/0!</v>
      </c>
      <c r="K22" s="69" t="e">
        <f t="shared" si="1"/>
        <v>#DIV/0!</v>
      </c>
      <c r="Q22" s="28"/>
    </row>
    <row r="23" spans="3:18" ht="14.45" customHeight="1">
      <c r="C23" s="103"/>
      <c r="E23" s="68"/>
      <c r="F23" s="69"/>
      <c r="G23" s="68"/>
      <c r="H23" s="68"/>
      <c r="I23" s="68"/>
      <c r="J23" s="68"/>
      <c r="K23" s="69"/>
    </row>
    <row r="24" spans="3:18" ht="14.45" customHeight="1">
      <c r="C24" s="104" t="s">
        <v>16</v>
      </c>
      <c r="D24" s="70"/>
      <c r="E24" s="70"/>
      <c r="F24" s="71"/>
      <c r="G24" s="70"/>
      <c r="H24" s="70"/>
      <c r="I24" s="70"/>
      <c r="J24" s="70"/>
      <c r="K24" s="71"/>
      <c r="Q24" s="28"/>
    </row>
    <row r="25" spans="3:18" ht="14.45" customHeight="1">
      <c r="C25" s="101" t="s">
        <v>8</v>
      </c>
      <c r="D25" s="3"/>
      <c r="E25" s="3"/>
      <c r="F25" s="82"/>
      <c r="G25" s="3"/>
      <c r="H25" s="3"/>
      <c r="I25" s="3"/>
      <c r="J25" s="3"/>
      <c r="K25" s="87"/>
      <c r="Q25" s="28"/>
      <c r="R25" s="28"/>
    </row>
    <row r="26" spans="3:18" ht="14.45" customHeight="1">
      <c r="C26" s="101" t="s">
        <v>9</v>
      </c>
      <c r="D26" s="3"/>
      <c r="E26" s="3"/>
      <c r="F26" s="82"/>
      <c r="G26" s="3"/>
      <c r="H26" s="3"/>
      <c r="I26" s="3"/>
      <c r="J26" s="3"/>
      <c r="K26" s="87"/>
      <c r="Q26" s="28"/>
    </row>
    <row r="27" spans="3:18" ht="14.45" customHeight="1">
      <c r="C27" s="101" t="s">
        <v>10</v>
      </c>
      <c r="D27" s="3"/>
      <c r="E27" s="3"/>
      <c r="F27" s="82"/>
      <c r="G27" s="3"/>
      <c r="H27" s="3"/>
      <c r="I27" s="3"/>
      <c r="J27" s="3"/>
      <c r="K27" s="87"/>
      <c r="Q27" s="28"/>
    </row>
    <row r="28" spans="3:18" ht="14.45" customHeight="1">
      <c r="C28" s="101" t="s">
        <v>11</v>
      </c>
      <c r="D28" s="3"/>
      <c r="E28" s="3"/>
      <c r="F28" s="82"/>
      <c r="G28" s="3"/>
      <c r="H28" s="3"/>
      <c r="I28" s="3"/>
      <c r="J28" s="3"/>
      <c r="K28" s="87"/>
      <c r="Q28" s="28"/>
    </row>
    <row r="29" spans="3:18" ht="14.45" customHeight="1">
      <c r="C29" s="101" t="s">
        <v>12</v>
      </c>
      <c r="D29" s="3"/>
      <c r="E29" s="3"/>
      <c r="F29" s="82"/>
      <c r="G29" s="3"/>
      <c r="H29" s="3"/>
      <c r="I29" s="3"/>
      <c r="J29" s="3"/>
      <c r="K29" s="87"/>
      <c r="Q29" s="28"/>
    </row>
    <row r="30" spans="3:18" ht="14.45" customHeight="1">
      <c r="C30" s="101" t="s">
        <v>13</v>
      </c>
      <c r="F30" s="72"/>
      <c r="K30" s="72"/>
      <c r="Q30" s="28"/>
    </row>
    <row r="31" spans="3:18" ht="14.45" customHeight="1">
      <c r="C31" s="101"/>
      <c r="F31" s="72"/>
      <c r="K31" s="72"/>
      <c r="Q31" s="28"/>
    </row>
    <row r="32" spans="3:18" ht="14.45" customHeight="1">
      <c r="C32" s="104" t="s">
        <v>17</v>
      </c>
      <c r="D32" s="70"/>
      <c r="E32" s="70"/>
      <c r="F32" s="71"/>
      <c r="G32" s="70"/>
      <c r="H32" s="70"/>
      <c r="I32" s="70"/>
      <c r="J32" s="70"/>
      <c r="K32" s="71"/>
      <c r="P32" s="28"/>
      <c r="Q32" s="28"/>
      <c r="R32" s="28"/>
    </row>
    <row r="33" spans="3:18" ht="14.45" customHeight="1">
      <c r="C33" s="101" t="s">
        <v>8</v>
      </c>
      <c r="K33" s="72"/>
      <c r="P33" s="28"/>
      <c r="Q33" s="28"/>
      <c r="R33" s="28"/>
    </row>
    <row r="34" spans="3:18" ht="14.45" customHeight="1">
      <c r="C34" s="101" t="s">
        <v>9</v>
      </c>
      <c r="K34" s="72"/>
      <c r="P34" s="28"/>
      <c r="Q34" s="28"/>
      <c r="R34" s="28"/>
    </row>
    <row r="35" spans="3:18" ht="14.45" customHeight="1">
      <c r="C35" s="101" t="s">
        <v>10</v>
      </c>
      <c r="K35" s="72"/>
      <c r="P35" s="28"/>
      <c r="Q35" s="28"/>
      <c r="R35" s="28"/>
    </row>
    <row r="36" spans="3:18" ht="14.45" customHeight="1">
      <c r="C36" s="101" t="s">
        <v>11</v>
      </c>
      <c r="D36" s="85" t="e">
        <f>D9/D25</f>
        <v>#DIV/0!</v>
      </c>
      <c r="E36" s="85" t="e">
        <f>E9/E25</f>
        <v>#DIV/0!</v>
      </c>
      <c r="F36" s="85" t="e">
        <f>F9/F25</f>
        <v>#DIV/0!</v>
      </c>
      <c r="G36" s="94"/>
      <c r="H36" s="95"/>
      <c r="I36" s="95"/>
      <c r="J36" s="95"/>
      <c r="K36" s="96"/>
      <c r="P36" s="28"/>
    </row>
    <row r="37" spans="3:18" ht="14.45" customHeight="1">
      <c r="C37" s="101" t="s">
        <v>12</v>
      </c>
      <c r="D37" s="85" t="e">
        <f>D11/D26</f>
        <v>#DIV/0!</v>
      </c>
      <c r="E37" s="85" t="e">
        <f>E11/E26</f>
        <v>#DIV/0!</v>
      </c>
      <c r="F37" s="85" t="e">
        <f>F11/F26</f>
        <v>#DIV/0!</v>
      </c>
      <c r="G37" s="86"/>
      <c r="H37" s="74"/>
      <c r="I37" s="74"/>
      <c r="J37" s="74"/>
      <c r="K37" s="87"/>
    </row>
    <row r="38" spans="3:18" ht="14.45" customHeight="1">
      <c r="C38" s="101" t="s">
        <v>13</v>
      </c>
      <c r="D38" s="85" t="e">
        <f>D13/D27</f>
        <v>#DIV/0!</v>
      </c>
      <c r="E38" s="85" t="e">
        <f>E13/E27</f>
        <v>#DIV/0!</v>
      </c>
      <c r="F38" s="85" t="e">
        <f>F13/F27</f>
        <v>#DIV/0!</v>
      </c>
      <c r="G38" s="86"/>
      <c r="H38" s="74"/>
      <c r="I38" s="74"/>
      <c r="J38" s="74"/>
      <c r="K38" s="87"/>
    </row>
    <row r="39" spans="3:18" ht="14.45" customHeight="1">
      <c r="C39" s="101"/>
      <c r="D39" s="73"/>
      <c r="E39" s="73"/>
      <c r="F39" s="73"/>
      <c r="G39" s="86"/>
      <c r="H39" s="74"/>
      <c r="I39" s="74"/>
      <c r="J39" s="74"/>
      <c r="K39" s="87"/>
    </row>
    <row r="40" spans="3:18" ht="14.45" customHeight="1">
      <c r="C40" s="104" t="s">
        <v>18</v>
      </c>
      <c r="D40" s="70"/>
      <c r="E40" s="70"/>
      <c r="F40" s="70"/>
      <c r="G40" s="88"/>
      <c r="H40" s="70"/>
      <c r="I40" s="70"/>
      <c r="J40" s="70"/>
      <c r="K40" s="71"/>
      <c r="P40" s="28"/>
    </row>
    <row r="41" spans="3:18" ht="14.45" customHeight="1">
      <c r="C41" s="101" t="s">
        <v>8</v>
      </c>
      <c r="G41" s="75"/>
      <c r="K41" s="72"/>
      <c r="P41" s="28"/>
    </row>
    <row r="42" spans="3:18" ht="14.45" customHeight="1">
      <c r="C42" s="101" t="s">
        <v>9</v>
      </c>
      <c r="G42" s="75"/>
      <c r="K42" s="72"/>
      <c r="P42" s="28"/>
    </row>
    <row r="43" spans="3:18" ht="14.45" customHeight="1">
      <c r="C43" s="101" t="s">
        <v>10</v>
      </c>
      <c r="G43" s="75"/>
      <c r="K43" s="72"/>
      <c r="P43" s="28"/>
    </row>
    <row r="44" spans="3:18" ht="14.45" customHeight="1">
      <c r="C44" s="101" t="s">
        <v>11</v>
      </c>
      <c r="D44" s="67"/>
      <c r="E44" s="19" t="e">
        <f>E25/D25-1</f>
        <v>#DIV/0!</v>
      </c>
      <c r="F44" s="19" t="e">
        <f>F25/E25-1</f>
        <v>#DIV/0!</v>
      </c>
      <c r="G44" s="89" t="e">
        <f>G25/F25-1</f>
        <v>#DIV/0!</v>
      </c>
      <c r="H44" s="19" t="e">
        <f>H25/G25-1</f>
        <v>#DIV/0!</v>
      </c>
      <c r="I44" s="19" t="e">
        <f>I25/H25-1</f>
        <v>#DIV/0!</v>
      </c>
      <c r="J44" s="19" t="e">
        <f>J25/I25-1</f>
        <v>#DIV/0!</v>
      </c>
      <c r="K44" s="90" t="e">
        <f>K25/J25-1</f>
        <v>#DIV/0!</v>
      </c>
    </row>
    <row r="45" spans="3:18" ht="14.45" customHeight="1">
      <c r="C45" s="101" t="s">
        <v>12</v>
      </c>
      <c r="E45" s="19" t="e">
        <f>E26/D26-1</f>
        <v>#DIV/0!</v>
      </c>
      <c r="F45" s="19" t="e">
        <f>F26/E26-1</f>
        <v>#DIV/0!</v>
      </c>
      <c r="G45" s="89" t="e">
        <f>G26/F26-1</f>
        <v>#DIV/0!</v>
      </c>
      <c r="H45" s="19" t="e">
        <f>H26/G26-1</f>
        <v>#DIV/0!</v>
      </c>
      <c r="I45" s="19" t="e">
        <f>I26/H26-1</f>
        <v>#DIV/0!</v>
      </c>
      <c r="J45" s="19" t="e">
        <f>J26/I26-1</f>
        <v>#DIV/0!</v>
      </c>
      <c r="K45" s="90" t="e">
        <f>K26/J26-1</f>
        <v>#DIV/0!</v>
      </c>
    </row>
    <row r="46" spans="3:18" ht="14.45" customHeight="1">
      <c r="C46" s="101" t="s">
        <v>13</v>
      </c>
      <c r="D46" s="67"/>
      <c r="E46" s="19" t="e">
        <f>E27/D27-1</f>
        <v>#DIV/0!</v>
      </c>
      <c r="F46" s="19" t="e">
        <f>F27/E27-1</f>
        <v>#DIV/0!</v>
      </c>
      <c r="G46" s="89" t="e">
        <f>G27/F27-1</f>
        <v>#DIV/0!</v>
      </c>
      <c r="H46" s="19" t="e">
        <f>H27/G27-1</f>
        <v>#DIV/0!</v>
      </c>
      <c r="I46" s="19" t="e">
        <f>I27/H27-1</f>
        <v>#DIV/0!</v>
      </c>
      <c r="J46" s="19" t="e">
        <f>J27/I27-1</f>
        <v>#DIV/0!</v>
      </c>
      <c r="K46" s="90" t="e">
        <f>K27/J27-1</f>
        <v>#DIV/0!</v>
      </c>
    </row>
    <row r="47" spans="3:18" ht="14.45" customHeight="1">
      <c r="C47" s="103"/>
      <c r="G47" s="75"/>
      <c r="K47" s="72"/>
      <c r="P47" s="28"/>
    </row>
    <row r="48" spans="3:18" ht="14.45" customHeight="1">
      <c r="C48" s="102" t="s">
        <v>19</v>
      </c>
      <c r="G48" s="75"/>
      <c r="K48" s="72"/>
    </row>
    <row r="49" spans="3:11" ht="14.45" customHeight="1">
      <c r="C49" s="101" t="s">
        <v>8</v>
      </c>
      <c r="D49" s="76"/>
      <c r="E49" s="19" t="e">
        <f t="shared" ref="E49:K51" si="2">E36/D36-1</f>
        <v>#DIV/0!</v>
      </c>
      <c r="F49" s="19" t="e">
        <f t="shared" si="2"/>
        <v>#DIV/0!</v>
      </c>
      <c r="G49" s="89" t="e">
        <f t="shared" si="2"/>
        <v>#DIV/0!</v>
      </c>
      <c r="H49" s="19" t="e">
        <f>H36/G36-1</f>
        <v>#DIV/0!</v>
      </c>
      <c r="I49" s="19" t="e">
        <f t="shared" si="2"/>
        <v>#DIV/0!</v>
      </c>
      <c r="J49" s="19" t="e">
        <f t="shared" si="2"/>
        <v>#DIV/0!</v>
      </c>
      <c r="K49" s="90" t="e">
        <f t="shared" si="2"/>
        <v>#DIV/0!</v>
      </c>
    </row>
    <row r="50" spans="3:11" ht="14.45" customHeight="1">
      <c r="C50" s="101" t="s">
        <v>9</v>
      </c>
      <c r="D50" s="76"/>
      <c r="E50" s="19" t="e">
        <f t="shared" si="2"/>
        <v>#DIV/0!</v>
      </c>
      <c r="F50" s="19" t="e">
        <f t="shared" si="2"/>
        <v>#DIV/0!</v>
      </c>
      <c r="G50" s="89" t="e">
        <f t="shared" si="2"/>
        <v>#DIV/0!</v>
      </c>
      <c r="H50" s="19" t="e">
        <f t="shared" si="2"/>
        <v>#DIV/0!</v>
      </c>
      <c r="I50" s="19" t="e">
        <f t="shared" si="2"/>
        <v>#DIV/0!</v>
      </c>
      <c r="J50" s="19" t="e">
        <f t="shared" si="2"/>
        <v>#DIV/0!</v>
      </c>
      <c r="K50" s="90" t="e">
        <f t="shared" si="2"/>
        <v>#DIV/0!</v>
      </c>
    </row>
    <row r="51" spans="3:11" ht="14.45" customHeight="1">
      <c r="C51" s="101" t="s">
        <v>10</v>
      </c>
      <c r="D51" s="76"/>
      <c r="E51" s="19" t="e">
        <f t="shared" si="2"/>
        <v>#DIV/0!</v>
      </c>
      <c r="F51" s="19" t="e">
        <f t="shared" si="2"/>
        <v>#DIV/0!</v>
      </c>
      <c r="G51" s="89" t="e">
        <f t="shared" si="2"/>
        <v>#DIV/0!</v>
      </c>
      <c r="H51" s="19" t="e">
        <f t="shared" si="2"/>
        <v>#DIV/0!</v>
      </c>
      <c r="I51" s="19" t="e">
        <f t="shared" si="2"/>
        <v>#DIV/0!</v>
      </c>
      <c r="J51" s="19" t="e">
        <f t="shared" si="2"/>
        <v>#DIV/0!</v>
      </c>
      <c r="K51" s="90" t="e">
        <f t="shared" si="2"/>
        <v>#DIV/0!</v>
      </c>
    </row>
    <row r="52" spans="3:11" ht="14.45" customHeight="1">
      <c r="C52" s="101" t="s">
        <v>11</v>
      </c>
      <c r="D52" s="76"/>
      <c r="E52" s="19"/>
      <c r="F52" s="19"/>
      <c r="G52" s="89"/>
      <c r="H52" s="19"/>
      <c r="I52" s="19"/>
      <c r="J52" s="19"/>
      <c r="K52" s="90"/>
    </row>
    <row r="53" spans="3:11" ht="14.45" customHeight="1">
      <c r="C53" s="101" t="s">
        <v>12</v>
      </c>
      <c r="D53" s="76"/>
      <c r="E53" s="19"/>
      <c r="F53" s="19"/>
      <c r="G53" s="89"/>
      <c r="H53" s="19"/>
      <c r="I53" s="19"/>
      <c r="J53" s="19"/>
      <c r="K53" s="90"/>
    </row>
    <row r="54" spans="3:11" ht="14.45" customHeight="1">
      <c r="C54" s="101" t="s">
        <v>13</v>
      </c>
      <c r="D54" s="76"/>
      <c r="E54" s="19"/>
      <c r="F54" s="19"/>
      <c r="G54" s="89"/>
      <c r="H54" s="19"/>
      <c r="I54" s="19"/>
      <c r="J54" s="19"/>
      <c r="K54" s="90"/>
    </row>
    <row r="55" spans="3:11" ht="14.45" customHeight="1">
      <c r="C55" s="75"/>
      <c r="G55" s="75"/>
      <c r="K55" s="72"/>
    </row>
    <row r="56" spans="3:11" ht="14.45" customHeight="1">
      <c r="C56" s="105" t="s">
        <v>20</v>
      </c>
      <c r="G56" s="75"/>
      <c r="K56" s="72"/>
    </row>
    <row r="57" spans="3:11" ht="14.45" customHeight="1">
      <c r="C57" s="101" t="s">
        <v>8</v>
      </c>
      <c r="E57" s="91">
        <f t="shared" ref="E57:K57" si="3">E9/D9-1</f>
        <v>4.004139752328606E-2</v>
      </c>
      <c r="F57" s="91">
        <f t="shared" si="3"/>
        <v>0.13697972068764375</v>
      </c>
      <c r="G57" s="92">
        <f t="shared" si="3"/>
        <v>-1</v>
      </c>
      <c r="H57" s="91" t="e">
        <f t="shared" si="3"/>
        <v>#DIV/0!</v>
      </c>
      <c r="I57" s="91" t="e">
        <f t="shared" si="3"/>
        <v>#DIV/0!</v>
      </c>
      <c r="J57" s="91" t="e">
        <f t="shared" si="3"/>
        <v>#DIV/0!</v>
      </c>
      <c r="K57" s="93" t="e">
        <f t="shared" si="3"/>
        <v>#DIV/0!</v>
      </c>
    </row>
    <row r="58" spans="3:11" ht="14.45" customHeight="1">
      <c r="C58" s="101" t="s">
        <v>9</v>
      </c>
      <c r="E58" s="91">
        <f t="shared" ref="E58:K58" si="4">E11/D11-1</f>
        <v>5.4566653711620727E-2</v>
      </c>
      <c r="F58" s="91">
        <f t="shared" si="4"/>
        <v>2.0343480504164457E-2</v>
      </c>
      <c r="G58" s="92">
        <f t="shared" si="4"/>
        <v>-1</v>
      </c>
      <c r="H58" s="91" t="e">
        <f t="shared" si="4"/>
        <v>#DIV/0!</v>
      </c>
      <c r="I58" s="91" t="e">
        <f t="shared" si="4"/>
        <v>#DIV/0!</v>
      </c>
      <c r="J58" s="91" t="e">
        <f t="shared" si="4"/>
        <v>#DIV/0!</v>
      </c>
      <c r="K58" s="93" t="e">
        <f t="shared" si="4"/>
        <v>#DIV/0!</v>
      </c>
    </row>
    <row r="59" spans="3:11" ht="14.45" customHeight="1">
      <c r="C59" s="101" t="s">
        <v>10</v>
      </c>
      <c r="E59" s="91"/>
      <c r="F59" s="91"/>
      <c r="G59" s="92"/>
      <c r="H59" s="91"/>
      <c r="I59" s="91"/>
      <c r="J59" s="91"/>
      <c r="K59" s="93"/>
    </row>
    <row r="60" spans="3:11" ht="14.45" customHeight="1">
      <c r="C60" s="101" t="s">
        <v>11</v>
      </c>
      <c r="E60" s="91"/>
      <c r="F60" s="91"/>
      <c r="G60" s="92"/>
      <c r="H60" s="91"/>
      <c r="I60" s="91"/>
      <c r="J60" s="91"/>
      <c r="K60" s="93"/>
    </row>
    <row r="61" spans="3:11" ht="14.45" customHeight="1">
      <c r="C61" s="101" t="s">
        <v>12</v>
      </c>
      <c r="E61" s="91"/>
      <c r="F61" s="91"/>
      <c r="G61" s="92"/>
      <c r="H61" s="91"/>
      <c r="I61" s="91"/>
      <c r="J61" s="91"/>
      <c r="K61" s="93"/>
    </row>
    <row r="62" spans="3:11" ht="14.45" customHeight="1">
      <c r="C62" s="101" t="s">
        <v>13</v>
      </c>
      <c r="D62" s="70"/>
      <c r="E62" s="97">
        <f t="shared" ref="E62:K62" si="5">E13/D13-1</f>
        <v>0.17510853835021711</v>
      </c>
      <c r="F62" s="97">
        <f t="shared" si="5"/>
        <v>6.3423645320197064E-2</v>
      </c>
      <c r="G62" s="98">
        <f t="shared" si="5"/>
        <v>-1</v>
      </c>
      <c r="H62" s="97" t="e">
        <f t="shared" si="5"/>
        <v>#DIV/0!</v>
      </c>
      <c r="I62" s="97" t="e">
        <f t="shared" si="5"/>
        <v>#DIV/0!</v>
      </c>
      <c r="J62" s="97" t="e">
        <f t="shared" si="5"/>
        <v>#DIV/0!</v>
      </c>
      <c r="K62" s="99" t="e">
        <f t="shared" si="5"/>
        <v>#DIV/0!</v>
      </c>
    </row>
    <row r="68" ht="15" customHeight="1"/>
    <row r="70" ht="15" customHeight="1"/>
    <row r="71" ht="15" customHeight="1"/>
    <row r="73" ht="15" customHeight="1"/>
    <row r="74" ht="15" customHeight="1"/>
    <row r="75" ht="15.75" customHeight="1"/>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81D8C-DE8B-496D-969A-0D2C3E19C4DE}">
  <dimension ref="A1:R54"/>
  <sheetViews>
    <sheetView showGridLines="0" zoomScale="66" zoomScaleNormal="66" workbookViewId="0">
      <selection activeCell="AI5" sqref="AI5"/>
    </sheetView>
  </sheetViews>
  <sheetFormatPr defaultColWidth="8.85546875" defaultRowHeight="14.45"/>
  <cols>
    <col min="1" max="2" width="1.7109375" customWidth="1"/>
    <col min="3" max="3" width="27.42578125" customWidth="1"/>
    <col min="6" max="6" width="11.42578125" customWidth="1"/>
    <col min="7" max="11" width="10.85546875" customWidth="1"/>
    <col min="12" max="12" width="2.42578125" customWidth="1"/>
    <col min="14" max="14" width="29.42578125" bestFit="1" customWidth="1"/>
    <col min="15" max="15" width="12.42578125" bestFit="1" customWidth="1"/>
    <col min="16" max="16" width="10" bestFit="1" customWidth="1"/>
  </cols>
  <sheetData>
    <row r="1" spans="1:17" ht="15" thickBot="1">
      <c r="A1" s="52"/>
    </row>
    <row r="2" spans="1:17" ht="21.6" thickBot="1">
      <c r="C2" s="51" t="s">
        <v>1</v>
      </c>
      <c r="D2" s="31"/>
      <c r="E2" s="31"/>
      <c r="F2" s="31"/>
      <c r="G2" s="31"/>
      <c r="H2" s="31"/>
      <c r="I2" s="31"/>
      <c r="J2" s="31"/>
      <c r="K2" s="31"/>
    </row>
    <row r="3" spans="1:17">
      <c r="C3" s="10" t="s">
        <v>3</v>
      </c>
    </row>
    <row r="4" spans="1:17">
      <c r="C4" s="10"/>
    </row>
    <row r="5" spans="1:17" ht="14.45" customHeight="1">
      <c r="C5" s="106" t="s">
        <v>4</v>
      </c>
      <c r="D5" s="107">
        <v>2016</v>
      </c>
      <c r="E5" s="107">
        <v>2017</v>
      </c>
      <c r="F5" s="107">
        <v>2018</v>
      </c>
      <c r="G5" s="108">
        <v>2019</v>
      </c>
      <c r="H5" s="108">
        <v>2020</v>
      </c>
      <c r="I5" s="108">
        <v>2021</v>
      </c>
      <c r="J5" s="108">
        <v>2022</v>
      </c>
      <c r="K5" s="109">
        <v>2023</v>
      </c>
    </row>
    <row r="6" spans="1:17" ht="14.45" customHeight="1">
      <c r="C6" s="110" t="s">
        <v>5</v>
      </c>
      <c r="D6" s="63">
        <v>42643</v>
      </c>
      <c r="E6" s="63">
        <v>43008</v>
      </c>
      <c r="F6" s="63">
        <v>43372</v>
      </c>
      <c r="G6" s="63">
        <v>43738</v>
      </c>
      <c r="H6" s="63">
        <v>44104</v>
      </c>
      <c r="I6" s="63">
        <v>44469</v>
      </c>
      <c r="J6" s="63">
        <v>44834</v>
      </c>
      <c r="K6" s="111">
        <v>45199</v>
      </c>
    </row>
    <row r="7" spans="1:17" ht="14.45" customHeight="1">
      <c r="C7" s="112" t="s">
        <v>6</v>
      </c>
      <c r="D7" s="64"/>
      <c r="E7" s="64"/>
      <c r="F7" s="64"/>
      <c r="G7" s="64"/>
      <c r="H7" s="64"/>
      <c r="I7" s="64"/>
      <c r="J7" s="64"/>
      <c r="K7" s="113"/>
      <c r="L7" t="s">
        <v>21</v>
      </c>
    </row>
    <row r="8" spans="1:17" ht="14.45" customHeight="1">
      <c r="C8" s="100" t="s">
        <v>7</v>
      </c>
      <c r="D8" s="1"/>
      <c r="E8" s="1"/>
      <c r="F8" s="1"/>
      <c r="G8" s="77"/>
      <c r="H8" s="78"/>
      <c r="I8" s="78"/>
      <c r="J8" s="78"/>
      <c r="K8" s="65"/>
    </row>
    <row r="9" spans="1:17" ht="14.45" customHeight="1">
      <c r="C9" s="101" t="s">
        <v>8</v>
      </c>
      <c r="D9" s="3">
        <v>4367</v>
      </c>
      <c r="E9" s="3">
        <v>4813</v>
      </c>
      <c r="F9" s="3">
        <v>5666</v>
      </c>
      <c r="G9" s="79">
        <f>F9*(1+G10)</f>
        <v>6685.8799999999992</v>
      </c>
      <c r="H9" s="16">
        <f t="shared" ref="H9:K9" si="0">G9*(1+H10)</f>
        <v>8023.0559999999987</v>
      </c>
      <c r="I9" s="16">
        <f t="shared" si="0"/>
        <v>9226.5143999999982</v>
      </c>
      <c r="J9" s="16">
        <f t="shared" si="0"/>
        <v>10518.226416</v>
      </c>
      <c r="K9" s="80">
        <f t="shared" si="0"/>
        <v>11570.049057600001</v>
      </c>
      <c r="P9" s="66"/>
    </row>
    <row r="10" spans="1:17" ht="14.45" customHeight="1">
      <c r="C10" s="101"/>
      <c r="D10" s="3"/>
      <c r="E10" s="114">
        <f>E9/D9-1</f>
        <v>0.10212960842683771</v>
      </c>
      <c r="F10" s="114">
        <f>F9/E9-1</f>
        <v>0.17722833991273634</v>
      </c>
      <c r="G10" s="117">
        <v>0.18</v>
      </c>
      <c r="H10" s="118">
        <v>0.2</v>
      </c>
      <c r="I10" s="118">
        <v>0.15</v>
      </c>
      <c r="J10" s="118">
        <v>0.14000000000000001</v>
      </c>
      <c r="K10" s="119">
        <v>0.1</v>
      </c>
      <c r="L10" t="s">
        <v>22</v>
      </c>
      <c r="P10" s="66"/>
    </row>
    <row r="11" spans="1:17" ht="14.45" customHeight="1">
      <c r="C11" s="101" t="s">
        <v>9</v>
      </c>
      <c r="D11" s="3">
        <v>2060</v>
      </c>
      <c r="E11" s="3">
        <v>1920</v>
      </c>
      <c r="F11" s="3">
        <v>1880</v>
      </c>
      <c r="G11" s="79">
        <f t="shared" ref="G11:K11" si="1">F11*(1+G12)</f>
        <v>1786</v>
      </c>
      <c r="H11" s="16">
        <f t="shared" si="1"/>
        <v>1678.84</v>
      </c>
      <c r="I11" s="16">
        <f t="shared" si="1"/>
        <v>1678.84</v>
      </c>
      <c r="J11" s="16">
        <f t="shared" si="1"/>
        <v>1678.84</v>
      </c>
      <c r="K11" s="80">
        <f t="shared" si="1"/>
        <v>1678.84</v>
      </c>
      <c r="O11" s="28"/>
      <c r="P11" s="28"/>
    </row>
    <row r="12" spans="1:17" ht="14.45" customHeight="1">
      <c r="C12" s="101"/>
      <c r="D12" s="3"/>
      <c r="E12" s="115">
        <f>E11/D11-1</f>
        <v>-6.7961165048543659E-2</v>
      </c>
      <c r="F12" s="115">
        <f>F11/E11-1</f>
        <v>-2.083333333333337E-2</v>
      </c>
      <c r="G12" s="117">
        <v>-0.05</v>
      </c>
      <c r="H12" s="118">
        <v>-0.06</v>
      </c>
      <c r="I12" s="118"/>
      <c r="J12" s="118"/>
      <c r="K12" s="119"/>
      <c r="L12" t="s">
        <v>23</v>
      </c>
      <c r="O12" s="28"/>
      <c r="P12" s="28"/>
    </row>
    <row r="13" spans="1:17" ht="14.45" customHeight="1">
      <c r="C13" s="101" t="s">
        <v>24</v>
      </c>
      <c r="D13" s="3">
        <v>752</v>
      </c>
      <c r="E13" s="3">
        <v>784</v>
      </c>
      <c r="F13" s="3">
        <v>809</v>
      </c>
      <c r="G13" s="79">
        <f t="shared" ref="G13:K13" si="2">F13*(1+G14)</f>
        <v>857.54000000000008</v>
      </c>
      <c r="H13" s="16">
        <f t="shared" si="2"/>
        <v>857.54000000000008</v>
      </c>
      <c r="I13" s="16">
        <f t="shared" si="2"/>
        <v>857.54000000000008</v>
      </c>
      <c r="J13" s="16">
        <f t="shared" si="2"/>
        <v>857.54000000000008</v>
      </c>
      <c r="K13" s="80">
        <f t="shared" si="2"/>
        <v>857.54000000000008</v>
      </c>
      <c r="O13" s="28"/>
      <c r="P13" s="28"/>
    </row>
    <row r="14" spans="1:17" ht="14.45" customHeight="1">
      <c r="C14" s="101"/>
      <c r="D14" s="67"/>
      <c r="E14" s="115">
        <f>E13/D13-1</f>
        <v>4.2553191489361764E-2</v>
      </c>
      <c r="F14" s="116">
        <f>F13/E13-1</f>
        <v>3.1887755102040893E-2</v>
      </c>
      <c r="G14" s="120">
        <v>0.06</v>
      </c>
      <c r="H14" s="120"/>
      <c r="I14" s="120"/>
      <c r="J14" s="120"/>
      <c r="K14" s="121"/>
      <c r="L14" t="s">
        <v>23</v>
      </c>
      <c r="O14" s="28"/>
      <c r="P14" s="28"/>
    </row>
    <row r="15" spans="1:17" ht="14.45" customHeight="1">
      <c r="C15" s="102" t="s">
        <v>14</v>
      </c>
      <c r="D15" s="83">
        <f t="shared" ref="D15:K15" si="3">SUM(D9:D13)</f>
        <v>7179</v>
      </c>
      <c r="E15" s="83">
        <f t="shared" si="3"/>
        <v>7517.0341684433788</v>
      </c>
      <c r="F15" s="84">
        <f t="shared" si="3"/>
        <v>8355.1563950065793</v>
      </c>
      <c r="G15" s="83">
        <f t="shared" si="3"/>
        <v>9329.5500000000011</v>
      </c>
      <c r="H15" s="83">
        <f t="shared" si="3"/>
        <v>10559.575999999999</v>
      </c>
      <c r="I15" s="83">
        <f t="shared" si="3"/>
        <v>11763.044399999999</v>
      </c>
      <c r="J15" s="83">
        <f t="shared" si="3"/>
        <v>13054.746416</v>
      </c>
      <c r="K15" s="84">
        <f t="shared" si="3"/>
        <v>14106.529057600002</v>
      </c>
      <c r="Q15" s="28"/>
    </row>
    <row r="16" spans="1:17" ht="14.45" customHeight="1">
      <c r="C16" s="103" t="s">
        <v>15</v>
      </c>
      <c r="E16" s="68">
        <f>E15/D15-1</f>
        <v>4.7086525761718789E-2</v>
      </c>
      <c r="F16" s="69">
        <f t="shared" ref="F16:K16" si="4">F15/E15-1</f>
        <v>0.11149639708725156</v>
      </c>
      <c r="G16" s="68">
        <f t="shared" si="4"/>
        <v>0.11662182716002345</v>
      </c>
      <c r="H16" s="68">
        <f t="shared" si="4"/>
        <v>0.13184194307335262</v>
      </c>
      <c r="I16" s="68">
        <f t="shared" si="4"/>
        <v>0.11396938664961542</v>
      </c>
      <c r="J16" s="68">
        <f t="shared" si="4"/>
        <v>0.10981017941239779</v>
      </c>
      <c r="K16" s="69">
        <f t="shared" si="4"/>
        <v>8.0567067952459714E-2</v>
      </c>
      <c r="Q16" s="28"/>
    </row>
    <row r="17" spans="3:18" ht="14.45" customHeight="1">
      <c r="C17" s="103"/>
      <c r="E17" s="68"/>
      <c r="F17" s="69"/>
      <c r="G17" s="68"/>
      <c r="H17" s="68"/>
      <c r="I17" s="68"/>
      <c r="J17" s="68"/>
      <c r="K17" s="69"/>
    </row>
    <row r="18" spans="3:18" ht="14.45" customHeight="1">
      <c r="C18" s="104" t="s">
        <v>16</v>
      </c>
      <c r="D18" s="70"/>
      <c r="E18" s="70"/>
      <c r="F18" s="71"/>
      <c r="G18" s="70"/>
      <c r="H18" s="70"/>
      <c r="I18" s="70"/>
      <c r="J18" s="70"/>
      <c r="K18" s="71"/>
      <c r="Q18" s="28"/>
    </row>
    <row r="19" spans="3:18" ht="14.45" customHeight="1">
      <c r="C19" s="101" t="s">
        <v>8</v>
      </c>
      <c r="D19" s="3">
        <v>2118</v>
      </c>
      <c r="E19" s="3">
        <v>2167</v>
      </c>
      <c r="F19" s="82">
        <v>2177</v>
      </c>
      <c r="G19" s="3"/>
      <c r="H19" s="3"/>
      <c r="I19" s="3"/>
      <c r="J19" s="3"/>
      <c r="K19" s="87"/>
      <c r="Q19" s="28"/>
      <c r="R19" s="28"/>
    </row>
    <row r="20" spans="3:18" ht="14.45" customHeight="1">
      <c r="C20" s="101" t="s">
        <v>9</v>
      </c>
      <c r="D20" s="3">
        <v>455</v>
      </c>
      <c r="E20" s="3">
        <v>437</v>
      </c>
      <c r="F20" s="82">
        <v>435</v>
      </c>
      <c r="G20" s="3"/>
      <c r="H20" s="3"/>
      <c r="I20" s="3"/>
      <c r="J20" s="3"/>
      <c r="K20" s="87"/>
      <c r="Q20" s="28"/>
    </row>
    <row r="21" spans="3:18" ht="14.45" customHeight="1">
      <c r="C21" s="101" t="s">
        <v>10</v>
      </c>
      <c r="D21" s="3">
        <v>184</v>
      </c>
      <c r="E21" s="3">
        <v>192</v>
      </c>
      <c r="F21" s="82">
        <v>182</v>
      </c>
      <c r="G21" s="3"/>
      <c r="H21" s="3"/>
      <c r="I21" s="3"/>
      <c r="J21" s="3"/>
      <c r="K21" s="87"/>
      <c r="Q21" s="28"/>
    </row>
    <row r="22" spans="3:18" ht="14.45" customHeight="1">
      <c r="C22" s="75"/>
      <c r="F22" s="72"/>
      <c r="K22" s="72"/>
      <c r="Q22" s="28"/>
    </row>
    <row r="23" spans="3:18" ht="14.45" customHeight="1">
      <c r="C23" s="104" t="s">
        <v>17</v>
      </c>
      <c r="D23" s="70"/>
      <c r="E23" s="70"/>
      <c r="F23" s="71"/>
      <c r="G23" s="70"/>
      <c r="H23" s="70"/>
      <c r="I23" s="70"/>
      <c r="J23" s="70"/>
      <c r="K23" s="71"/>
      <c r="P23" s="28"/>
      <c r="Q23" s="28"/>
      <c r="R23" s="28"/>
    </row>
    <row r="24" spans="3:18" ht="14.45" customHeight="1">
      <c r="C24" s="101" t="s">
        <v>8</v>
      </c>
      <c r="D24" s="85">
        <f>D9/D19</f>
        <v>2.0618508026440039</v>
      </c>
      <c r="E24" s="85">
        <f>E9/E19</f>
        <v>2.2210429164743886</v>
      </c>
      <c r="F24" s="85">
        <f>F9/F19</f>
        <v>2.6026642168121268</v>
      </c>
      <c r="G24" s="94"/>
      <c r="H24" s="95"/>
      <c r="I24" s="95"/>
      <c r="J24" s="95"/>
      <c r="K24" s="96"/>
      <c r="P24" s="28"/>
    </row>
    <row r="25" spans="3:18" ht="14.45" customHeight="1">
      <c r="C25" s="101" t="s">
        <v>9</v>
      </c>
      <c r="D25" s="85">
        <f>D11/D20</f>
        <v>4.5274725274725274</v>
      </c>
      <c r="E25" s="85">
        <f>E11/E20</f>
        <v>4.3935926773455378</v>
      </c>
      <c r="F25" s="85">
        <f>F11/F20</f>
        <v>4.3218390804597702</v>
      </c>
      <c r="G25" s="86"/>
      <c r="H25" s="74"/>
      <c r="I25" s="74"/>
      <c r="J25" s="74"/>
      <c r="K25" s="87"/>
    </row>
    <row r="26" spans="3:18" ht="14.45" customHeight="1">
      <c r="C26" s="101" t="s">
        <v>10</v>
      </c>
      <c r="D26" s="85">
        <f t="shared" ref="D26:F26" si="5">D13/D21</f>
        <v>4.0869565217391308</v>
      </c>
      <c r="E26" s="85">
        <f t="shared" si="5"/>
        <v>4.083333333333333</v>
      </c>
      <c r="F26" s="85">
        <f t="shared" si="5"/>
        <v>4.4450549450549453</v>
      </c>
      <c r="G26" s="86"/>
      <c r="H26" s="74"/>
      <c r="I26" s="74"/>
      <c r="J26" s="74"/>
      <c r="K26" s="87"/>
    </row>
    <row r="27" spans="3:18" ht="14.45" customHeight="1">
      <c r="C27" s="101"/>
      <c r="D27" s="73"/>
      <c r="E27" s="73"/>
      <c r="F27" s="73"/>
      <c r="G27" s="86"/>
      <c r="H27" s="74"/>
      <c r="I27" s="74"/>
      <c r="J27" s="74"/>
      <c r="K27" s="87"/>
    </row>
    <row r="28" spans="3:18" ht="14.45" customHeight="1">
      <c r="C28" s="104" t="s">
        <v>18</v>
      </c>
      <c r="D28" s="70"/>
      <c r="E28" s="70"/>
      <c r="F28" s="70"/>
      <c r="G28" s="88"/>
      <c r="H28" s="70"/>
      <c r="I28" s="70"/>
      <c r="J28" s="70"/>
      <c r="K28" s="71"/>
      <c r="P28" s="28"/>
    </row>
    <row r="29" spans="3:18" ht="14.45" customHeight="1">
      <c r="C29" s="101" t="str">
        <f>C24</f>
        <v>Footwear</v>
      </c>
      <c r="D29" s="67"/>
      <c r="E29" s="19">
        <f>E19/D19-1</f>
        <v>2.3135033050047271E-2</v>
      </c>
      <c r="F29" s="19">
        <f>F19/E19-1</f>
        <v>4.6146746654360804E-3</v>
      </c>
      <c r="G29" s="89">
        <f>G19/F19-1</f>
        <v>-1</v>
      </c>
      <c r="H29" s="19" t="e">
        <f>H19/G19-1</f>
        <v>#DIV/0!</v>
      </c>
      <c r="I29" s="19" t="e">
        <f t="shared" ref="E29:K31" si="6">I19/H19-1</f>
        <v>#DIV/0!</v>
      </c>
      <c r="J29" s="19" t="e">
        <f t="shared" si="6"/>
        <v>#DIV/0!</v>
      </c>
      <c r="K29" s="90" t="e">
        <f t="shared" si="6"/>
        <v>#DIV/0!</v>
      </c>
    </row>
    <row r="30" spans="3:18" ht="14.45" customHeight="1">
      <c r="C30" s="101" t="str">
        <f t="shared" ref="C30:C31" si="7">C25</f>
        <v>Apparel</v>
      </c>
      <c r="E30" s="19">
        <f t="shared" si="6"/>
        <v>-3.9560439560439531E-2</v>
      </c>
      <c r="F30" s="19">
        <f t="shared" si="6"/>
        <v>-4.5766590389015871E-3</v>
      </c>
      <c r="G30" s="89">
        <f t="shared" si="6"/>
        <v>-1</v>
      </c>
      <c r="H30" s="19" t="e">
        <f t="shared" si="6"/>
        <v>#DIV/0!</v>
      </c>
      <c r="I30" s="19" t="e">
        <f t="shared" si="6"/>
        <v>#DIV/0!</v>
      </c>
      <c r="J30" s="19" t="e">
        <f t="shared" si="6"/>
        <v>#DIV/0!</v>
      </c>
      <c r="K30" s="90" t="e">
        <f t="shared" si="6"/>
        <v>#DIV/0!</v>
      </c>
    </row>
    <row r="31" spans="3:18" ht="14.45" customHeight="1">
      <c r="C31" s="101" t="str">
        <f t="shared" si="7"/>
        <v>Equipment</v>
      </c>
      <c r="D31" s="67"/>
      <c r="E31" s="19">
        <f t="shared" si="6"/>
        <v>4.3478260869565188E-2</v>
      </c>
      <c r="F31" s="19">
        <f t="shared" si="6"/>
        <v>-5.208333333333337E-2</v>
      </c>
      <c r="G31" s="89">
        <f t="shared" si="6"/>
        <v>-1</v>
      </c>
      <c r="H31" s="19" t="e">
        <f t="shared" si="6"/>
        <v>#DIV/0!</v>
      </c>
      <c r="I31" s="19" t="e">
        <f t="shared" si="6"/>
        <v>#DIV/0!</v>
      </c>
      <c r="J31" s="19" t="e">
        <f t="shared" si="6"/>
        <v>#DIV/0!</v>
      </c>
      <c r="K31" s="90" t="e">
        <f t="shared" si="6"/>
        <v>#DIV/0!</v>
      </c>
    </row>
    <row r="32" spans="3:18" ht="14.45" customHeight="1">
      <c r="C32" s="103"/>
      <c r="G32" s="75"/>
      <c r="K32" s="72"/>
      <c r="P32" s="28"/>
    </row>
    <row r="33" spans="3:11" ht="14.45" customHeight="1">
      <c r="C33" s="102" t="s">
        <v>19</v>
      </c>
      <c r="G33" s="75"/>
      <c r="K33" s="72"/>
    </row>
    <row r="34" spans="3:11" ht="14.45" customHeight="1">
      <c r="C34" s="101" t="str">
        <f>C29</f>
        <v>Footwear</v>
      </c>
      <c r="D34" s="76"/>
      <c r="E34" s="19">
        <f t="shared" ref="E34:K36" si="8">E24/D24-1</f>
        <v>7.7208357474869427E-2</v>
      </c>
      <c r="F34" s="19">
        <f t="shared" si="8"/>
        <v>0.1718207683008266</v>
      </c>
      <c r="G34" s="89">
        <f t="shared" si="8"/>
        <v>-1</v>
      </c>
      <c r="H34" s="19" t="e">
        <f>H24/G24-1</f>
        <v>#DIV/0!</v>
      </c>
      <c r="I34" s="19" t="e">
        <f t="shared" si="8"/>
        <v>#DIV/0!</v>
      </c>
      <c r="J34" s="19" t="e">
        <f t="shared" si="8"/>
        <v>#DIV/0!</v>
      </c>
      <c r="K34" s="90" t="e">
        <f t="shared" si="8"/>
        <v>#DIV/0!</v>
      </c>
    </row>
    <row r="35" spans="3:11" ht="14.45" customHeight="1">
      <c r="C35" s="101" t="str">
        <f t="shared" ref="C35:C36" si="9">C30</f>
        <v>Apparel</v>
      </c>
      <c r="D35" s="76"/>
      <c r="E35" s="19">
        <f t="shared" si="8"/>
        <v>-2.957054942125259E-2</v>
      </c>
      <c r="F35" s="19">
        <f t="shared" si="8"/>
        <v>-1.6331417624521061E-2</v>
      </c>
      <c r="G35" s="89">
        <f t="shared" si="8"/>
        <v>-1</v>
      </c>
      <c r="H35" s="19" t="e">
        <f t="shared" si="8"/>
        <v>#DIV/0!</v>
      </c>
      <c r="I35" s="19" t="e">
        <f t="shared" si="8"/>
        <v>#DIV/0!</v>
      </c>
      <c r="J35" s="19" t="e">
        <f t="shared" si="8"/>
        <v>#DIV/0!</v>
      </c>
      <c r="K35" s="90" t="e">
        <f t="shared" si="8"/>
        <v>#DIV/0!</v>
      </c>
    </row>
    <row r="36" spans="3:11" ht="14.45" customHeight="1">
      <c r="C36" s="101" t="str">
        <f t="shared" si="9"/>
        <v>Equipment</v>
      </c>
      <c r="D36" s="76"/>
      <c r="E36" s="19">
        <f t="shared" si="8"/>
        <v>-8.8652482269524491E-4</v>
      </c>
      <c r="F36" s="19">
        <f t="shared" si="8"/>
        <v>8.8584884503251971E-2</v>
      </c>
      <c r="G36" s="89">
        <f t="shared" si="8"/>
        <v>-1</v>
      </c>
      <c r="H36" s="19" t="e">
        <f t="shared" si="8"/>
        <v>#DIV/0!</v>
      </c>
      <c r="I36" s="19" t="e">
        <f t="shared" si="8"/>
        <v>#DIV/0!</v>
      </c>
      <c r="J36" s="19" t="e">
        <f t="shared" si="8"/>
        <v>#DIV/0!</v>
      </c>
      <c r="K36" s="90" t="e">
        <f t="shared" si="8"/>
        <v>#DIV/0!</v>
      </c>
    </row>
    <row r="37" spans="3:11" ht="14.45" customHeight="1">
      <c r="C37" s="75"/>
      <c r="G37" s="75"/>
      <c r="K37" s="72"/>
    </row>
    <row r="38" spans="3:11" ht="14.45" customHeight="1">
      <c r="C38" s="105" t="s">
        <v>20</v>
      </c>
      <c r="G38" s="75"/>
      <c r="K38" s="72"/>
    </row>
    <row r="39" spans="3:11" ht="14.45" customHeight="1">
      <c r="C39" s="101" t="str">
        <f>C34</f>
        <v>Footwear</v>
      </c>
      <c r="E39" s="91">
        <f t="shared" ref="E39:K39" si="10">E9/D9-1</f>
        <v>0.10212960842683771</v>
      </c>
      <c r="F39" s="91">
        <f t="shared" si="10"/>
        <v>0.17722833991273634</v>
      </c>
      <c r="G39" s="92">
        <f t="shared" si="10"/>
        <v>0.17999999999999994</v>
      </c>
      <c r="H39" s="91">
        <f t="shared" si="10"/>
        <v>0.19999999999999996</v>
      </c>
      <c r="I39" s="91">
        <f t="shared" si="10"/>
        <v>0.14999999999999991</v>
      </c>
      <c r="J39" s="91">
        <f t="shared" si="10"/>
        <v>0.14000000000000012</v>
      </c>
      <c r="K39" s="93">
        <f t="shared" si="10"/>
        <v>0.10000000000000009</v>
      </c>
    </row>
    <row r="40" spans="3:11" ht="14.45" customHeight="1">
      <c r="C40" s="101" t="str">
        <f t="shared" ref="C40:C41" si="11">C35</f>
        <v>Apparel</v>
      </c>
      <c r="E40" s="91">
        <f t="shared" ref="E40:K40" si="12">E11/D11-1</f>
        <v>-6.7961165048543659E-2</v>
      </c>
      <c r="F40" s="91">
        <f t="shared" si="12"/>
        <v>-2.083333333333337E-2</v>
      </c>
      <c r="G40" s="92">
        <f t="shared" si="12"/>
        <v>-5.0000000000000044E-2</v>
      </c>
      <c r="H40" s="91">
        <f t="shared" si="12"/>
        <v>-6.0000000000000053E-2</v>
      </c>
      <c r="I40" s="91">
        <f t="shared" si="12"/>
        <v>0</v>
      </c>
      <c r="J40" s="91">
        <f t="shared" si="12"/>
        <v>0</v>
      </c>
      <c r="K40" s="93">
        <f t="shared" si="12"/>
        <v>0</v>
      </c>
    </row>
    <row r="41" spans="3:11" ht="14.45" customHeight="1">
      <c r="C41" s="101" t="str">
        <f t="shared" si="11"/>
        <v>Equipment</v>
      </c>
      <c r="D41" s="70"/>
      <c r="E41" s="97">
        <f t="shared" ref="E41:K41" si="13">E13/D13-1</f>
        <v>4.2553191489361764E-2</v>
      </c>
      <c r="F41" s="97">
        <f t="shared" si="13"/>
        <v>3.1887755102040893E-2</v>
      </c>
      <c r="G41" s="98">
        <f t="shared" si="13"/>
        <v>6.0000000000000053E-2</v>
      </c>
      <c r="H41" s="97">
        <f t="shared" si="13"/>
        <v>0</v>
      </c>
      <c r="I41" s="97">
        <f t="shared" si="13"/>
        <v>0</v>
      </c>
      <c r="J41" s="97">
        <f t="shared" si="13"/>
        <v>0</v>
      </c>
      <c r="K41" s="99">
        <f t="shared" si="13"/>
        <v>0</v>
      </c>
    </row>
    <row r="47" spans="3:11" ht="15" customHeight="1"/>
    <row r="49" ht="15" customHeight="1"/>
    <row r="50" ht="15" customHeight="1"/>
    <row r="52" ht="15" customHeight="1"/>
    <row r="53" ht="15" customHeight="1"/>
    <row r="54" ht="15.7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A683A-E87A-49CC-AF1F-A1A100537E6F}">
  <sheetPr>
    <tabColor theme="1"/>
    <pageSetUpPr fitToPage="1"/>
  </sheetPr>
  <dimension ref="A1:Q156"/>
  <sheetViews>
    <sheetView showGridLines="0" zoomScale="89" zoomScaleNormal="89" workbookViewId="0">
      <selection activeCell="S41" sqref="S41"/>
    </sheetView>
  </sheetViews>
  <sheetFormatPr defaultColWidth="8.85546875" defaultRowHeight="14.45"/>
  <cols>
    <col min="1" max="1" width="1.7109375" style="52" customWidth="1"/>
    <col min="2" max="2" width="6.140625" bestFit="1" customWidth="1"/>
    <col min="3" max="3" width="46" bestFit="1" customWidth="1"/>
    <col min="4" max="4" width="15.85546875" bestFit="1" customWidth="1"/>
    <col min="5" max="11" width="12.28515625" customWidth="1"/>
    <col min="12" max="12" width="2.28515625" customWidth="1"/>
    <col min="13" max="13" width="11.42578125" customWidth="1"/>
    <col min="14" max="14" width="11.85546875" customWidth="1"/>
    <col min="15" max="17" width="10.28515625" bestFit="1" customWidth="1"/>
    <col min="18" max="19" width="9.42578125" bestFit="1" customWidth="1"/>
  </cols>
  <sheetData>
    <row r="1" spans="1:17" ht="15" thickBot="1"/>
    <row r="2" spans="1:17" ht="21.6" thickBot="1">
      <c r="C2" s="51" t="str">
        <f>"Financial Statement Model for "&amp;D5</f>
        <v>Financial Statement Model for Nike Inc</v>
      </c>
      <c r="D2" s="31"/>
      <c r="E2" s="31"/>
      <c r="F2" s="31"/>
      <c r="G2" s="31"/>
      <c r="H2" s="31"/>
      <c r="I2" s="31"/>
      <c r="J2" s="31"/>
      <c r="K2" s="31"/>
    </row>
    <row r="3" spans="1:17" ht="14.45" customHeight="1">
      <c r="C3" s="2" t="s">
        <v>25</v>
      </c>
      <c r="D3" s="30"/>
      <c r="E3" s="30"/>
      <c r="F3" s="30"/>
      <c r="G3" s="30"/>
      <c r="H3" s="30"/>
    </row>
    <row r="4" spans="1:17" ht="14.45" customHeight="1"/>
    <row r="5" spans="1:17" ht="14.45" customHeight="1">
      <c r="C5" s="1" t="s">
        <v>26</v>
      </c>
      <c r="D5" s="38" t="s">
        <v>27</v>
      </c>
    </row>
    <row r="6" spans="1:17" ht="14.45" customHeight="1">
      <c r="C6" s="1" t="s">
        <v>28</v>
      </c>
      <c r="D6" s="38" t="s">
        <v>29</v>
      </c>
    </row>
    <row r="7" spans="1:17" ht="14.45" customHeight="1">
      <c r="C7" t="s">
        <v>30</v>
      </c>
      <c r="D7" s="39">
        <v>1</v>
      </c>
    </row>
    <row r="8" spans="1:17" ht="14.45" customHeight="1">
      <c r="C8" t="s">
        <v>31</v>
      </c>
      <c r="D8" s="40">
        <v>107.82</v>
      </c>
    </row>
    <row r="9" spans="1:17" ht="14.45" customHeight="1">
      <c r="C9" t="s">
        <v>32</v>
      </c>
      <c r="D9" s="41">
        <v>45245</v>
      </c>
    </row>
    <row r="10" spans="1:17" ht="14.45" customHeight="1">
      <c r="C10" s="1" t="s">
        <v>33</v>
      </c>
      <c r="D10" s="42">
        <v>45077</v>
      </c>
    </row>
    <row r="11" spans="1:17" ht="14.45" customHeight="1">
      <c r="C11" t="s">
        <v>34</v>
      </c>
      <c r="D11" s="43">
        <f>1521910125/1000000</f>
        <v>1521.9101250000001</v>
      </c>
    </row>
    <row r="12" spans="1:17" ht="14.45" customHeight="1"/>
    <row r="13" spans="1:17" ht="14.45" customHeight="1">
      <c r="A13" s="53" t="s">
        <v>35</v>
      </c>
      <c r="C13" s="4" t="s">
        <v>36</v>
      </c>
      <c r="D13" s="5"/>
      <c r="E13" s="5"/>
      <c r="F13" s="5"/>
      <c r="G13" s="5"/>
      <c r="H13" s="5"/>
      <c r="I13" s="5"/>
      <c r="J13" s="5"/>
      <c r="K13" s="5"/>
    </row>
    <row r="14" spans="1:17" ht="14.45" customHeight="1">
      <c r="A14" s="53"/>
      <c r="C14" t="s">
        <v>4</v>
      </c>
      <c r="D14" s="6">
        <f>E14-1</f>
        <v>2021</v>
      </c>
      <c r="E14" s="6">
        <f>F14-1</f>
        <v>2022</v>
      </c>
      <c r="F14" s="6">
        <v>2023</v>
      </c>
      <c r="G14" s="7">
        <f>F14+1</f>
        <v>2024</v>
      </c>
      <c r="H14" s="7">
        <f>G14+1</f>
        <v>2025</v>
      </c>
      <c r="I14" s="7">
        <f>H14+1</f>
        <v>2026</v>
      </c>
      <c r="J14" s="7">
        <f>I14+1</f>
        <v>2027</v>
      </c>
      <c r="K14" s="7">
        <f>J14+1</f>
        <v>2028</v>
      </c>
    </row>
    <row r="15" spans="1:17" ht="14.45" customHeight="1">
      <c r="A15" s="53"/>
      <c r="C15" s="8" t="s">
        <v>5</v>
      </c>
      <c r="D15" s="36">
        <v>44347</v>
      </c>
      <c r="E15" s="36">
        <v>44712</v>
      </c>
      <c r="F15" s="36">
        <v>45077</v>
      </c>
      <c r="G15" s="36">
        <v>45443</v>
      </c>
      <c r="H15" s="36">
        <v>45808</v>
      </c>
      <c r="I15" s="36">
        <v>46173</v>
      </c>
      <c r="J15" s="36">
        <v>46538</v>
      </c>
      <c r="K15" s="36">
        <v>46904</v>
      </c>
      <c r="M15" s="32" t="s">
        <v>37</v>
      </c>
      <c r="N15" s="32"/>
      <c r="O15" s="32"/>
      <c r="P15" s="32"/>
      <c r="Q15" s="32"/>
    </row>
    <row r="16" spans="1:17" ht="14.45" customHeight="1">
      <c r="A16" s="53"/>
      <c r="C16" s="10"/>
      <c r="D16" s="11"/>
      <c r="E16" s="12"/>
      <c r="F16" s="12"/>
      <c r="G16" s="33"/>
      <c r="H16" s="34"/>
      <c r="I16" s="34"/>
      <c r="J16" s="12"/>
      <c r="K16" s="12"/>
    </row>
    <row r="17" spans="1:13" ht="14.45" customHeight="1">
      <c r="A17" s="53"/>
      <c r="C17" t="s">
        <v>38</v>
      </c>
      <c r="D17" s="139">
        <f>Historicals!D17</f>
        <v>44538</v>
      </c>
      <c r="E17" s="139">
        <f>Historicals!E17</f>
        <v>46710</v>
      </c>
      <c r="F17" s="139">
        <f>Historicals!F17</f>
        <v>51217</v>
      </c>
      <c r="G17" s="16">
        <f>F17*(1+G36)</f>
        <v>54290.020000000004</v>
      </c>
      <c r="H17" s="16">
        <f>G17*(1+H36)</f>
        <v>57547.421200000004</v>
      </c>
      <c r="I17" s="16">
        <f>H17*(1+I36)</f>
        <v>61000.26647200001</v>
      </c>
      <c r="J17" s="16">
        <f>I17*(1+J36)</f>
        <v>64660.282460320013</v>
      </c>
      <c r="K17" s="16">
        <f>J17*(1+K36)</f>
        <v>68539.899407939214</v>
      </c>
      <c r="M17" s="56" t="s">
        <v>39</v>
      </c>
    </row>
    <row r="18" spans="1:13" ht="14.45" customHeight="1">
      <c r="A18" s="53"/>
      <c r="C18" t="s">
        <v>40</v>
      </c>
      <c r="D18" s="139">
        <f>Historicals!D18</f>
        <v>-24576</v>
      </c>
      <c r="E18" s="139">
        <f>Historicals!E18</f>
        <v>-25231</v>
      </c>
      <c r="F18" s="139">
        <f>Historicals!F18</f>
        <v>-28925</v>
      </c>
      <c r="G18" s="16">
        <f>G17*(1-G37)*(-1)</f>
        <v>-29981.031258115414</v>
      </c>
      <c r="H18" s="16">
        <f>H17*(1-H37)*(-1)</f>
        <v>-31779.893133602338</v>
      </c>
      <c r="I18" s="16">
        <f>I17*(1-I37)*(-1)</f>
        <v>-33686.686721618484</v>
      </c>
      <c r="J18" s="16">
        <f>J17*(1-J37)*(-1)</f>
        <v>-35707.887924915594</v>
      </c>
      <c r="K18" s="16">
        <f>K17*(1-K37)*(-1)</f>
        <v>-37850.361200410523</v>
      </c>
      <c r="M18" s="56" t="s">
        <v>41</v>
      </c>
    </row>
    <row r="19" spans="1:13" ht="14.45" customHeight="1">
      <c r="A19" s="53"/>
      <c r="C19" s="14" t="s">
        <v>42</v>
      </c>
      <c r="D19" s="15">
        <f>SUM(D17:D18)</f>
        <v>19962</v>
      </c>
      <c r="E19" s="15">
        <f>SUM(E17:E18)</f>
        <v>21479</v>
      </c>
      <c r="F19" s="15">
        <f>SUM(F17:F18)</f>
        <v>22292</v>
      </c>
      <c r="G19" s="26">
        <f t="shared" ref="G19:K19" si="0">SUM(G17:G18)</f>
        <v>24308.98874188459</v>
      </c>
      <c r="H19" s="26">
        <f t="shared" si="0"/>
        <v>25767.528066397666</v>
      </c>
      <c r="I19" s="26">
        <f t="shared" si="0"/>
        <v>27313.579750381527</v>
      </c>
      <c r="J19" s="26">
        <f t="shared" si="0"/>
        <v>28952.394535404419</v>
      </c>
      <c r="K19" s="26">
        <f t="shared" si="0"/>
        <v>30689.538207528691</v>
      </c>
      <c r="M19" s="57" t="s">
        <v>43</v>
      </c>
    </row>
    <row r="20" spans="1:13" ht="14.45" customHeight="1">
      <c r="A20" s="53"/>
      <c r="C20" t="s">
        <v>44</v>
      </c>
      <c r="D20" s="139">
        <f>Historicals!D20</f>
        <v>-349</v>
      </c>
      <c r="E20" s="139">
        <f>Historicals!E20</f>
        <v>-353</v>
      </c>
      <c r="F20" s="139">
        <f>Historicals!F20</f>
        <v>-548</v>
      </c>
      <c r="G20" s="13">
        <f>-G38*G17</f>
        <v>-705.77026000000001</v>
      </c>
      <c r="H20" s="13">
        <f>-H38*H17</f>
        <v>-748.11647560000006</v>
      </c>
      <c r="I20" s="13">
        <f>-I38*I17</f>
        <v>-793.00346413600005</v>
      </c>
      <c r="J20" s="13">
        <f>-J38*J17</f>
        <v>-840.58367198416011</v>
      </c>
      <c r="K20" s="13">
        <f>-K38*K17</f>
        <v>-891.01869230320972</v>
      </c>
      <c r="M20" s="57" t="s">
        <v>45</v>
      </c>
    </row>
    <row r="21" spans="1:13" ht="14.45" customHeight="1">
      <c r="A21" s="53"/>
      <c r="C21" t="s">
        <v>46</v>
      </c>
      <c r="D21" s="139">
        <f>Historicals!D21</f>
        <v>-12676</v>
      </c>
      <c r="E21" s="139">
        <f>Historicals!E21</f>
        <v>-14451</v>
      </c>
      <c r="F21" s="139">
        <f>Historicals!F21</f>
        <v>-15829</v>
      </c>
      <c r="G21" s="13">
        <f>-G17*G39</f>
        <v>-16721.326160000001</v>
      </c>
      <c r="H21" s="13">
        <f>-H17*H39</f>
        <v>-17724.6057296</v>
      </c>
      <c r="I21" s="13">
        <f>-I17*I39</f>
        <v>-18788.082073376005</v>
      </c>
      <c r="J21" s="13">
        <f>-J17*J39</f>
        <v>-19915.366997778565</v>
      </c>
      <c r="K21" s="13">
        <f>-K17*K39</f>
        <v>-21110.289017645278</v>
      </c>
      <c r="M21" s="57" t="s">
        <v>47</v>
      </c>
    </row>
    <row r="22" spans="1:13" ht="14.45" customHeight="1">
      <c r="A22" s="53"/>
      <c r="C22" s="14" t="s">
        <v>48</v>
      </c>
      <c r="D22" s="15">
        <f>+SUM(D19:D21)</f>
        <v>6937</v>
      </c>
      <c r="E22" s="15">
        <f>+SUM(E19:E21)</f>
        <v>6675</v>
      </c>
      <c r="F22" s="15">
        <f>+SUM(F19:F21)</f>
        <v>5915</v>
      </c>
      <c r="G22" s="15">
        <f t="shared" ref="G22:K22" si="1">+SUM(G19:G21)</f>
        <v>6881.8923218845885</v>
      </c>
      <c r="H22" s="15">
        <f t="shared" si="1"/>
        <v>7294.8058611976667</v>
      </c>
      <c r="I22" s="15">
        <f t="shared" si="1"/>
        <v>7732.494212869522</v>
      </c>
      <c r="J22" s="15">
        <f t="shared" si="1"/>
        <v>8196.4438656416933</v>
      </c>
      <c r="K22" s="15">
        <f t="shared" si="1"/>
        <v>8688.2304975802035</v>
      </c>
      <c r="M22" s="59" t="s">
        <v>49</v>
      </c>
    </row>
    <row r="23" spans="1:13" ht="14.45" customHeight="1">
      <c r="A23" s="53"/>
      <c r="C23" t="s">
        <v>50</v>
      </c>
      <c r="D23" s="139">
        <f>Historicals!D23</f>
        <v>34</v>
      </c>
      <c r="E23" s="139">
        <f>Historicals!E23</f>
        <v>94</v>
      </c>
      <c r="F23" s="139">
        <f>Historicals!F23</f>
        <v>297</v>
      </c>
      <c r="G23" s="16">
        <f>F23</f>
        <v>297</v>
      </c>
      <c r="H23" s="16">
        <f t="shared" ref="H23:K23" si="2">G23</f>
        <v>297</v>
      </c>
      <c r="I23" s="16">
        <f t="shared" si="2"/>
        <v>297</v>
      </c>
      <c r="J23" s="16">
        <f t="shared" si="2"/>
        <v>297</v>
      </c>
      <c r="K23" s="16">
        <f t="shared" si="2"/>
        <v>297</v>
      </c>
      <c r="M23" s="61" t="s">
        <v>51</v>
      </c>
    </row>
    <row r="24" spans="1:13" ht="14.45" customHeight="1">
      <c r="A24" s="53"/>
      <c r="C24" t="s">
        <v>52</v>
      </c>
      <c r="D24" s="139">
        <f>Historicals!D24</f>
        <v>-296</v>
      </c>
      <c r="E24" s="139">
        <f>Historicals!E24</f>
        <v>-299</v>
      </c>
      <c r="F24" s="139">
        <f>Historicals!F24</f>
        <v>-291</v>
      </c>
      <c r="G24" s="16">
        <f>F24</f>
        <v>-291</v>
      </c>
      <c r="H24" s="16">
        <f t="shared" ref="H24:K24" si="3">G24</f>
        <v>-291</v>
      </c>
      <c r="I24" s="16">
        <f t="shared" si="3"/>
        <v>-291</v>
      </c>
      <c r="J24" s="16">
        <f t="shared" si="3"/>
        <v>-291</v>
      </c>
      <c r="K24" s="16">
        <f t="shared" si="3"/>
        <v>-291</v>
      </c>
      <c r="M24" s="61" t="s">
        <v>51</v>
      </c>
    </row>
    <row r="25" spans="1:13" ht="14.45" customHeight="1">
      <c r="A25" s="53"/>
      <c r="C25" t="s">
        <v>53</v>
      </c>
      <c r="D25" s="139">
        <f>Historicals!D25</f>
        <v>-14</v>
      </c>
      <c r="E25" s="139">
        <f>Historicals!E25</f>
        <v>181</v>
      </c>
      <c r="F25" s="139">
        <f>Historicals!F25</f>
        <v>280</v>
      </c>
      <c r="G25" s="16">
        <f>F25</f>
        <v>280</v>
      </c>
      <c r="H25" s="16">
        <f>G25</f>
        <v>280</v>
      </c>
      <c r="I25" s="16">
        <f>H25</f>
        <v>280</v>
      </c>
      <c r="J25" s="16">
        <f>I25</f>
        <v>280</v>
      </c>
      <c r="K25" s="16">
        <f>J25</f>
        <v>280</v>
      </c>
      <c r="M25" s="56" t="s">
        <v>51</v>
      </c>
    </row>
    <row r="26" spans="1:13" ht="14.45" customHeight="1">
      <c r="A26" s="53"/>
      <c r="C26" s="14" t="s">
        <v>54</v>
      </c>
      <c r="D26" s="15">
        <f>SUM(D22:D25)</f>
        <v>6661</v>
      </c>
      <c r="E26" s="15">
        <f>SUM(E22:E25)</f>
        <v>6651</v>
      </c>
      <c r="F26" s="15">
        <f>SUM(F22:F25)</f>
        <v>6201</v>
      </c>
      <c r="G26" s="15">
        <f>SUM(G22:G25)</f>
        <v>7167.8923218845885</v>
      </c>
      <c r="H26" s="15">
        <f>SUM(H22:H25)</f>
        <v>7580.8058611976667</v>
      </c>
      <c r="I26" s="15">
        <f t="shared" ref="I26:K26" si="4">SUM(I22:I25)</f>
        <v>8018.494212869522</v>
      </c>
      <c r="J26" s="15">
        <f t="shared" si="4"/>
        <v>8482.4438656416933</v>
      </c>
      <c r="K26" s="15">
        <f t="shared" si="4"/>
        <v>8974.2304975802035</v>
      </c>
      <c r="M26" s="59" t="s">
        <v>55</v>
      </c>
    </row>
    <row r="27" spans="1:13" ht="14.45" customHeight="1">
      <c r="A27" s="53"/>
      <c r="C27" t="s">
        <v>56</v>
      </c>
      <c r="D27" s="139">
        <f>Historicals!D27</f>
        <v>-934</v>
      </c>
      <c r="E27" s="139">
        <f>Historicals!E27</f>
        <v>-605</v>
      </c>
      <c r="F27" s="139">
        <f>Historicals!F27</f>
        <v>-1131</v>
      </c>
      <c r="G27" s="13">
        <f>-G40*G26</f>
        <v>-1505.2573875957635</v>
      </c>
      <c r="H27" s="13">
        <f>-H40*H26</f>
        <v>-1591.96923085151</v>
      </c>
      <c r="I27" s="13">
        <f>-I40*I26</f>
        <v>-1683.8837847025995</v>
      </c>
      <c r="J27" s="13">
        <f>-J40*J26</f>
        <v>-1781.3132117847556</v>
      </c>
      <c r="K27" s="13">
        <f>-K40*K26</f>
        <v>-1884.5884044918428</v>
      </c>
      <c r="M27" s="56" t="s">
        <v>57</v>
      </c>
    </row>
    <row r="28" spans="1:13" ht="14.45" customHeight="1">
      <c r="A28" s="53"/>
      <c r="C28" s="14" t="s">
        <v>58</v>
      </c>
      <c r="D28" s="15">
        <f>SUM(D26:D27)</f>
        <v>5727</v>
      </c>
      <c r="E28" s="15">
        <f>SUM(E26:E27)</f>
        <v>6046</v>
      </c>
      <c r="F28" s="15">
        <f>SUM(F26:F27)</f>
        <v>5070</v>
      </c>
      <c r="G28" s="15">
        <f t="shared" ref="G28:K28" si="5">SUM(G26:G27)</f>
        <v>5662.6349342888252</v>
      </c>
      <c r="H28" s="15">
        <f t="shared" si="5"/>
        <v>5988.8366303461571</v>
      </c>
      <c r="I28" s="15">
        <f t="shared" si="5"/>
        <v>6334.6104281669222</v>
      </c>
      <c r="J28" s="15">
        <f t="shared" si="5"/>
        <v>6701.1306538569379</v>
      </c>
      <c r="K28" s="15">
        <f t="shared" si="5"/>
        <v>7089.6420930883605</v>
      </c>
      <c r="M28" s="59" t="s">
        <v>59</v>
      </c>
    </row>
    <row r="29" spans="1:13" ht="14.45" customHeight="1">
      <c r="A29" s="53"/>
      <c r="C29" s="25" t="s">
        <v>34</v>
      </c>
      <c r="D29" s="140">
        <v>1573</v>
      </c>
      <c r="E29" s="140">
        <v>1579</v>
      </c>
      <c r="F29" s="140">
        <v>1552</v>
      </c>
      <c r="G29" s="16">
        <f t="shared" ref="G29:K29" si="6">$D$11</f>
        <v>1521.9101250000001</v>
      </c>
      <c r="H29" s="16">
        <f t="shared" si="6"/>
        <v>1521.9101250000001</v>
      </c>
      <c r="I29" s="16">
        <f t="shared" si="6"/>
        <v>1521.9101250000001</v>
      </c>
      <c r="J29" s="16">
        <f t="shared" si="6"/>
        <v>1521.9101250000001</v>
      </c>
      <c r="K29" s="16">
        <f t="shared" si="6"/>
        <v>1521.9101250000001</v>
      </c>
      <c r="M29" s="56"/>
    </row>
    <row r="30" spans="1:13" ht="14.45" customHeight="1">
      <c r="A30" s="53"/>
      <c r="C30" s="25" t="s">
        <v>60</v>
      </c>
      <c r="D30" s="62">
        <f>D28/D29</f>
        <v>3.6408137317228224</v>
      </c>
      <c r="E30" s="62">
        <f>E28/E29</f>
        <v>3.8290056998100064</v>
      </c>
      <c r="F30" s="62">
        <f>F28/F29</f>
        <v>3.2667525773195876</v>
      </c>
      <c r="G30" s="62">
        <f t="shared" ref="G30:K30" si="7">G28/G29</f>
        <v>3.7207420078691076</v>
      </c>
      <c r="H30" s="62">
        <f t="shared" si="7"/>
        <v>3.9350790378283058</v>
      </c>
      <c r="I30" s="62">
        <f t="shared" si="7"/>
        <v>4.1622762895850514</v>
      </c>
      <c r="J30" s="62">
        <f t="shared" si="7"/>
        <v>4.403105376447205</v>
      </c>
      <c r="K30" s="62">
        <f t="shared" si="7"/>
        <v>4.6583842085210909</v>
      </c>
      <c r="M30" s="56"/>
    </row>
    <row r="31" spans="1:13" ht="14.45" customHeight="1">
      <c r="A31" s="53"/>
      <c r="C31" s="18"/>
      <c r="D31" s="16"/>
      <c r="E31" s="16"/>
      <c r="F31" s="16"/>
      <c r="G31" s="16"/>
      <c r="H31" s="16"/>
      <c r="I31" s="16"/>
      <c r="J31" s="16"/>
      <c r="K31" s="16"/>
      <c r="M31" s="56"/>
    </row>
    <row r="32" spans="1:13" ht="14.45" customHeight="1">
      <c r="A32" s="53"/>
      <c r="C32" s="25" t="s">
        <v>61</v>
      </c>
      <c r="D32" s="139">
        <f>Historicals!D30</f>
        <v>797</v>
      </c>
      <c r="E32" s="139">
        <f>Historicals!E30</f>
        <v>840</v>
      </c>
      <c r="F32" s="139">
        <f>Historicals!F30</f>
        <v>859</v>
      </c>
      <c r="G32" s="16">
        <f>F32</f>
        <v>859</v>
      </c>
      <c r="H32" s="16">
        <f t="shared" ref="H32:K32" si="8">G32</f>
        <v>859</v>
      </c>
      <c r="I32" s="16">
        <f t="shared" si="8"/>
        <v>859</v>
      </c>
      <c r="J32" s="16">
        <f t="shared" si="8"/>
        <v>859</v>
      </c>
      <c r="K32" s="16">
        <f t="shared" si="8"/>
        <v>859</v>
      </c>
      <c r="M32" s="61" t="s">
        <v>51</v>
      </c>
    </row>
    <row r="33" spans="1:13" ht="14.45" customHeight="1">
      <c r="A33" s="53"/>
      <c r="C33" s="24" t="s">
        <v>62</v>
      </c>
      <c r="D33" s="15">
        <f>D22+D32</f>
        <v>7734</v>
      </c>
      <c r="E33" s="15">
        <f>E22+E32</f>
        <v>7515</v>
      </c>
      <c r="F33" s="15">
        <f>F22+F32</f>
        <v>6774</v>
      </c>
      <c r="G33" s="15">
        <f t="shared" ref="G33:K33" si="9">G22+G32</f>
        <v>7740.8923218845885</v>
      </c>
      <c r="H33" s="15">
        <f t="shared" si="9"/>
        <v>8153.8058611976667</v>
      </c>
      <c r="I33" s="15">
        <f t="shared" si="9"/>
        <v>8591.494212869522</v>
      </c>
      <c r="J33" s="15">
        <f t="shared" si="9"/>
        <v>9055.4438656416933</v>
      </c>
      <c r="K33" s="15">
        <f t="shared" si="9"/>
        <v>9547.2304975802035</v>
      </c>
      <c r="M33" s="59" t="s">
        <v>63</v>
      </c>
    </row>
    <row r="34" spans="1:13" ht="14.45" customHeight="1">
      <c r="A34" s="53"/>
      <c r="C34" s="18"/>
      <c r="G34" s="29"/>
      <c r="M34" s="56"/>
    </row>
    <row r="35" spans="1:13" ht="14.45" customHeight="1">
      <c r="A35" s="53"/>
      <c r="C35" s="17" t="s">
        <v>64</v>
      </c>
      <c r="M35" s="56"/>
    </row>
    <row r="36" spans="1:13" ht="14.45" customHeight="1">
      <c r="A36" s="53"/>
      <c r="C36" s="25" t="s">
        <v>65</v>
      </c>
      <c r="D36" s="19">
        <v>0.19076009945726269</v>
      </c>
      <c r="E36" s="19">
        <f>$E$17/$D$17-1</f>
        <v>4.8767344739323759E-2</v>
      </c>
      <c r="F36" s="19">
        <f>$F$17/$E$17-1</f>
        <v>9.6488974523656568E-2</v>
      </c>
      <c r="G36" s="20">
        <v>0.06</v>
      </c>
      <c r="H36" s="138">
        <f t="shared" ref="H36:H41" si="10">G36</f>
        <v>0.06</v>
      </c>
      <c r="I36" s="138">
        <f t="shared" ref="I36:K36" si="11">H36</f>
        <v>0.06</v>
      </c>
      <c r="J36" s="138">
        <f t="shared" si="11"/>
        <v>0.06</v>
      </c>
      <c r="K36" s="138">
        <f t="shared" si="11"/>
        <v>0.06</v>
      </c>
      <c r="M36" s="56" t="s">
        <v>66</v>
      </c>
    </row>
    <row r="37" spans="1:13" ht="14.45" customHeight="1">
      <c r="A37" s="53"/>
      <c r="C37" s="25" t="s">
        <v>67</v>
      </c>
      <c r="D37" s="19">
        <f>$D$19/$D$17</f>
        <v>0.44820153576721</v>
      </c>
      <c r="E37" s="19">
        <f>$E$19/$E$17</f>
        <v>0.45983729394134021</v>
      </c>
      <c r="F37" s="19">
        <f>$F$19/$F$17</f>
        <v>0.43524610969014194</v>
      </c>
      <c r="G37" s="20">
        <v>0.44776164646623068</v>
      </c>
      <c r="H37" s="138">
        <f t="shared" si="10"/>
        <v>0.44776164646623068</v>
      </c>
      <c r="I37" s="138">
        <f t="shared" ref="I37:K41" si="12">H37</f>
        <v>0.44776164646623068</v>
      </c>
      <c r="J37" s="138">
        <f t="shared" si="12"/>
        <v>0.44776164646623068</v>
      </c>
      <c r="K37" s="138">
        <f t="shared" si="12"/>
        <v>0.44776164646623068</v>
      </c>
      <c r="M37" s="56" t="s">
        <v>68</v>
      </c>
    </row>
    <row r="38" spans="1:13" ht="14.45" customHeight="1">
      <c r="A38" s="53"/>
      <c r="C38" s="25" t="s">
        <v>69</v>
      </c>
      <c r="D38" s="19">
        <f>-$D$20/$D$17</f>
        <v>7.8360052090349821E-3</v>
      </c>
      <c r="E38" s="19">
        <f>-$E$20/$E$17</f>
        <v>7.5572682509098691E-3</v>
      </c>
      <c r="F38" s="19">
        <f>-$F$20/$F$17</f>
        <v>1.0699572407599039E-2</v>
      </c>
      <c r="G38" s="20">
        <v>1.2999999999999999E-2</v>
      </c>
      <c r="H38" s="138">
        <f t="shared" si="10"/>
        <v>1.2999999999999999E-2</v>
      </c>
      <c r="I38" s="138">
        <f t="shared" si="12"/>
        <v>1.2999999999999999E-2</v>
      </c>
      <c r="J38" s="138">
        <f t="shared" si="12"/>
        <v>1.2999999999999999E-2</v>
      </c>
      <c r="K38" s="138">
        <f t="shared" si="12"/>
        <v>1.2999999999999999E-2</v>
      </c>
      <c r="M38" s="56" t="s">
        <v>70</v>
      </c>
    </row>
    <row r="39" spans="1:13" ht="14.45" customHeight="1">
      <c r="A39" s="53"/>
      <c r="C39" s="25" t="s">
        <v>71</v>
      </c>
      <c r="D39" s="19">
        <f>-$D$21/$D$17</f>
        <v>0.2846108940679869</v>
      </c>
      <c r="E39" s="19">
        <f>-$E$21/$E$17</f>
        <v>0.30937700706486831</v>
      </c>
      <c r="F39" s="19">
        <f>-$F$21/$F$17</f>
        <v>0.30905753948884157</v>
      </c>
      <c r="G39" s="20">
        <v>0.308</v>
      </c>
      <c r="H39" s="138">
        <f t="shared" si="10"/>
        <v>0.308</v>
      </c>
      <c r="I39" s="138">
        <f t="shared" si="12"/>
        <v>0.308</v>
      </c>
      <c r="J39" s="138">
        <f t="shared" si="12"/>
        <v>0.308</v>
      </c>
      <c r="K39" s="138">
        <f t="shared" si="12"/>
        <v>0.308</v>
      </c>
      <c r="M39" s="56" t="s">
        <v>72</v>
      </c>
    </row>
    <row r="40" spans="1:13" ht="14.45" customHeight="1">
      <c r="A40" s="53"/>
      <c r="C40" s="25" t="s">
        <v>73</v>
      </c>
      <c r="D40" s="19">
        <f>-$D$27/$D$22</f>
        <v>0.13464033443851808</v>
      </c>
      <c r="E40" s="19">
        <f>-$E$27/$E$22</f>
        <v>9.0636704119850184E-2</v>
      </c>
      <c r="F40" s="19">
        <f>-$F$27/$F$22</f>
        <v>0.1912087912087912</v>
      </c>
      <c r="G40" s="20">
        <v>0.21</v>
      </c>
      <c r="H40" s="138">
        <f t="shared" si="10"/>
        <v>0.21</v>
      </c>
      <c r="I40" s="138">
        <f t="shared" si="12"/>
        <v>0.21</v>
      </c>
      <c r="J40" s="138">
        <f t="shared" si="12"/>
        <v>0.21</v>
      </c>
      <c r="K40" s="138">
        <f t="shared" si="12"/>
        <v>0.21</v>
      </c>
      <c r="M40" s="56" t="s">
        <v>74</v>
      </c>
    </row>
    <row r="41" spans="1:13" ht="14.45" customHeight="1">
      <c r="A41" s="53"/>
      <c r="C41" s="25" t="s">
        <v>75</v>
      </c>
      <c r="D41" s="19">
        <f>$D$32/$D$17</f>
        <v>1.7894831379945214E-2</v>
      </c>
      <c r="E41" s="19">
        <f>$E$32/$E$17</f>
        <v>1.7983301220295438E-2</v>
      </c>
      <c r="F41" s="19">
        <f>$F$32/$F$17</f>
        <v>1.6771774996583166E-2</v>
      </c>
      <c r="G41" s="20">
        <v>1.7549969198941275E-2</v>
      </c>
      <c r="H41" s="138">
        <f t="shared" si="10"/>
        <v>1.7549969198941275E-2</v>
      </c>
      <c r="I41" s="138">
        <f t="shared" si="12"/>
        <v>1.7549969198941275E-2</v>
      </c>
      <c r="J41" s="138">
        <f t="shared" si="12"/>
        <v>1.7549969198941275E-2</v>
      </c>
      <c r="K41" s="138">
        <f t="shared" si="12"/>
        <v>1.7549969198941275E-2</v>
      </c>
      <c r="M41" s="56" t="s">
        <v>68</v>
      </c>
    </row>
    <row r="42" spans="1:13">
      <c r="A42"/>
      <c r="C42" s="25"/>
    </row>
    <row r="43" spans="1:13" ht="14.45" customHeight="1">
      <c r="A43"/>
      <c r="C43" s="17" t="s">
        <v>76</v>
      </c>
      <c r="D43" s="68"/>
    </row>
    <row r="44" spans="1:13" ht="14.45" customHeight="1">
      <c r="A44"/>
      <c r="C44" t="s">
        <v>38</v>
      </c>
      <c r="D44" s="139">
        <f>D17</f>
        <v>44538</v>
      </c>
      <c r="E44" s="139">
        <f>E17</f>
        <v>46710</v>
      </c>
      <c r="F44" s="139">
        <f>F17</f>
        <v>51217</v>
      </c>
      <c r="G44" s="16">
        <f>F44*(1+G61)</f>
        <v>53265.68</v>
      </c>
      <c r="H44" s="16">
        <f t="shared" ref="H44:K44" si="13">G44*(1+H61)</f>
        <v>55396.307200000003</v>
      </c>
      <c r="I44" s="16">
        <f t="shared" si="13"/>
        <v>57612.159488000005</v>
      </c>
      <c r="J44" s="16">
        <f t="shared" si="13"/>
        <v>59916.645867520005</v>
      </c>
      <c r="K44" s="16">
        <f t="shared" si="13"/>
        <v>62313.31170222081</v>
      </c>
      <c r="M44" s="56" t="s">
        <v>39</v>
      </c>
    </row>
    <row r="45" spans="1:13" ht="14.45" customHeight="1">
      <c r="A45"/>
      <c r="C45" t="s">
        <v>40</v>
      </c>
      <c r="D45" s="139">
        <f>D18</f>
        <v>-24576</v>
      </c>
      <c r="E45" s="139">
        <f t="shared" ref="E45:F45" si="14">E18</f>
        <v>-25231</v>
      </c>
      <c r="F45" s="139">
        <f t="shared" si="14"/>
        <v>-28925</v>
      </c>
      <c r="G45" s="16">
        <f>-G44*(1-G62)</f>
        <v>-30894.094400000005</v>
      </c>
      <c r="H45" s="16">
        <f t="shared" ref="H45:K45" si="15">-H44*(1-H62)</f>
        <v>-32129.858176000005</v>
      </c>
      <c r="I45" s="16">
        <f t="shared" si="15"/>
        <v>-33415.052503040009</v>
      </c>
      <c r="J45" s="16">
        <f t="shared" si="15"/>
        <v>-34751.654603161609</v>
      </c>
      <c r="K45" s="16">
        <f t="shared" si="15"/>
        <v>-36141.720787288075</v>
      </c>
      <c r="M45" s="56" t="s">
        <v>41</v>
      </c>
    </row>
    <row r="46" spans="1:13" ht="14.45" customHeight="1">
      <c r="A46"/>
      <c r="C46" s="14" t="s">
        <v>42</v>
      </c>
      <c r="D46" s="26">
        <f t="shared" ref="D46:K46" si="16">SUM(D44:D45)</f>
        <v>19962</v>
      </c>
      <c r="E46" s="26">
        <f t="shared" si="16"/>
        <v>21479</v>
      </c>
      <c r="F46" s="26">
        <f t="shared" si="16"/>
        <v>22292</v>
      </c>
      <c r="G46" s="26">
        <f t="shared" si="16"/>
        <v>22371.585599999995</v>
      </c>
      <c r="H46" s="26">
        <f t="shared" si="16"/>
        <v>23266.449023999998</v>
      </c>
      <c r="I46" s="26">
        <f t="shared" si="16"/>
        <v>24197.106984959995</v>
      </c>
      <c r="J46" s="26">
        <f t="shared" si="16"/>
        <v>25164.991264358396</v>
      </c>
      <c r="K46" s="26">
        <f t="shared" si="16"/>
        <v>26171.590914932734</v>
      </c>
      <c r="M46" s="57" t="s">
        <v>43</v>
      </c>
    </row>
    <row r="47" spans="1:13" ht="14.45" customHeight="1">
      <c r="A47"/>
      <c r="C47" t="s">
        <v>44</v>
      </c>
      <c r="D47" s="139">
        <f>D20</f>
        <v>-349</v>
      </c>
      <c r="E47" s="139">
        <f t="shared" ref="E47:F47" si="17">E20</f>
        <v>-353</v>
      </c>
      <c r="F47" s="139">
        <f t="shared" si="17"/>
        <v>-548</v>
      </c>
      <c r="G47" s="16">
        <f>-G44*G63</f>
        <v>-692.45384000000001</v>
      </c>
      <c r="H47" s="16">
        <f>-H44*H63</f>
        <v>-720.15199359999997</v>
      </c>
      <c r="I47" s="16">
        <f>-I44*I63</f>
        <v>-748.95807334400001</v>
      </c>
      <c r="J47" s="16">
        <f>-J44*J63</f>
        <v>-778.91639627775999</v>
      </c>
      <c r="K47" s="16">
        <f>-K44*K63</f>
        <v>-810.07305212887047</v>
      </c>
      <c r="M47" s="57" t="s">
        <v>45</v>
      </c>
    </row>
    <row r="48" spans="1:13" ht="14.45" customHeight="1">
      <c r="A48"/>
      <c r="C48" t="s">
        <v>46</v>
      </c>
      <c r="D48" s="139">
        <f>D21</f>
        <v>-12676</v>
      </c>
      <c r="E48" s="139">
        <f t="shared" ref="E48:F48" si="18">E21</f>
        <v>-14451</v>
      </c>
      <c r="F48" s="139">
        <f t="shared" si="18"/>
        <v>-15829</v>
      </c>
      <c r="G48" s="16">
        <f>-G44*G64</f>
        <v>-16497.060881294739</v>
      </c>
      <c r="H48" s="16">
        <f>-H44*H64</f>
        <v>-17156.943316546531</v>
      </c>
      <c r="I48" s="16">
        <f>-I44*I64</f>
        <v>-17843.221049208394</v>
      </c>
      <c r="J48" s="16">
        <f>-J44*J64</f>
        <v>-18556.94989117673</v>
      </c>
      <c r="K48" s="16">
        <f>-K44*K64</f>
        <v>-19299.227886823799</v>
      </c>
      <c r="M48" s="57" t="s">
        <v>47</v>
      </c>
    </row>
    <row r="49" spans="1:13" ht="14.45" customHeight="1">
      <c r="A49"/>
      <c r="B49" s="19"/>
      <c r="C49" s="14" t="s">
        <v>48</v>
      </c>
      <c r="D49" s="26">
        <f t="shared" ref="D49:K49" si="19">+SUM(D46:D48)</f>
        <v>6937</v>
      </c>
      <c r="E49" s="26">
        <f t="shared" si="19"/>
        <v>6675</v>
      </c>
      <c r="F49" s="26">
        <f t="shared" si="19"/>
        <v>5915</v>
      </c>
      <c r="G49" s="26">
        <f t="shared" si="19"/>
        <v>5182.0708787052572</v>
      </c>
      <c r="H49" s="26">
        <f t="shared" si="19"/>
        <v>5389.3537138534666</v>
      </c>
      <c r="I49" s="26">
        <f t="shared" si="19"/>
        <v>5604.9278624075996</v>
      </c>
      <c r="J49" s="26">
        <f t="shared" si="19"/>
        <v>5829.1249769039059</v>
      </c>
      <c r="K49" s="26">
        <f t="shared" si="19"/>
        <v>6062.2899759800639</v>
      </c>
      <c r="M49" s="59" t="s">
        <v>49</v>
      </c>
    </row>
    <row r="50" spans="1:13" ht="14.45" customHeight="1">
      <c r="A50"/>
      <c r="C50" t="s">
        <v>50</v>
      </c>
      <c r="D50" s="139">
        <f>D23</f>
        <v>34</v>
      </c>
      <c r="E50" s="139">
        <f t="shared" ref="E50:F50" si="20">E23</f>
        <v>94</v>
      </c>
      <c r="F50" s="139">
        <f t="shared" si="20"/>
        <v>297</v>
      </c>
      <c r="G50" s="16">
        <f>F50</f>
        <v>297</v>
      </c>
      <c r="H50" s="16">
        <f t="shared" ref="G50:K52" si="21">G50</f>
        <v>297</v>
      </c>
      <c r="I50" s="16">
        <f t="shared" si="21"/>
        <v>297</v>
      </c>
      <c r="J50" s="16">
        <f t="shared" si="21"/>
        <v>297</v>
      </c>
      <c r="K50" s="16">
        <f t="shared" si="21"/>
        <v>297</v>
      </c>
      <c r="M50" s="61" t="s">
        <v>51</v>
      </c>
    </row>
    <row r="51" spans="1:13" ht="14.45" customHeight="1">
      <c r="A51"/>
      <c r="C51" t="s">
        <v>52</v>
      </c>
      <c r="D51" s="139">
        <f>D24</f>
        <v>-296</v>
      </c>
      <c r="E51" s="139">
        <f t="shared" ref="E51:F51" si="22">E24</f>
        <v>-299</v>
      </c>
      <c r="F51" s="139">
        <f t="shared" si="22"/>
        <v>-291</v>
      </c>
      <c r="G51" s="16">
        <f t="shared" si="21"/>
        <v>-291</v>
      </c>
      <c r="H51" s="16">
        <f t="shared" si="21"/>
        <v>-291</v>
      </c>
      <c r="I51" s="16">
        <f t="shared" si="21"/>
        <v>-291</v>
      </c>
      <c r="J51" s="16">
        <f t="shared" si="21"/>
        <v>-291</v>
      </c>
      <c r="K51" s="16">
        <f t="shared" si="21"/>
        <v>-291</v>
      </c>
      <c r="M51" s="61" t="s">
        <v>51</v>
      </c>
    </row>
    <row r="52" spans="1:13" ht="14.45" customHeight="1">
      <c r="A52"/>
      <c r="C52" t="s">
        <v>53</v>
      </c>
      <c r="D52" s="139">
        <f>D25</f>
        <v>-14</v>
      </c>
      <c r="E52" s="139">
        <f t="shared" ref="E52:F52" si="23">E25</f>
        <v>181</v>
      </c>
      <c r="F52" s="139">
        <f t="shared" si="23"/>
        <v>280</v>
      </c>
      <c r="G52" s="16">
        <f t="shared" si="21"/>
        <v>280</v>
      </c>
      <c r="H52" s="16">
        <f t="shared" si="21"/>
        <v>280</v>
      </c>
      <c r="I52" s="16">
        <f t="shared" si="21"/>
        <v>280</v>
      </c>
      <c r="J52" s="16">
        <f t="shared" si="21"/>
        <v>280</v>
      </c>
      <c r="K52" s="16">
        <f t="shared" si="21"/>
        <v>280</v>
      </c>
      <c r="M52" s="56" t="s">
        <v>51</v>
      </c>
    </row>
    <row r="53" spans="1:13" ht="14.45" customHeight="1">
      <c r="A53"/>
      <c r="C53" s="14" t="s">
        <v>54</v>
      </c>
      <c r="D53" s="26">
        <f t="shared" ref="D53:K53" si="24">SUM(D49:D52)</f>
        <v>6661</v>
      </c>
      <c r="E53" s="26">
        <f t="shared" si="24"/>
        <v>6651</v>
      </c>
      <c r="F53" s="26">
        <f t="shared" si="24"/>
        <v>6201</v>
      </c>
      <c r="G53" s="26">
        <f t="shared" si="24"/>
        <v>5468.0708787052572</v>
      </c>
      <c r="H53" s="26">
        <f t="shared" si="24"/>
        <v>5675.3537138534666</v>
      </c>
      <c r="I53" s="26">
        <f t="shared" si="24"/>
        <v>5890.9278624075996</v>
      </c>
      <c r="J53" s="26">
        <f t="shared" si="24"/>
        <v>6115.1249769039059</v>
      </c>
      <c r="K53" s="26">
        <f t="shared" si="24"/>
        <v>6348.2899759800639</v>
      </c>
      <c r="M53" s="59" t="s">
        <v>55</v>
      </c>
    </row>
    <row r="54" spans="1:13" ht="14.45" customHeight="1">
      <c r="A54"/>
      <c r="C54" t="s">
        <v>56</v>
      </c>
      <c r="D54" s="139">
        <f>D27</f>
        <v>-934</v>
      </c>
      <c r="E54" s="139">
        <f t="shared" ref="E54:F54" si="25">E27</f>
        <v>-605</v>
      </c>
      <c r="F54" s="139">
        <f t="shared" si="25"/>
        <v>-1131</v>
      </c>
      <c r="G54" s="16">
        <f>-G53*G65</f>
        <v>-1148.2948845281039</v>
      </c>
      <c r="H54" s="16">
        <f>-H53*H65</f>
        <v>-1191.8242799092279</v>
      </c>
      <c r="I54" s="16">
        <f>-I53*I65</f>
        <v>-1237.0948511055958</v>
      </c>
      <c r="J54" s="16">
        <f>-J53*J65</f>
        <v>-1284.1762451498203</v>
      </c>
      <c r="K54" s="16">
        <f>-K53*K65</f>
        <v>-1333.1408949558133</v>
      </c>
      <c r="M54" s="56" t="s">
        <v>57</v>
      </c>
    </row>
    <row r="55" spans="1:13" ht="14.45" customHeight="1">
      <c r="A55"/>
      <c r="C55" s="14" t="s">
        <v>58</v>
      </c>
      <c r="D55" s="26">
        <f t="shared" ref="D55:K55" si="26">SUM(D53:D54)</f>
        <v>5727</v>
      </c>
      <c r="E55" s="26">
        <f t="shared" si="26"/>
        <v>6046</v>
      </c>
      <c r="F55" s="26">
        <f t="shared" si="26"/>
        <v>5070</v>
      </c>
      <c r="G55" s="26">
        <f>SUM(G53:G54)</f>
        <v>4319.7759941771528</v>
      </c>
      <c r="H55" s="26">
        <f t="shared" si="26"/>
        <v>4483.5294339442389</v>
      </c>
      <c r="I55" s="26">
        <f t="shared" si="26"/>
        <v>4653.8330113020038</v>
      </c>
      <c r="J55" s="26">
        <f t="shared" si="26"/>
        <v>4830.9487317540861</v>
      </c>
      <c r="K55" s="26">
        <f t="shared" si="26"/>
        <v>5015.1490810242503</v>
      </c>
      <c r="M55" s="59" t="s">
        <v>59</v>
      </c>
    </row>
    <row r="56" spans="1:13" ht="14.45" customHeight="1">
      <c r="A56"/>
      <c r="C56" t="s">
        <v>34</v>
      </c>
      <c r="D56" s="139">
        <f>D29</f>
        <v>1573</v>
      </c>
      <c r="E56" s="139">
        <f>E29</f>
        <v>1579</v>
      </c>
      <c r="F56" s="139">
        <f>F29</f>
        <v>1552</v>
      </c>
      <c r="G56" s="16">
        <f t="shared" ref="G56:K56" si="27">$D$11</f>
        <v>1521.9101250000001</v>
      </c>
      <c r="H56" s="16">
        <f t="shared" si="27"/>
        <v>1521.9101250000001</v>
      </c>
      <c r="I56" s="16">
        <f t="shared" si="27"/>
        <v>1521.9101250000001</v>
      </c>
      <c r="J56" s="16">
        <f t="shared" si="27"/>
        <v>1521.9101250000001</v>
      </c>
      <c r="K56" s="16">
        <f t="shared" si="27"/>
        <v>1521.9101250000001</v>
      </c>
    </row>
    <row r="57" spans="1:13" ht="14.45" customHeight="1">
      <c r="A57"/>
      <c r="C57" t="s">
        <v>60</v>
      </c>
      <c r="D57" s="62">
        <f>D55/D56</f>
        <v>3.6408137317228224</v>
      </c>
      <c r="E57" s="62">
        <f t="shared" ref="E57:K57" si="28">E55/E56</f>
        <v>3.8290056998100064</v>
      </c>
      <c r="F57" s="62">
        <f t="shared" si="28"/>
        <v>3.2667525773195876</v>
      </c>
      <c r="G57" s="62">
        <f t="shared" si="28"/>
        <v>2.8383909951168453</v>
      </c>
      <c r="H57" s="62">
        <f>H55/H56</f>
        <v>2.9459883079128857</v>
      </c>
      <c r="I57" s="62">
        <f t="shared" si="28"/>
        <v>3.0578895132207649</v>
      </c>
      <c r="J57" s="62">
        <f t="shared" si="28"/>
        <v>3.1742667667409634</v>
      </c>
      <c r="K57" s="62">
        <f t="shared" si="28"/>
        <v>3.2952991104019693</v>
      </c>
    </row>
    <row r="58" spans="1:13" ht="14.45" customHeight="1">
      <c r="A58"/>
    </row>
    <row r="59" spans="1:13" ht="14.45" customHeight="1">
      <c r="A59"/>
    </row>
    <row r="60" spans="1:13" ht="14.45" customHeight="1">
      <c r="A60"/>
      <c r="C60" s="17" t="s">
        <v>64</v>
      </c>
      <c r="G60" s="68"/>
      <c r="H60" s="68"/>
      <c r="I60" s="68"/>
      <c r="J60" s="68"/>
      <c r="K60" s="68"/>
    </row>
    <row r="61" spans="1:13" ht="14.45" customHeight="1">
      <c r="A61"/>
      <c r="C61" s="25" t="s">
        <v>65</v>
      </c>
      <c r="D61" s="138">
        <v>0.19076009945726269</v>
      </c>
      <c r="E61" s="138">
        <f>$E$17/$D$17-1</f>
        <v>4.8767344739323759E-2</v>
      </c>
      <c r="F61" s="138">
        <f>$F$17/$E$17-1</f>
        <v>9.6488974523656568E-2</v>
      </c>
      <c r="G61" s="20">
        <v>0.04</v>
      </c>
      <c r="H61" s="138">
        <f t="shared" ref="H61:K66" si="29">G61</f>
        <v>0.04</v>
      </c>
      <c r="I61" s="138">
        <f t="shared" si="29"/>
        <v>0.04</v>
      </c>
      <c r="J61" s="138">
        <f t="shared" si="29"/>
        <v>0.04</v>
      </c>
      <c r="K61" s="138">
        <f t="shared" si="29"/>
        <v>0.04</v>
      </c>
    </row>
    <row r="62" spans="1:13" ht="14.45" customHeight="1">
      <c r="A62"/>
      <c r="C62" s="25" t="s">
        <v>67</v>
      </c>
      <c r="D62" s="138">
        <f>$D$19/$D$17</f>
        <v>0.44820153576721</v>
      </c>
      <c r="E62" s="138">
        <f>$E$19/$E$17</f>
        <v>0.45983729394134021</v>
      </c>
      <c r="F62" s="138">
        <f>$F$19/$F$17</f>
        <v>0.43524610969014194</v>
      </c>
      <c r="G62" s="20">
        <v>0.42</v>
      </c>
      <c r="H62" s="138">
        <f t="shared" si="29"/>
        <v>0.42</v>
      </c>
      <c r="I62" s="138">
        <f t="shared" si="29"/>
        <v>0.42</v>
      </c>
      <c r="J62" s="138">
        <f t="shared" si="29"/>
        <v>0.42</v>
      </c>
      <c r="K62" s="138">
        <f t="shared" si="29"/>
        <v>0.42</v>
      </c>
    </row>
    <row r="63" spans="1:13" ht="14.45" customHeight="1">
      <c r="A63"/>
      <c r="C63" s="25" t="s">
        <v>69</v>
      </c>
      <c r="D63" s="138">
        <f>-$D$20/$D$17</f>
        <v>7.8360052090349821E-3</v>
      </c>
      <c r="E63" s="138">
        <f>-$E$20/$E$17</f>
        <v>7.5572682509098691E-3</v>
      </c>
      <c r="F63" s="138">
        <f>-$F$20/$F$17</f>
        <v>1.0699572407599039E-2</v>
      </c>
      <c r="G63" s="20">
        <v>1.2999999999999999E-2</v>
      </c>
      <c r="H63" s="138">
        <f t="shared" si="29"/>
        <v>1.2999999999999999E-2</v>
      </c>
      <c r="I63" s="138">
        <f t="shared" si="29"/>
        <v>1.2999999999999999E-2</v>
      </c>
      <c r="J63" s="138">
        <f t="shared" si="29"/>
        <v>1.2999999999999999E-2</v>
      </c>
      <c r="K63" s="138">
        <f t="shared" si="29"/>
        <v>1.2999999999999999E-2</v>
      </c>
    </row>
    <row r="64" spans="1:13" ht="14.45" customHeight="1">
      <c r="A64"/>
      <c r="C64" s="25" t="s">
        <v>71</v>
      </c>
      <c r="D64" s="138">
        <f>-$D$21/$D$17</f>
        <v>0.2846108940679869</v>
      </c>
      <c r="E64" s="138">
        <f>-$E$21/$E$17</f>
        <v>0.30937700706486831</v>
      </c>
      <c r="F64" s="138">
        <f>-$F$21/$F$17</f>
        <v>0.30905753948884157</v>
      </c>
      <c r="G64" s="20">
        <v>0.30971276216308025</v>
      </c>
      <c r="H64" s="138">
        <f t="shared" si="29"/>
        <v>0.30971276216308025</v>
      </c>
      <c r="I64" s="138">
        <f t="shared" si="29"/>
        <v>0.30971276216308025</v>
      </c>
      <c r="J64" s="138">
        <f t="shared" si="29"/>
        <v>0.30971276216308025</v>
      </c>
      <c r="K64" s="138">
        <f t="shared" si="29"/>
        <v>0.30971276216308025</v>
      </c>
    </row>
    <row r="65" spans="1:11" ht="14.45" customHeight="1">
      <c r="A65"/>
      <c r="C65" s="25" t="s">
        <v>77</v>
      </c>
      <c r="D65" s="138">
        <f>-$D$27/$D$22</f>
        <v>0.13464033443851808</v>
      </c>
      <c r="E65" s="138">
        <f>-$E$27/$E$22</f>
        <v>9.0636704119850184E-2</v>
      </c>
      <c r="F65" s="138">
        <f>-$F$27/$F$22</f>
        <v>0.1912087912087912</v>
      </c>
      <c r="G65" s="20">
        <v>0.21</v>
      </c>
      <c r="H65" s="138">
        <f t="shared" si="29"/>
        <v>0.21</v>
      </c>
      <c r="I65" s="138">
        <f t="shared" si="29"/>
        <v>0.21</v>
      </c>
      <c r="J65" s="138">
        <f t="shared" si="29"/>
        <v>0.21</v>
      </c>
      <c r="K65" s="138">
        <f t="shared" si="29"/>
        <v>0.21</v>
      </c>
    </row>
    <row r="66" spans="1:11" ht="14.45" customHeight="1">
      <c r="A66"/>
      <c r="C66" s="25" t="s">
        <v>75</v>
      </c>
      <c r="D66" s="138">
        <f>$D$32/$D$17</f>
        <v>1.7894831379945214E-2</v>
      </c>
      <c r="E66" s="138">
        <f>$E$32/$E$17</f>
        <v>1.7983301220295438E-2</v>
      </c>
      <c r="F66" s="138">
        <f>$F$32/$F$17</f>
        <v>1.6771774996583166E-2</v>
      </c>
      <c r="G66" s="20">
        <v>1.7549969198941275E-2</v>
      </c>
      <c r="H66" s="138">
        <f t="shared" si="29"/>
        <v>1.7549969198941275E-2</v>
      </c>
      <c r="I66" s="138">
        <f t="shared" si="29"/>
        <v>1.7549969198941275E-2</v>
      </c>
      <c r="J66" s="138">
        <f t="shared" si="29"/>
        <v>1.7549969198941275E-2</v>
      </c>
      <c r="K66" s="138">
        <f t="shared" si="29"/>
        <v>1.7549969198941275E-2</v>
      </c>
    </row>
    <row r="67" spans="1:11" ht="14.45" customHeight="1">
      <c r="A67"/>
      <c r="C67" s="25"/>
      <c r="E67" s="25"/>
      <c r="G67" s="19"/>
      <c r="H67" s="19"/>
      <c r="I67" s="19"/>
      <c r="J67" s="19"/>
      <c r="K67" s="19"/>
    </row>
    <row r="68" spans="1:11" ht="14.45" customHeight="1">
      <c r="A68"/>
      <c r="C68" s="25"/>
      <c r="E68" s="25"/>
      <c r="G68" s="19"/>
      <c r="H68" s="19"/>
      <c r="I68" s="19"/>
      <c r="J68" s="19"/>
      <c r="K68" s="19"/>
    </row>
    <row r="69" spans="1:11" ht="14.45" customHeight="1">
      <c r="A69"/>
      <c r="C69" s="18"/>
    </row>
    <row r="70" spans="1:11" ht="14.45" customHeight="1">
      <c r="A70"/>
      <c r="C70" s="17" t="s">
        <v>78</v>
      </c>
      <c r="D70" s="68"/>
    </row>
    <row r="71" spans="1:11" ht="14.45" customHeight="1">
      <c r="A71"/>
      <c r="C71" t="s">
        <v>38</v>
      </c>
      <c r="D71" s="139">
        <f>D44</f>
        <v>44538</v>
      </c>
      <c r="E71" s="139">
        <f>E44</f>
        <v>46710</v>
      </c>
      <c r="F71" s="139">
        <f>F44</f>
        <v>51217</v>
      </c>
      <c r="G71" s="16">
        <f>F71*(1+G90)</f>
        <v>55314.36</v>
      </c>
      <c r="H71" s="16">
        <f>G71*(1+H90)</f>
        <v>59739.508800000003</v>
      </c>
      <c r="I71" s="16">
        <f>H71*(1+I90)</f>
        <v>64518.669504000005</v>
      </c>
      <c r="J71" s="16">
        <f>I71*(1+J90)</f>
        <v>69680.163064320004</v>
      </c>
      <c r="K71" s="16">
        <f>J71*(1+K90)</f>
        <v>75254.576109465605</v>
      </c>
    </row>
    <row r="72" spans="1:11" ht="14.45" customHeight="1">
      <c r="A72"/>
      <c r="C72" t="s">
        <v>40</v>
      </c>
      <c r="D72" s="139">
        <f>D45</f>
        <v>-24576</v>
      </c>
      <c r="E72" s="139">
        <f>E45</f>
        <v>-25231</v>
      </c>
      <c r="F72" s="139">
        <f>F45</f>
        <v>-28925</v>
      </c>
      <c r="G72" s="16">
        <f>G71*(1-G91)*(-1)</f>
        <v>-29869.754400000002</v>
      </c>
      <c r="H72" s="16">
        <f>H71*(1-H91)*(-1)</f>
        <v>-32259.334752000002</v>
      </c>
      <c r="I72" s="16">
        <f>I71*(1-I91)*(-1)</f>
        <v>-34840.081532160002</v>
      </c>
      <c r="J72" s="16">
        <f>J71*(1-J91)*(-1)</f>
        <v>-37627.288054732802</v>
      </c>
      <c r="K72" s="16">
        <f>K71*(1-K91)*(-1)</f>
        <v>-40637.471099111426</v>
      </c>
    </row>
    <row r="73" spans="1:11" ht="14.45" customHeight="1">
      <c r="A73"/>
      <c r="C73" s="14" t="s">
        <v>42</v>
      </c>
      <c r="D73" s="26">
        <f t="shared" ref="D73:K73" si="30">SUM(D71:D72)</f>
        <v>19962</v>
      </c>
      <c r="E73" s="26">
        <f t="shared" si="30"/>
        <v>21479</v>
      </c>
      <c r="F73" s="26">
        <f t="shared" si="30"/>
        <v>22292</v>
      </c>
      <c r="G73" s="26">
        <f t="shared" si="30"/>
        <v>25444.605599999999</v>
      </c>
      <c r="H73" s="26">
        <f t="shared" si="30"/>
        <v>27480.174048000001</v>
      </c>
      <c r="I73" s="26">
        <f t="shared" si="30"/>
        <v>29678.587971840003</v>
      </c>
      <c r="J73" s="26">
        <f t="shared" si="30"/>
        <v>32052.875009587202</v>
      </c>
      <c r="K73" s="26">
        <f t="shared" si="30"/>
        <v>34617.105010354178</v>
      </c>
    </row>
    <row r="74" spans="1:11" ht="14.45" customHeight="1">
      <c r="A74"/>
      <c r="C74" t="s">
        <v>44</v>
      </c>
      <c r="D74" s="139">
        <f>D47</f>
        <v>-349</v>
      </c>
      <c r="E74" s="139">
        <f>E47</f>
        <v>-353</v>
      </c>
      <c r="F74" s="139">
        <f>F47</f>
        <v>-548</v>
      </c>
      <c r="G74" s="16">
        <f>-G92*G71</f>
        <v>-719.08668</v>
      </c>
      <c r="H74" s="16">
        <f>-H92*H71</f>
        <v>-776.61361439999996</v>
      </c>
      <c r="I74" s="16">
        <f>-I92*I71</f>
        <v>-838.74270355200008</v>
      </c>
      <c r="J74" s="16">
        <f>-J92*J71</f>
        <v>-905.84211983616001</v>
      </c>
      <c r="K74" s="16">
        <f>-K92*K71</f>
        <v>-978.30948942305281</v>
      </c>
    </row>
    <row r="75" spans="1:11" ht="14.45" customHeight="1">
      <c r="A75"/>
      <c r="C75" t="s">
        <v>46</v>
      </c>
      <c r="D75" s="139">
        <f>D48</f>
        <v>-12676</v>
      </c>
      <c r="E75" s="139">
        <f>E48</f>
        <v>-14451</v>
      </c>
      <c r="F75" s="139">
        <f>F48</f>
        <v>-15829</v>
      </c>
      <c r="G75" s="16">
        <f>-G71*G93</f>
        <v>-17131.563222883</v>
      </c>
      <c r="H75" s="16">
        <f>-H71*H93</f>
        <v>-18502.08828071364</v>
      </c>
      <c r="I75" s="16">
        <f>-I71*I93</f>
        <v>-19982.255343170731</v>
      </c>
      <c r="J75" s="16">
        <f>-J71*J93</f>
        <v>-21580.835770624391</v>
      </c>
      <c r="K75" s="16">
        <f>-K71*K93</f>
        <v>-23307.302632274343</v>
      </c>
    </row>
    <row r="76" spans="1:11" ht="14.45" customHeight="1">
      <c r="A76"/>
      <c r="C76" s="14" t="s">
        <v>48</v>
      </c>
      <c r="D76" s="26">
        <f t="shared" ref="D76:K76" si="31">+SUM(D73:D75)</f>
        <v>6937</v>
      </c>
      <c r="E76" s="26">
        <f t="shared" si="31"/>
        <v>6675</v>
      </c>
      <c r="F76" s="26">
        <f t="shared" si="31"/>
        <v>5915</v>
      </c>
      <c r="G76" s="26">
        <f t="shared" si="31"/>
        <v>7593.9556971169986</v>
      </c>
      <c r="H76" s="26">
        <f t="shared" si="31"/>
        <v>8201.4721528863593</v>
      </c>
      <c r="I76" s="26">
        <f t="shared" si="31"/>
        <v>8857.5899251172705</v>
      </c>
      <c r="J76" s="26">
        <f t="shared" si="31"/>
        <v>9566.1971191266493</v>
      </c>
      <c r="K76" s="26">
        <f t="shared" si="31"/>
        <v>10331.492888656783</v>
      </c>
    </row>
    <row r="77" spans="1:11" ht="14.45" customHeight="1">
      <c r="A77"/>
      <c r="C77" t="s">
        <v>50</v>
      </c>
      <c r="D77" s="139">
        <f>D50</f>
        <v>34</v>
      </c>
      <c r="E77" s="139">
        <f>E50</f>
        <v>94</v>
      </c>
      <c r="F77" s="139">
        <f>F50</f>
        <v>297</v>
      </c>
      <c r="G77" s="16">
        <f t="shared" ref="G77:K79" si="32">F77</f>
        <v>297</v>
      </c>
      <c r="H77" s="16">
        <f t="shared" si="32"/>
        <v>297</v>
      </c>
      <c r="I77" s="16">
        <f t="shared" si="32"/>
        <v>297</v>
      </c>
      <c r="J77" s="16">
        <f t="shared" si="32"/>
        <v>297</v>
      </c>
      <c r="K77" s="16">
        <f t="shared" si="32"/>
        <v>297</v>
      </c>
    </row>
    <row r="78" spans="1:11" ht="14.45" customHeight="1">
      <c r="A78"/>
      <c r="C78" t="s">
        <v>52</v>
      </c>
      <c r="D78" s="139">
        <f>D51</f>
        <v>-296</v>
      </c>
      <c r="E78" s="139">
        <f>E51</f>
        <v>-299</v>
      </c>
      <c r="F78" s="139">
        <f>F51</f>
        <v>-291</v>
      </c>
      <c r="G78" s="16">
        <f t="shared" si="32"/>
        <v>-291</v>
      </c>
      <c r="H78" s="16">
        <f t="shared" si="32"/>
        <v>-291</v>
      </c>
      <c r="I78" s="16">
        <f t="shared" si="32"/>
        <v>-291</v>
      </c>
      <c r="J78" s="16">
        <f t="shared" si="32"/>
        <v>-291</v>
      </c>
      <c r="K78" s="16">
        <f t="shared" si="32"/>
        <v>-291</v>
      </c>
    </row>
    <row r="79" spans="1:11" ht="14.45" customHeight="1">
      <c r="A79"/>
      <c r="C79" t="s">
        <v>53</v>
      </c>
      <c r="D79" s="139">
        <f>D52</f>
        <v>-14</v>
      </c>
      <c r="E79" s="139">
        <f>E52</f>
        <v>181</v>
      </c>
      <c r="F79" s="139">
        <f>F52</f>
        <v>280</v>
      </c>
      <c r="G79" s="16">
        <f t="shared" si="32"/>
        <v>280</v>
      </c>
      <c r="H79" s="16">
        <f t="shared" si="32"/>
        <v>280</v>
      </c>
      <c r="I79" s="16">
        <f t="shared" si="32"/>
        <v>280</v>
      </c>
      <c r="J79" s="16">
        <f t="shared" si="32"/>
        <v>280</v>
      </c>
      <c r="K79" s="16">
        <f t="shared" si="32"/>
        <v>280</v>
      </c>
    </row>
    <row r="80" spans="1:11" ht="14.45" customHeight="1">
      <c r="A80"/>
      <c r="C80" s="14" t="s">
        <v>54</v>
      </c>
      <c r="D80" s="26">
        <f t="shared" ref="D80:K80" si="33">SUM(D76:D79)</f>
        <v>6661</v>
      </c>
      <c r="E80" s="26">
        <f t="shared" si="33"/>
        <v>6651</v>
      </c>
      <c r="F80" s="26">
        <f t="shared" si="33"/>
        <v>6201</v>
      </c>
      <c r="G80" s="26">
        <f t="shared" si="33"/>
        <v>7879.9556971169986</v>
      </c>
      <c r="H80" s="26">
        <f t="shared" si="33"/>
        <v>8487.4721528863593</v>
      </c>
      <c r="I80" s="26">
        <f t="shared" si="33"/>
        <v>9143.5899251172705</v>
      </c>
      <c r="J80" s="26">
        <f t="shared" si="33"/>
        <v>9852.1971191266493</v>
      </c>
      <c r="K80" s="26">
        <f t="shared" si="33"/>
        <v>10617.492888656783</v>
      </c>
    </row>
    <row r="81" spans="1:11" ht="14.45" customHeight="1">
      <c r="A81"/>
      <c r="C81" t="s">
        <v>56</v>
      </c>
      <c r="D81" s="139">
        <f>D54</f>
        <v>-934</v>
      </c>
      <c r="E81" s="139">
        <f>E54</f>
        <v>-605</v>
      </c>
      <c r="F81" s="139">
        <f>F54</f>
        <v>-1131</v>
      </c>
      <c r="G81" s="16">
        <f>-G94*G80</f>
        <v>-1654.7906963945697</v>
      </c>
      <c r="H81" s="16">
        <f>-H94*H80</f>
        <v>-1782.3691521061353</v>
      </c>
      <c r="I81" s="16">
        <f>-I94*I80</f>
        <v>-1920.1538842746268</v>
      </c>
      <c r="J81" s="16">
        <f>-J94*J80</f>
        <v>-2068.9613950165963</v>
      </c>
      <c r="K81" s="16">
        <f>-K94*K80</f>
        <v>-2229.6735066179244</v>
      </c>
    </row>
    <row r="82" spans="1:11" ht="14.45" customHeight="1">
      <c r="A82"/>
      <c r="C82" s="14" t="s">
        <v>58</v>
      </c>
      <c r="D82" s="26">
        <f t="shared" ref="D82:K82" si="34">SUM(D80:D81)</f>
        <v>5727</v>
      </c>
      <c r="E82" s="26">
        <f t="shared" si="34"/>
        <v>6046</v>
      </c>
      <c r="F82" s="26">
        <f t="shared" si="34"/>
        <v>5070</v>
      </c>
      <c r="G82" s="26">
        <f t="shared" si="34"/>
        <v>6225.1650007224289</v>
      </c>
      <c r="H82" s="26">
        <f t="shared" si="34"/>
        <v>6705.1030007802237</v>
      </c>
      <c r="I82" s="26">
        <f t="shared" si="34"/>
        <v>7223.4360408426437</v>
      </c>
      <c r="J82" s="26">
        <f t="shared" si="34"/>
        <v>7783.2357241100526</v>
      </c>
      <c r="K82" s="26">
        <f t="shared" si="34"/>
        <v>8387.8193820388587</v>
      </c>
    </row>
    <row r="83" spans="1:11" ht="14.45" customHeight="1">
      <c r="A83"/>
      <c r="C83" t="s">
        <v>34</v>
      </c>
      <c r="D83" s="139">
        <f>D56</f>
        <v>1573</v>
      </c>
      <c r="E83" s="139">
        <f>E56</f>
        <v>1579</v>
      </c>
      <c r="F83" s="139">
        <f>F56</f>
        <v>1552</v>
      </c>
      <c r="G83" s="16">
        <f t="shared" ref="D83:K83" si="35">$D$11</f>
        <v>1521.9101250000001</v>
      </c>
      <c r="H83" s="16">
        <f t="shared" si="35"/>
        <v>1521.9101250000001</v>
      </c>
      <c r="I83" s="16">
        <f t="shared" si="35"/>
        <v>1521.9101250000001</v>
      </c>
      <c r="J83" s="16">
        <f t="shared" si="35"/>
        <v>1521.9101250000001</v>
      </c>
      <c r="K83" s="16">
        <f t="shared" si="35"/>
        <v>1521.9101250000001</v>
      </c>
    </row>
    <row r="84" spans="1:11" ht="14.45" customHeight="1">
      <c r="A84"/>
      <c r="C84" t="s">
        <v>60</v>
      </c>
      <c r="D84" s="62">
        <f t="shared" ref="D84:K84" si="36">D82/D83</f>
        <v>3.6408137317228224</v>
      </c>
      <c r="E84" s="62">
        <f t="shared" si="36"/>
        <v>3.8290056998100064</v>
      </c>
      <c r="F84" s="62">
        <f t="shared" si="36"/>
        <v>3.2667525773195876</v>
      </c>
      <c r="G84" s="62">
        <f t="shared" si="36"/>
        <v>4.0903630894251579</v>
      </c>
      <c r="H84" s="62">
        <f t="shared" si="36"/>
        <v>4.405715482561904</v>
      </c>
      <c r="I84" s="62">
        <f t="shared" si="36"/>
        <v>4.7462960671495917</v>
      </c>
      <c r="J84" s="62">
        <f t="shared" si="36"/>
        <v>5.1141230985042903</v>
      </c>
      <c r="K84" s="62">
        <f t="shared" si="36"/>
        <v>5.5113762923673688</v>
      </c>
    </row>
    <row r="85" spans="1:11" ht="14.45" customHeight="1">
      <c r="A85"/>
    </row>
    <row r="86" spans="1:11" ht="14.45" customHeight="1">
      <c r="A86"/>
    </row>
    <row r="87" spans="1:11" ht="14.45" customHeight="1">
      <c r="A87"/>
    </row>
    <row r="88" spans="1:11" ht="14.45" customHeight="1">
      <c r="A88"/>
    </row>
    <row r="89" spans="1:11" ht="14.45" customHeight="1">
      <c r="A89"/>
      <c r="C89" s="17" t="s">
        <v>64</v>
      </c>
    </row>
    <row r="90" spans="1:11" ht="14.45" customHeight="1">
      <c r="A90"/>
      <c r="C90" t="s">
        <v>65</v>
      </c>
      <c r="D90" s="138">
        <v>0.19076009945726269</v>
      </c>
      <c r="E90" s="138">
        <f>$E$17/$D$17-1</f>
        <v>4.8767344739323759E-2</v>
      </c>
      <c r="F90" s="138">
        <f>$F$17/$E$17-1</f>
        <v>9.6488974523656568E-2</v>
      </c>
      <c r="G90" s="20">
        <v>0.08</v>
      </c>
      <c r="H90" s="138">
        <f t="shared" ref="H90:K95" si="37">G90</f>
        <v>0.08</v>
      </c>
      <c r="I90" s="138">
        <f t="shared" si="37"/>
        <v>0.08</v>
      </c>
      <c r="J90" s="138">
        <f t="shared" si="37"/>
        <v>0.08</v>
      </c>
      <c r="K90" s="138">
        <f t="shared" si="37"/>
        <v>0.08</v>
      </c>
    </row>
    <row r="91" spans="1:11" ht="14.45" customHeight="1">
      <c r="A91"/>
      <c r="C91" t="s">
        <v>67</v>
      </c>
      <c r="D91" s="138">
        <f>$D$19/$D$17</f>
        <v>0.44820153576721</v>
      </c>
      <c r="E91" s="138">
        <f>$E$19/$E$17</f>
        <v>0.45983729394134021</v>
      </c>
      <c r="F91" s="138">
        <f>$F$19/$F$17</f>
        <v>0.43524610969014194</v>
      </c>
      <c r="G91" s="20">
        <v>0.46</v>
      </c>
      <c r="H91" s="138">
        <f t="shared" si="37"/>
        <v>0.46</v>
      </c>
      <c r="I91" s="138">
        <f t="shared" si="37"/>
        <v>0.46</v>
      </c>
      <c r="J91" s="138">
        <f t="shared" si="37"/>
        <v>0.46</v>
      </c>
      <c r="K91" s="138">
        <f t="shared" si="37"/>
        <v>0.46</v>
      </c>
    </row>
    <row r="92" spans="1:11" ht="14.45" customHeight="1">
      <c r="A92"/>
      <c r="C92" t="s">
        <v>69</v>
      </c>
      <c r="D92" s="138">
        <f>-$D$20/$D$17</f>
        <v>7.8360052090349821E-3</v>
      </c>
      <c r="E92" s="138">
        <f>-$E$20/$E$17</f>
        <v>7.5572682509098691E-3</v>
      </c>
      <c r="F92" s="138">
        <f>-$F$20/$F$17</f>
        <v>1.0699572407599039E-2</v>
      </c>
      <c r="G92" s="20">
        <v>1.2999999999999999E-2</v>
      </c>
      <c r="H92" s="138">
        <f t="shared" si="37"/>
        <v>1.2999999999999999E-2</v>
      </c>
      <c r="I92" s="138">
        <f t="shared" si="37"/>
        <v>1.2999999999999999E-2</v>
      </c>
      <c r="J92" s="138">
        <f t="shared" si="37"/>
        <v>1.2999999999999999E-2</v>
      </c>
      <c r="K92" s="138">
        <f t="shared" si="37"/>
        <v>1.2999999999999999E-2</v>
      </c>
    </row>
    <row r="93" spans="1:11" ht="14.45" customHeight="1">
      <c r="A93"/>
      <c r="C93" t="s">
        <v>71</v>
      </c>
      <c r="D93" s="138">
        <f>-$D$21/$D$17</f>
        <v>0.2846108940679869</v>
      </c>
      <c r="E93" s="138">
        <f>-$E$21/$E$17</f>
        <v>0.30937700706486831</v>
      </c>
      <c r="F93" s="138">
        <f>-$F$21/$F$17</f>
        <v>0.30905753948884157</v>
      </c>
      <c r="G93" s="20">
        <v>0.30971276216308025</v>
      </c>
      <c r="H93" s="138">
        <f t="shared" si="37"/>
        <v>0.30971276216308025</v>
      </c>
      <c r="I93" s="138">
        <f t="shared" si="37"/>
        <v>0.30971276216308025</v>
      </c>
      <c r="J93" s="138">
        <f t="shared" si="37"/>
        <v>0.30971276216308025</v>
      </c>
      <c r="K93" s="138">
        <f t="shared" si="37"/>
        <v>0.30971276216308025</v>
      </c>
    </row>
    <row r="94" spans="1:11" ht="14.45" customHeight="1">
      <c r="A94"/>
      <c r="C94" t="s">
        <v>77</v>
      </c>
      <c r="D94" s="138">
        <f>-$D$27/$D$22</f>
        <v>0.13464033443851808</v>
      </c>
      <c r="E94" s="138">
        <f>-$E$27/$E$22</f>
        <v>9.0636704119850184E-2</v>
      </c>
      <c r="F94" s="138">
        <f>-$F$27/$F$22</f>
        <v>0.1912087912087912</v>
      </c>
      <c r="G94" s="20">
        <v>0.21</v>
      </c>
      <c r="H94" s="138">
        <f t="shared" si="37"/>
        <v>0.21</v>
      </c>
      <c r="I94" s="138">
        <f t="shared" si="37"/>
        <v>0.21</v>
      </c>
      <c r="J94" s="138">
        <f t="shared" si="37"/>
        <v>0.21</v>
      </c>
      <c r="K94" s="138">
        <f t="shared" si="37"/>
        <v>0.21</v>
      </c>
    </row>
    <row r="95" spans="1:11" ht="14.45" customHeight="1">
      <c r="A95"/>
      <c r="C95" t="s">
        <v>75</v>
      </c>
      <c r="D95" s="138">
        <f>$D$32/$D$17</f>
        <v>1.7894831379945214E-2</v>
      </c>
      <c r="E95" s="138">
        <f>$E$32/$E$17</f>
        <v>1.7983301220295438E-2</v>
      </c>
      <c r="F95" s="138">
        <f>$F$32/$F$17</f>
        <v>1.6771774996583166E-2</v>
      </c>
      <c r="G95" s="20">
        <v>1.7549969198941275E-2</v>
      </c>
      <c r="H95" s="138">
        <f t="shared" si="37"/>
        <v>1.7549969198941275E-2</v>
      </c>
      <c r="I95" s="138">
        <f t="shared" si="37"/>
        <v>1.7549969198941275E-2</v>
      </c>
      <c r="J95" s="138">
        <f t="shared" si="37"/>
        <v>1.7549969198941275E-2</v>
      </c>
      <c r="K95" s="138">
        <f t="shared" si="37"/>
        <v>1.7549969198941275E-2</v>
      </c>
    </row>
    <row r="96" spans="1:11" ht="14.45" customHeight="1">
      <c r="A96"/>
    </row>
    <row r="97" spans="3:3" customFormat="1" ht="14.45" customHeight="1"/>
    <row r="98" spans="3:3" customFormat="1" ht="14.45" customHeight="1"/>
    <row r="99" spans="3:3" customFormat="1" ht="14.45" customHeight="1"/>
    <row r="100" spans="3:3" customFormat="1" ht="14.45" customHeight="1">
      <c r="C100" s="14" t="s">
        <v>79</v>
      </c>
    </row>
    <row r="101" spans="3:3" customFormat="1" ht="14.45" customHeight="1">
      <c r="C101" t="s">
        <v>80</v>
      </c>
    </row>
    <row r="102" spans="3:3" customFormat="1" ht="14.45" customHeight="1">
      <c r="C102" t="s">
        <v>81</v>
      </c>
    </row>
    <row r="103" spans="3:3" customFormat="1" ht="14.45" customHeight="1"/>
    <row r="104" spans="3:3" customFormat="1" ht="14.45" customHeight="1"/>
    <row r="105" spans="3:3" customFormat="1" ht="14.45" customHeight="1"/>
    <row r="106" spans="3:3" customFormat="1" ht="14.45" customHeight="1"/>
    <row r="107" spans="3:3" customFormat="1" ht="14.45" customHeight="1"/>
    <row r="108" spans="3:3" customFormat="1" ht="14.45" customHeight="1"/>
    <row r="109" spans="3:3" customFormat="1" ht="14.45" customHeight="1"/>
    <row r="110" spans="3:3" customFormat="1" ht="14.45" customHeight="1"/>
    <row r="111" spans="3:3" customFormat="1" ht="14.45" customHeight="1"/>
    <row r="112" spans="3:3" customFormat="1" ht="14.45" customHeight="1"/>
    <row r="113" customFormat="1" ht="14.45" customHeight="1"/>
    <row r="114" customFormat="1" ht="14.45" customHeight="1"/>
    <row r="115" customFormat="1" ht="14.45" customHeight="1"/>
    <row r="116" customFormat="1" ht="14.45" customHeight="1"/>
    <row r="117" customFormat="1" ht="14.45" customHeight="1"/>
    <row r="118" customFormat="1" ht="14.45" customHeight="1"/>
    <row r="119" customFormat="1" ht="14.45" customHeight="1"/>
    <row r="120" customFormat="1" ht="14.45" customHeight="1"/>
    <row r="121" customFormat="1" ht="14.45" customHeight="1"/>
    <row r="122" customFormat="1" ht="14.45" customHeight="1"/>
    <row r="123" customFormat="1" ht="14.45" customHeight="1"/>
    <row r="124" customFormat="1" ht="14.45" customHeight="1"/>
    <row r="125" customFormat="1" ht="14.45" customHeight="1"/>
    <row r="126" customFormat="1" ht="14.45" customHeight="1"/>
    <row r="127" customFormat="1" ht="14.45" customHeight="1"/>
    <row r="128" customFormat="1" ht="14.45" customHeight="1"/>
    <row r="129" customFormat="1" ht="14.45" customHeight="1"/>
    <row r="130" customFormat="1" ht="14.45" customHeight="1"/>
    <row r="131" customFormat="1" ht="14.45" customHeight="1"/>
    <row r="132" customFormat="1" ht="14.45" customHeight="1"/>
    <row r="133" customFormat="1" ht="14.45" customHeight="1"/>
    <row r="134" customFormat="1" ht="14.45" customHeight="1"/>
    <row r="135" customFormat="1" ht="14.45" customHeight="1"/>
    <row r="136" customFormat="1" ht="14.45" customHeight="1"/>
    <row r="137" customFormat="1" ht="14.45" customHeight="1"/>
    <row r="138" customFormat="1" ht="14.45" customHeight="1"/>
    <row r="139" customFormat="1" ht="14.45" customHeight="1"/>
    <row r="140" customFormat="1" ht="14.45" customHeight="1"/>
    <row r="141" customFormat="1" ht="14.45" customHeight="1"/>
    <row r="142" customFormat="1" ht="14.45" customHeight="1"/>
    <row r="143" customFormat="1" ht="14.45" customHeight="1"/>
    <row r="144" customFormat="1" ht="14.45" customHeight="1"/>
    <row r="145" customFormat="1" ht="14.45" customHeight="1"/>
    <row r="146" customFormat="1" ht="14.45" customHeight="1"/>
    <row r="147" customFormat="1" ht="14.45" customHeight="1"/>
    <row r="148" customFormat="1" ht="14.45" customHeight="1"/>
    <row r="149" customFormat="1" ht="14.45" customHeight="1"/>
    <row r="150" customFormat="1" ht="14.45" customHeight="1"/>
    <row r="151" customFormat="1" ht="14.45" customHeight="1"/>
    <row r="152" customFormat="1" ht="14.45" customHeight="1"/>
    <row r="153" customFormat="1" ht="14.45" customHeight="1"/>
    <row r="154" customFormat="1" ht="14.45" customHeight="1"/>
    <row r="155" customFormat="1" ht="14.45" customHeight="1"/>
    <row r="156" customFormat="1" ht="14.45" customHeight="1"/>
  </sheetData>
  <conditionalFormatting sqref="C39">
    <cfRule type="expression" dxfId="8" priority="15">
      <formula>#REF!=$C39</formula>
    </cfRule>
  </conditionalFormatting>
  <conditionalFormatting sqref="C49">
    <cfRule type="expression" dxfId="7" priority="14">
      <formula>#REF!=$C49</formula>
    </cfRule>
  </conditionalFormatting>
  <conditionalFormatting sqref="C66">
    <cfRule type="expression" dxfId="6" priority="11">
      <formula>#REF!=$C68</formula>
    </cfRule>
  </conditionalFormatting>
  <conditionalFormatting sqref="C68">
    <cfRule type="expression" dxfId="5" priority="13">
      <formula>#REF!=$C68</formula>
    </cfRule>
  </conditionalFormatting>
  <conditionalFormatting sqref="E68">
    <cfRule type="expression" dxfId="4" priority="10">
      <formula>#REF!=$C68</formula>
    </cfRule>
  </conditionalFormatting>
  <conditionalFormatting sqref="C47">
    <cfRule type="expression" dxfId="3" priority="7">
      <formula>#REF!=$C47</formula>
    </cfRule>
  </conditionalFormatting>
  <conditionalFormatting sqref="C64">
    <cfRule type="expression" dxfId="2" priority="4">
      <formula>#REF!=$C66</formula>
    </cfRule>
  </conditionalFormatting>
  <conditionalFormatting sqref="C66">
    <cfRule type="expression" dxfId="1" priority="6">
      <formula>#REF!=$C66</formula>
    </cfRule>
  </conditionalFormatting>
  <dataValidations disablePrompts="1" count="2">
    <dataValidation type="list" allowBlank="1" showInputMessage="1" showErrorMessage="1" sqref="D7" xr:uid="{6C635B6E-899D-4F46-922F-62CE0E30BFE7}">
      <formula1>"0,1"</formula1>
    </dataValidation>
    <dataValidation type="list" allowBlank="1" showInputMessage="1" showErrorMessage="1" sqref="C3" xr:uid="{7F4924A9-1A77-4F68-A8F9-611DABFA2AB1}">
      <formula1>"$ bns except per share, $ mm except per share,$ in thousands except per share"</formula1>
    </dataValidation>
  </dataValidations>
  <pageMargins left="0.7" right="0.7" top="0.75" bottom="0.75" header="0.3" footer="0.3"/>
  <pageSetup scale="3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3B52B-7575-45E6-8A2F-DC16607EC912}">
  <sheetPr>
    <pageSetUpPr fitToPage="1"/>
  </sheetPr>
  <dimension ref="A1:I73"/>
  <sheetViews>
    <sheetView showGridLines="0" topLeftCell="A15" zoomScale="84" zoomScaleNormal="84" workbookViewId="0">
      <selection activeCell="F30" sqref="F30"/>
    </sheetView>
  </sheetViews>
  <sheetFormatPr defaultColWidth="8.85546875" defaultRowHeight="14.45"/>
  <cols>
    <col min="1" max="2" width="1.7109375" customWidth="1"/>
    <col min="3" max="3" width="46" bestFit="1" customWidth="1"/>
    <col min="4" max="4" width="18.140625" customWidth="1"/>
    <col min="5" max="6" width="12.28515625" customWidth="1"/>
    <col min="7" max="7" width="6.85546875" bestFit="1" customWidth="1"/>
    <col min="8" max="8" width="11.42578125" customWidth="1"/>
    <col min="9" max="9" width="26.140625" bestFit="1" customWidth="1"/>
    <col min="10" max="10" width="10.28515625" bestFit="1" customWidth="1"/>
    <col min="11" max="11" width="19.42578125" bestFit="1" customWidth="1"/>
    <col min="12" max="12" width="11.42578125" bestFit="1" customWidth="1"/>
    <col min="13" max="14" width="9.42578125" bestFit="1" customWidth="1"/>
  </cols>
  <sheetData>
    <row r="1" spans="1:8" ht="15" thickBot="1">
      <c r="A1" s="52"/>
    </row>
    <row r="2" spans="1:8" ht="21.6" thickBot="1">
      <c r="A2" s="52"/>
      <c r="C2" s="51" t="str">
        <f>"Financial Statement Model for "&amp;D5</f>
        <v xml:space="preserve">Financial Statement Model for Nike </v>
      </c>
      <c r="D2" s="31"/>
      <c r="E2" s="31"/>
      <c r="F2" s="31"/>
      <c r="H2" s="35"/>
    </row>
    <row r="3" spans="1:8" ht="14.45" customHeight="1">
      <c r="A3" s="52"/>
      <c r="C3" s="2" t="s">
        <v>25</v>
      </c>
      <c r="D3" s="30"/>
      <c r="E3" s="30"/>
      <c r="F3" s="30"/>
    </row>
    <row r="4" spans="1:8" ht="14.45" customHeight="1">
      <c r="A4" s="52"/>
    </row>
    <row r="5" spans="1:8" ht="14.45" customHeight="1">
      <c r="A5" s="52"/>
      <c r="C5" s="1" t="s">
        <v>26</v>
      </c>
      <c r="D5" s="38" t="s">
        <v>82</v>
      </c>
    </row>
    <row r="6" spans="1:8" ht="14.45" customHeight="1">
      <c r="A6" s="52"/>
      <c r="C6" s="1" t="s">
        <v>28</v>
      </c>
      <c r="D6" s="38" t="s">
        <v>83</v>
      </c>
    </row>
    <row r="7" spans="1:8" ht="14.45" customHeight="1">
      <c r="A7" s="52"/>
      <c r="C7" t="s">
        <v>30</v>
      </c>
      <c r="D7" s="39">
        <v>1</v>
      </c>
    </row>
    <row r="8" spans="1:8" ht="14.45" customHeight="1">
      <c r="A8" s="52"/>
      <c r="C8" t="s">
        <v>31</v>
      </c>
      <c r="D8" s="40">
        <v>107.82</v>
      </c>
    </row>
    <row r="9" spans="1:8" ht="14.45" customHeight="1">
      <c r="A9" s="52"/>
      <c r="C9" t="s">
        <v>32</v>
      </c>
      <c r="D9" s="41">
        <v>45245</v>
      </c>
    </row>
    <row r="10" spans="1:8" ht="14.45" customHeight="1">
      <c r="A10" s="52"/>
      <c r="C10" s="1" t="s">
        <v>33</v>
      </c>
      <c r="D10" s="42">
        <v>45077</v>
      </c>
    </row>
    <row r="11" spans="1:8" ht="14.45" customHeight="1">
      <c r="A11" s="52"/>
      <c r="C11" t="s">
        <v>34</v>
      </c>
      <c r="D11" s="43">
        <f>1521910125/1000000</f>
        <v>1521.9101250000001</v>
      </c>
    </row>
    <row r="12" spans="1:8" ht="14.45" customHeight="1">
      <c r="A12" s="52"/>
      <c r="D12" t="s">
        <v>84</v>
      </c>
    </row>
    <row r="13" spans="1:8" ht="14.45" customHeight="1">
      <c r="A13" s="53" t="s">
        <v>35</v>
      </c>
      <c r="C13" s="4" t="s">
        <v>36</v>
      </c>
      <c r="D13" s="5"/>
      <c r="E13" s="5"/>
      <c r="F13" s="5"/>
    </row>
    <row r="14" spans="1:8" ht="14.45" customHeight="1">
      <c r="A14" s="53"/>
      <c r="C14" t="s">
        <v>4</v>
      </c>
      <c r="D14" s="6">
        <f>E14-1</f>
        <v>2021</v>
      </c>
      <c r="E14" s="6">
        <f>F14-1</f>
        <v>2022</v>
      </c>
      <c r="F14" s="6">
        <f>YEAR(D10)</f>
        <v>2023</v>
      </c>
    </row>
    <row r="15" spans="1:8" ht="14.45" customHeight="1">
      <c r="A15" s="53"/>
      <c r="C15" s="8" t="s">
        <v>5</v>
      </c>
      <c r="D15" s="36">
        <f>EOMONTH(E15,-12)</f>
        <v>44347</v>
      </c>
      <c r="E15" s="36">
        <f>EOMONTH(F15,-12)</f>
        <v>44712</v>
      </c>
      <c r="F15" s="36">
        <f>D10</f>
        <v>45077</v>
      </c>
    </row>
    <row r="16" spans="1:8" ht="14.45" customHeight="1">
      <c r="A16" s="53"/>
      <c r="C16" s="10"/>
      <c r="D16" s="11"/>
      <c r="E16" s="12"/>
      <c r="F16" s="12"/>
    </row>
    <row r="17" spans="1:9" ht="14.45" customHeight="1">
      <c r="A17" s="53"/>
      <c r="C17" t="s">
        <v>38</v>
      </c>
      <c r="D17" s="37">
        <v>44538</v>
      </c>
      <c r="E17" s="37">
        <v>46710</v>
      </c>
      <c r="F17" s="37">
        <v>51217</v>
      </c>
    </row>
    <row r="18" spans="1:9" ht="14.45" customHeight="1">
      <c r="A18" s="53"/>
      <c r="C18" t="s">
        <v>40</v>
      </c>
      <c r="D18" s="46">
        <v>-24576</v>
      </c>
      <c r="E18" s="46">
        <v>-25231</v>
      </c>
      <c r="F18" s="46">
        <f>-28925</f>
        <v>-28925</v>
      </c>
    </row>
    <row r="19" spans="1:9" ht="14.45" customHeight="1">
      <c r="A19" s="53"/>
      <c r="C19" s="14" t="s">
        <v>42</v>
      </c>
      <c r="D19" s="47">
        <f t="shared" ref="D19:E19" si="0">SUM(D17:D18)</f>
        <v>19962</v>
      </c>
      <c r="E19" s="47">
        <f t="shared" si="0"/>
        <v>21479</v>
      </c>
      <c r="F19" s="47">
        <f>SUM(F17:F18)</f>
        <v>22292</v>
      </c>
    </row>
    <row r="20" spans="1:9" ht="14.45" customHeight="1">
      <c r="A20" s="53"/>
      <c r="C20" t="s">
        <v>44</v>
      </c>
      <c r="D20" s="46">
        <v>-349</v>
      </c>
      <c r="E20" s="46">
        <v>-353</v>
      </c>
      <c r="F20" s="46">
        <v>-548</v>
      </c>
    </row>
    <row r="21" spans="1:9" ht="14.45" customHeight="1">
      <c r="A21" s="53"/>
      <c r="C21" t="s">
        <v>46</v>
      </c>
      <c r="D21" s="46">
        <v>-12676</v>
      </c>
      <c r="E21" s="46">
        <v>-14451</v>
      </c>
      <c r="F21" s="46">
        <v>-15829</v>
      </c>
    </row>
    <row r="22" spans="1:9" ht="14.45" customHeight="1">
      <c r="A22" s="53"/>
      <c r="C22" s="14" t="s">
        <v>48</v>
      </c>
      <c r="D22" s="45">
        <f>SUM(D19:D21)</f>
        <v>6937</v>
      </c>
      <c r="E22" s="45">
        <f t="shared" ref="E22" si="1">SUM(E19:E21)</f>
        <v>6675</v>
      </c>
      <c r="F22" s="45">
        <f>SUM(F19:F21)</f>
        <v>5915</v>
      </c>
    </row>
    <row r="23" spans="1:9" ht="14.45" customHeight="1">
      <c r="A23" s="53"/>
      <c r="C23" t="s">
        <v>50</v>
      </c>
      <c r="D23" s="37">
        <v>34</v>
      </c>
      <c r="E23" s="37">
        <v>94</v>
      </c>
      <c r="F23" s="37">
        <v>297</v>
      </c>
      <c r="H23" s="56"/>
    </row>
    <row r="24" spans="1:9" ht="14.45" customHeight="1">
      <c r="A24" s="53"/>
      <c r="C24" t="s">
        <v>52</v>
      </c>
      <c r="D24" s="37">
        <v>-296</v>
      </c>
      <c r="E24" s="37">
        <v>-299</v>
      </c>
      <c r="F24" s="37">
        <v>-291</v>
      </c>
      <c r="H24" s="56"/>
    </row>
    <row r="25" spans="1:9" ht="14.45" customHeight="1">
      <c r="A25" s="53"/>
      <c r="C25" t="s">
        <v>53</v>
      </c>
      <c r="D25" s="37">
        <v>-14</v>
      </c>
      <c r="E25" s="37">
        <v>181</v>
      </c>
      <c r="F25" s="37">
        <v>280</v>
      </c>
      <c r="H25" s="56"/>
      <c r="I25">
        <f>717+123</f>
        <v>840</v>
      </c>
    </row>
    <row r="26" spans="1:9" ht="14.45" customHeight="1">
      <c r="A26" s="53"/>
      <c r="C26" s="14" t="s">
        <v>54</v>
      </c>
      <c r="D26" s="45">
        <f>SUM(D22:D25)</f>
        <v>6661</v>
      </c>
      <c r="E26" s="45">
        <f t="shared" ref="E26" si="2">SUM(E22:E25)</f>
        <v>6651</v>
      </c>
      <c r="F26" s="45">
        <f>SUM(F22:F25)</f>
        <v>6201</v>
      </c>
    </row>
    <row r="27" spans="1:9" ht="14.45" customHeight="1">
      <c r="A27" s="53"/>
      <c r="C27" t="s">
        <v>56</v>
      </c>
      <c r="D27" s="37">
        <v>-934</v>
      </c>
      <c r="E27" s="37">
        <v>-605</v>
      </c>
      <c r="F27" s="37">
        <v>-1131</v>
      </c>
    </row>
    <row r="28" spans="1:9" ht="14.45" customHeight="1">
      <c r="A28" s="53"/>
      <c r="C28" s="14" t="s">
        <v>58</v>
      </c>
      <c r="D28" s="45">
        <f>SUM(D26:D27)</f>
        <v>5727</v>
      </c>
      <c r="E28" s="45">
        <f t="shared" ref="E28" si="3">SUM(E26:E27)</f>
        <v>6046</v>
      </c>
      <c r="F28" s="45">
        <f>SUM(F26:F27)</f>
        <v>5070</v>
      </c>
      <c r="H28" s="14" t="s">
        <v>85</v>
      </c>
    </row>
    <row r="29" spans="1:9" ht="14.45" customHeight="1">
      <c r="A29" s="53"/>
      <c r="C29" s="18"/>
    </row>
    <row r="30" spans="1:9" ht="14.45" customHeight="1">
      <c r="A30" s="53"/>
      <c r="C30" s="25" t="s">
        <v>61</v>
      </c>
      <c r="D30" s="37">
        <f>744+53</f>
        <v>797</v>
      </c>
      <c r="E30" s="37">
        <v>840</v>
      </c>
      <c r="F30" s="37">
        <v>859</v>
      </c>
      <c r="H30" t="s">
        <v>86</v>
      </c>
    </row>
    <row r="31" spans="1:9" ht="14.45" customHeight="1">
      <c r="A31" s="53"/>
      <c r="C31" s="24" t="s">
        <v>62</v>
      </c>
      <c r="D31" s="45">
        <f>SUM(D28:D30)</f>
        <v>6524</v>
      </c>
      <c r="E31" s="45">
        <f>SUM(E28:E30)</f>
        <v>6886</v>
      </c>
      <c r="F31" s="45">
        <f>SUM(F28:F30)</f>
        <v>5929</v>
      </c>
      <c r="H31" s="14" t="s">
        <v>63</v>
      </c>
    </row>
    <row r="32" spans="1:9" ht="14.45" customHeight="1">
      <c r="A32" s="53"/>
      <c r="C32" s="25" t="s">
        <v>87</v>
      </c>
      <c r="D32" s="37">
        <v>611</v>
      </c>
      <c r="E32" s="37">
        <v>638</v>
      </c>
      <c r="F32" s="37">
        <v>755</v>
      </c>
      <c r="H32" t="s">
        <v>86</v>
      </c>
    </row>
    <row r="33" spans="1:8" ht="14.45" customHeight="1">
      <c r="A33" s="53"/>
      <c r="C33" s="18"/>
    </row>
    <row r="34" spans="1:8" ht="14.45" customHeight="1">
      <c r="A34" s="53"/>
      <c r="C34" s="17" t="s">
        <v>88</v>
      </c>
    </row>
    <row r="35" spans="1:8" ht="14.45" customHeight="1">
      <c r="A35" s="53"/>
      <c r="C35" s="18" t="s">
        <v>65</v>
      </c>
      <c r="D35" s="142">
        <f>'FSM Complete'!D90</f>
        <v>0.19076009945726269</v>
      </c>
      <c r="E35" s="48">
        <f>E17/D17-1</f>
        <v>4.8767344739323759E-2</v>
      </c>
      <c r="F35" s="48">
        <f>F17/E17-1</f>
        <v>9.6488974523656568E-2</v>
      </c>
      <c r="H35" s="56" t="s">
        <v>89</v>
      </c>
    </row>
    <row r="36" spans="1:8" ht="14.45" customHeight="1">
      <c r="A36" s="53"/>
      <c r="C36" s="18" t="s">
        <v>67</v>
      </c>
      <c r="D36" s="48">
        <f>D19/D17</f>
        <v>0.44820153576721</v>
      </c>
      <c r="E36" s="48">
        <f t="shared" ref="E36:F36" si="4">E19/E17</f>
        <v>0.45983729394134021</v>
      </c>
      <c r="F36" s="48">
        <f t="shared" si="4"/>
        <v>0.43524610969014194</v>
      </c>
      <c r="H36" s="56" t="s">
        <v>90</v>
      </c>
    </row>
    <row r="37" spans="1:8" ht="14.45" customHeight="1">
      <c r="A37" s="53"/>
      <c r="C37" s="18" t="s">
        <v>69</v>
      </c>
      <c r="D37" s="48">
        <f>-D20/D17</f>
        <v>7.8360052090349821E-3</v>
      </c>
      <c r="E37" s="48">
        <f t="shared" ref="E37:F37" si="5">-E20/E17</f>
        <v>7.5572682509098691E-3</v>
      </c>
      <c r="F37" s="48">
        <f t="shared" si="5"/>
        <v>1.0699572407599039E-2</v>
      </c>
      <c r="H37" s="56" t="s">
        <v>91</v>
      </c>
    </row>
    <row r="38" spans="1:8" ht="14.45" customHeight="1">
      <c r="A38" s="53"/>
      <c r="C38" s="18" t="s">
        <v>71</v>
      </c>
      <c r="D38" s="48">
        <f>-D21/D17</f>
        <v>0.2846108940679869</v>
      </c>
      <c r="E38" s="48">
        <f t="shared" ref="E38:F38" si="6">-E21/E17</f>
        <v>0.30937700706486831</v>
      </c>
      <c r="F38" s="48">
        <f t="shared" si="6"/>
        <v>0.30905753948884157</v>
      </c>
      <c r="H38" s="56" t="s">
        <v>92</v>
      </c>
    </row>
    <row r="39" spans="1:8" ht="14.45" customHeight="1">
      <c r="A39" s="53"/>
      <c r="C39" s="18" t="s">
        <v>77</v>
      </c>
      <c r="D39" s="48">
        <f>-D27/D17</f>
        <v>2.0970856347388746E-2</v>
      </c>
      <c r="E39" s="48">
        <f t="shared" ref="E39:F39" si="7">-E27/E17</f>
        <v>1.2952258616998502E-2</v>
      </c>
      <c r="F39" s="48">
        <f t="shared" si="7"/>
        <v>2.2082511666048382E-2</v>
      </c>
      <c r="H39" s="56" t="s">
        <v>93</v>
      </c>
    </row>
    <row r="40" spans="1:8" ht="14.45" customHeight="1">
      <c r="A40" s="53"/>
      <c r="C40" s="18"/>
    </row>
    <row r="41" spans="1:8" ht="14.45" customHeight="1">
      <c r="A41" s="53" t="s">
        <v>35</v>
      </c>
      <c r="C41" s="4" t="s">
        <v>94</v>
      </c>
      <c r="D41" s="9"/>
      <c r="E41" s="9"/>
      <c r="F41" s="9"/>
    </row>
    <row r="42" spans="1:8" ht="14.45" customHeight="1">
      <c r="A42" s="53"/>
      <c r="C42" s="23" t="str">
        <f>C14</f>
        <v xml:space="preserve">Fiscal year  </v>
      </c>
      <c r="D42" s="21"/>
      <c r="E42" s="21">
        <f>E14</f>
        <v>2022</v>
      </c>
      <c r="F42" s="21">
        <f>F14</f>
        <v>2023</v>
      </c>
    </row>
    <row r="43" spans="1:8" ht="14.45" customHeight="1">
      <c r="A43" s="53"/>
      <c r="C43" s="5" t="str">
        <f>C15</f>
        <v>Fiscal year end date</v>
      </c>
      <c r="D43" s="22"/>
      <c r="E43" s="22">
        <f>E15</f>
        <v>44712</v>
      </c>
      <c r="F43" s="22">
        <f>F15</f>
        <v>45077</v>
      </c>
    </row>
    <row r="44" spans="1:8" ht="14.45" customHeight="1">
      <c r="A44" s="53"/>
      <c r="C44" t="s">
        <v>95</v>
      </c>
      <c r="D44" s="3"/>
      <c r="E44" s="37">
        <f>8574+4423</f>
        <v>12997</v>
      </c>
      <c r="F44" s="37">
        <v>10675</v>
      </c>
      <c r="H44" s="56" t="s">
        <v>96</v>
      </c>
    </row>
    <row r="45" spans="1:8" ht="14.45" customHeight="1">
      <c r="A45" s="53"/>
      <c r="C45" t="s">
        <v>97</v>
      </c>
      <c r="D45" s="3"/>
      <c r="E45" s="37">
        <v>4667</v>
      </c>
      <c r="F45" s="37">
        <v>4131</v>
      </c>
      <c r="H45" s="122"/>
    </row>
    <row r="46" spans="1:8" ht="14.45" customHeight="1">
      <c r="A46" s="53"/>
      <c r="C46" t="s">
        <v>98</v>
      </c>
      <c r="D46" s="3"/>
      <c r="E46" s="37">
        <v>8420</v>
      </c>
      <c r="F46" s="37">
        <v>8454</v>
      </c>
      <c r="H46" s="56"/>
    </row>
    <row r="47" spans="1:8" ht="14.45" customHeight="1">
      <c r="A47" s="53"/>
      <c r="C47" t="s">
        <v>99</v>
      </c>
      <c r="D47" s="3"/>
      <c r="E47" s="37">
        <v>2129</v>
      </c>
      <c r="F47" s="37">
        <v>1942</v>
      </c>
      <c r="H47" s="56" t="s">
        <v>100</v>
      </c>
    </row>
    <row r="48" spans="1:8" ht="14.45" customHeight="1">
      <c r="A48" s="53"/>
      <c r="C48" t="s">
        <v>101</v>
      </c>
      <c r="D48" s="3"/>
      <c r="E48" s="37">
        <v>4791</v>
      </c>
      <c r="F48" s="37">
        <v>5081</v>
      </c>
    </row>
    <row r="49" spans="1:8" ht="14.45" customHeight="1">
      <c r="A49" s="53"/>
      <c r="C49" t="s">
        <v>102</v>
      </c>
      <c r="D49" s="3"/>
      <c r="E49" s="37">
        <v>7317</v>
      </c>
      <c r="F49" s="37">
        <f>7248</f>
        <v>7248</v>
      </c>
      <c r="H49" s="28"/>
    </row>
    <row r="50" spans="1:8" ht="14.45" customHeight="1">
      <c r="A50" s="53"/>
      <c r="C50" s="24" t="s">
        <v>103</v>
      </c>
      <c r="D50" s="15"/>
      <c r="E50" s="45">
        <f>SUM(E44:E49)</f>
        <v>40321</v>
      </c>
      <c r="F50" s="45">
        <f>SUM(F44:F49)</f>
        <v>37531</v>
      </c>
    </row>
    <row r="51" spans="1:8" ht="14.45" customHeight="1">
      <c r="A51" s="53"/>
      <c r="C51" s="25"/>
      <c r="D51" s="16"/>
    </row>
    <row r="52" spans="1:8" ht="14.45" customHeight="1">
      <c r="A52" s="53"/>
      <c r="C52" s="25" t="s">
        <v>104</v>
      </c>
      <c r="D52" s="3"/>
      <c r="E52" s="37">
        <v>3358</v>
      </c>
      <c r="F52" s="37">
        <v>2862</v>
      </c>
    </row>
    <row r="53" spans="1:8" ht="14.45" customHeight="1">
      <c r="A53" s="53"/>
      <c r="C53" s="25" t="s">
        <v>105</v>
      </c>
      <c r="D53" s="3"/>
      <c r="E53" s="37">
        <v>7372</v>
      </c>
      <c r="F53" s="37">
        <v>6394</v>
      </c>
    </row>
    <row r="54" spans="1:8" ht="14.45" customHeight="1">
      <c r="A54" s="53"/>
      <c r="C54" s="25" t="s">
        <v>106</v>
      </c>
      <c r="D54" s="3"/>
      <c r="E54" s="37">
        <v>0</v>
      </c>
      <c r="F54" s="37">
        <v>0</v>
      </c>
    </row>
    <row r="55" spans="1:8" ht="14.45" customHeight="1">
      <c r="A55" s="53"/>
      <c r="C55" s="25" t="s">
        <v>107</v>
      </c>
      <c r="D55" s="3"/>
      <c r="E55" s="37">
        <v>0</v>
      </c>
      <c r="F55" s="37">
        <v>0</v>
      </c>
    </row>
    <row r="56" spans="1:8" ht="14.45" customHeight="1">
      <c r="A56" s="53"/>
      <c r="C56" s="25" t="s">
        <v>108</v>
      </c>
      <c r="D56" s="3"/>
      <c r="E56" s="37">
        <v>8920</v>
      </c>
      <c r="F56" s="37">
        <v>8927</v>
      </c>
    </row>
    <row r="57" spans="1:8" ht="14.45" customHeight="1">
      <c r="A57" s="53"/>
      <c r="C57" s="25" t="s">
        <v>109</v>
      </c>
      <c r="D57" s="3"/>
      <c r="E57" s="37">
        <v>5390</v>
      </c>
      <c r="F57" s="37">
        <v>5344</v>
      </c>
      <c r="G57" s="16"/>
    </row>
    <row r="58" spans="1:8" ht="14.45" customHeight="1">
      <c r="A58" s="53"/>
      <c r="C58" s="24" t="s">
        <v>110</v>
      </c>
      <c r="D58" s="15"/>
      <c r="E58" s="45">
        <f>SUM(E52:E57)</f>
        <v>25040</v>
      </c>
      <c r="F58" s="45">
        <f>SUM(F52:F57)</f>
        <v>23527</v>
      </c>
    </row>
    <row r="59" spans="1:8" ht="14.45" customHeight="1">
      <c r="A59" s="53"/>
      <c r="C59" s="24"/>
      <c r="D59" s="15"/>
      <c r="E59" s="44"/>
      <c r="F59" s="44"/>
    </row>
    <row r="60" spans="1:8" ht="14.45" customHeight="1">
      <c r="A60" s="53"/>
      <c r="C60" s="25" t="s">
        <v>111</v>
      </c>
      <c r="D60" s="3"/>
      <c r="E60" s="37">
        <v>11484</v>
      </c>
      <c r="F60" s="37">
        <v>12415</v>
      </c>
    </row>
    <row r="61" spans="1:8" ht="14.45" customHeight="1">
      <c r="A61" s="53"/>
      <c r="C61" s="25" t="s">
        <v>112</v>
      </c>
      <c r="D61" s="13"/>
      <c r="E61" s="37">
        <v>3476</v>
      </c>
      <c r="F61" s="37">
        <v>1358</v>
      </c>
    </row>
    <row r="62" spans="1:8" ht="14.45" customHeight="1">
      <c r="A62" s="53"/>
      <c r="C62" s="25" t="s">
        <v>113</v>
      </c>
      <c r="D62" s="3"/>
      <c r="E62" s="37">
        <f>318+3</f>
        <v>321</v>
      </c>
      <c r="F62" s="37">
        <v>231</v>
      </c>
    </row>
    <row r="63" spans="1:8" ht="14.45" customHeight="1">
      <c r="A63" s="53"/>
      <c r="C63" s="24" t="s">
        <v>114</v>
      </c>
      <c r="D63" s="26"/>
      <c r="E63" s="45">
        <f>SUM(E60:E62)</f>
        <v>15281</v>
      </c>
      <c r="F63" s="45">
        <f>SUM(F60:F62)</f>
        <v>14004</v>
      </c>
    </row>
    <row r="64" spans="1:8" ht="14.45" customHeight="1">
      <c r="A64" s="53"/>
      <c r="D64" s="16"/>
      <c r="E64" s="16"/>
      <c r="F64" s="16"/>
    </row>
    <row r="65" spans="1:8" ht="14.45" customHeight="1">
      <c r="A65" s="53"/>
      <c r="C65" s="10" t="s">
        <v>115</v>
      </c>
      <c r="D65" s="27"/>
      <c r="E65" s="60">
        <f>ROUND(E50-E58-E63,3)</f>
        <v>0</v>
      </c>
      <c r="F65" s="60">
        <f>ROUND(F50-F58-F63,3)</f>
        <v>0</v>
      </c>
    </row>
    <row r="66" spans="1:8" ht="14.45" customHeight="1">
      <c r="A66" s="53"/>
      <c r="E66" s="16"/>
      <c r="F66" s="16"/>
    </row>
    <row r="67" spans="1:8" ht="14.45" customHeight="1">
      <c r="A67" s="53"/>
      <c r="C67" s="14" t="s">
        <v>116</v>
      </c>
      <c r="D67" s="28"/>
      <c r="E67" s="16"/>
      <c r="F67" s="16"/>
    </row>
    <row r="68" spans="1:8" ht="14.45" customHeight="1">
      <c r="A68" s="53"/>
      <c r="C68" s="25" t="s">
        <v>117</v>
      </c>
      <c r="D68" s="37">
        <v>12734</v>
      </c>
      <c r="E68" s="37">
        <v>12451</v>
      </c>
      <c r="F68" s="37">
        <v>969</v>
      </c>
    </row>
    <row r="69" spans="1:8" ht="14.45" customHeight="1">
      <c r="A69" s="53"/>
      <c r="C69" s="25" t="s">
        <v>118</v>
      </c>
      <c r="D69" s="37">
        <v>-8300</v>
      </c>
      <c r="E69" s="37">
        <v>-8200</v>
      </c>
      <c r="F69" s="37">
        <v>16349</v>
      </c>
      <c r="H69" s="57"/>
    </row>
    <row r="70" spans="1:8" ht="14.45" customHeight="1">
      <c r="A70" s="53"/>
      <c r="C70" s="25" t="s">
        <v>119</v>
      </c>
      <c r="D70" s="37">
        <v>-12188</v>
      </c>
      <c r="E70" s="37">
        <v>-12803</v>
      </c>
      <c r="F70" s="37">
        <v>2059</v>
      </c>
      <c r="H70" s="56"/>
    </row>
    <row r="71" spans="1:8" ht="14.45" customHeight="1">
      <c r="A71" s="53"/>
      <c r="C71" s="25" t="s">
        <v>120</v>
      </c>
      <c r="D71" s="49">
        <v>-29000</v>
      </c>
      <c r="E71" s="37">
        <v>-33001</v>
      </c>
      <c r="F71" s="37">
        <v>5509</v>
      </c>
      <c r="H71" s="56"/>
    </row>
    <row r="72" spans="1:8" ht="14.45" customHeight="1">
      <c r="A72" s="53"/>
      <c r="C72" s="25" t="s">
        <v>121</v>
      </c>
      <c r="D72" s="58"/>
      <c r="E72" s="50" t="s">
        <v>122</v>
      </c>
      <c r="F72" s="50" t="s">
        <v>122</v>
      </c>
      <c r="H72" s="56"/>
    </row>
    <row r="73" spans="1:8" ht="14.45" customHeight="1">
      <c r="A73" s="53"/>
      <c r="C73" s="25" t="s">
        <v>123</v>
      </c>
      <c r="D73" s="50" t="s">
        <v>122</v>
      </c>
      <c r="E73" s="50" t="s">
        <v>122</v>
      </c>
      <c r="F73" s="50" t="s">
        <v>122</v>
      </c>
      <c r="H73" s="57"/>
    </row>
  </sheetData>
  <conditionalFormatting sqref="C38">
    <cfRule type="expression" dxfId="0" priority="3">
      <formula>#REF!=$C38</formula>
    </cfRule>
  </conditionalFormatting>
  <dataValidations disablePrompts="1" count="1">
    <dataValidation type="list" allowBlank="1" showInputMessage="1" showErrorMessage="1" sqref="C3" xr:uid="{3CFE8E7F-88C7-4A16-AA8B-542D25B76047}">
      <formula1>"$ bns except per share, $ mm except per share,$ in thousands except per share"</formula1>
    </dataValidation>
  </dataValidations>
  <pageMargins left="0.7" right="0.7" top="0.75" bottom="0.75" header="0.3" footer="0.3"/>
  <pageSetup scale="54" fitToHeight="0"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1866-ACB8-4019-9204-4ABC3D17D85A}">
  <dimension ref="B1:I44"/>
  <sheetViews>
    <sheetView topLeftCell="A13" zoomScale="78" zoomScaleNormal="78" workbookViewId="0">
      <selection activeCell="G42" sqref="G42"/>
    </sheetView>
  </sheetViews>
  <sheetFormatPr defaultColWidth="11.42578125" defaultRowHeight="14.45"/>
  <cols>
    <col min="2" max="2" width="17.28515625" customWidth="1"/>
    <col min="4" max="4" width="17.28515625" customWidth="1"/>
    <col min="5" max="5" width="14" customWidth="1"/>
  </cols>
  <sheetData>
    <row r="1" spans="2:6" ht="15" thickBot="1"/>
    <row r="2" spans="2:6" ht="21.6" thickBot="1">
      <c r="B2" s="51" t="s">
        <v>124</v>
      </c>
      <c r="C2" s="51"/>
      <c r="D2" s="51"/>
      <c r="E2" s="51"/>
      <c r="F2" s="51"/>
    </row>
    <row r="4" spans="2:6">
      <c r="B4" s="14" t="s">
        <v>125</v>
      </c>
      <c r="C4" s="144">
        <v>107.82</v>
      </c>
    </row>
    <row r="6" spans="2:6">
      <c r="B6" s="14" t="s">
        <v>60</v>
      </c>
    </row>
    <row r="7" spans="2:6">
      <c r="B7" s="4" t="s">
        <v>126</v>
      </c>
      <c r="C7" s="5"/>
      <c r="D7" s="5"/>
      <c r="E7" s="5"/>
    </row>
    <row r="8" spans="2:6">
      <c r="B8" t="s">
        <v>127</v>
      </c>
      <c r="D8" t="s">
        <v>128</v>
      </c>
    </row>
    <row r="9" spans="2:6">
      <c r="B9" s="143">
        <f>'FSM Complete'!G30</f>
        <v>3.7207420078691076</v>
      </c>
      <c r="C9" s="143"/>
      <c r="D9" s="143">
        <f>'FSM Complete'!H30</f>
        <v>3.9350790378283058</v>
      </c>
    </row>
    <row r="10" spans="2:6">
      <c r="B10" s="62"/>
      <c r="D10" s="62"/>
    </row>
    <row r="11" spans="2:6">
      <c r="B11" s="4" t="s">
        <v>129</v>
      </c>
      <c r="C11" s="4"/>
      <c r="D11" s="4"/>
      <c r="E11" s="4"/>
    </row>
    <row r="12" spans="2:6">
      <c r="B12" t="s">
        <v>127</v>
      </c>
      <c r="D12" t="s">
        <v>128</v>
      </c>
    </row>
    <row r="13" spans="2:6">
      <c r="B13" s="144">
        <v>3.23</v>
      </c>
      <c r="C13" s="62"/>
      <c r="D13" s="144">
        <v>3.72</v>
      </c>
    </row>
    <row r="15" spans="2:6">
      <c r="B15" s="14" t="s">
        <v>130</v>
      </c>
    </row>
    <row r="16" spans="2:6">
      <c r="B16" s="4" t="s">
        <v>131</v>
      </c>
      <c r="C16" s="5"/>
      <c r="D16" s="5"/>
      <c r="E16" s="5"/>
    </row>
    <row r="17" spans="2:5">
      <c r="B17" t="s">
        <v>127</v>
      </c>
      <c r="D17" t="s">
        <v>128</v>
      </c>
    </row>
    <row r="18" spans="2:5">
      <c r="B18" s="137">
        <f>C4/B9</f>
        <v>28.978090867888255</v>
      </c>
      <c r="D18" s="137">
        <f>C4/D9</f>
        <v>27.399703783206288</v>
      </c>
    </row>
    <row r="20" spans="2:5">
      <c r="B20" s="4" t="s">
        <v>132</v>
      </c>
      <c r="C20" s="5"/>
      <c r="D20" s="5"/>
      <c r="E20" s="5"/>
    </row>
    <row r="21" spans="2:5">
      <c r="B21" t="s">
        <v>127</v>
      </c>
      <c r="D21" t="s">
        <v>128</v>
      </c>
    </row>
    <row r="22" spans="2:5">
      <c r="B22" s="137">
        <f>C4/B13</f>
        <v>33.380804953560371</v>
      </c>
      <c r="D22" s="137">
        <f>C4/D13</f>
        <v>28.983870967741932</v>
      </c>
    </row>
    <row r="23" spans="2:5">
      <c r="B23" s="137"/>
      <c r="D23" s="137"/>
    </row>
    <row r="25" spans="2:5">
      <c r="B25" s="123" t="s">
        <v>133</v>
      </c>
      <c r="C25" s="123" t="s">
        <v>134</v>
      </c>
      <c r="D25" s="123" t="s">
        <v>135</v>
      </c>
      <c r="E25" s="123" t="s">
        <v>136</v>
      </c>
    </row>
    <row r="26" spans="2:5">
      <c r="B26" s="123" t="s">
        <v>137</v>
      </c>
      <c r="C26" s="143">
        <f>'FSM Complete'!F30</f>
        <v>3.2667525773195876</v>
      </c>
      <c r="D26" s="143">
        <f>'FSM Complete'!G30</f>
        <v>3.7207420078691076</v>
      </c>
      <c r="E26" s="143">
        <f>'FSM Complete'!H30</f>
        <v>3.9350790378283058</v>
      </c>
    </row>
    <row r="27" spans="2:5">
      <c r="B27" s="123" t="s">
        <v>138</v>
      </c>
      <c r="C27" s="124">
        <v>215.18</v>
      </c>
      <c r="D27" s="124">
        <v>243.33</v>
      </c>
      <c r="E27" s="124">
        <f>(D27/C27)*D27</f>
        <v>275.16260293707597</v>
      </c>
    </row>
    <row r="28" spans="2:5">
      <c r="B28" s="123" t="s">
        <v>139</v>
      </c>
      <c r="C28" s="145">
        <f>$C$4/C26</f>
        <v>33.005254437869823</v>
      </c>
      <c r="D28" s="145">
        <f>$C$4/D26</f>
        <v>28.978090867888255</v>
      </c>
      <c r="E28" s="145">
        <f>$C$4/E26</f>
        <v>27.399703783206288</v>
      </c>
    </row>
    <row r="29" spans="2:5">
      <c r="B29" s="123" t="s">
        <v>140</v>
      </c>
      <c r="C29" s="123">
        <v>20.350000000000001</v>
      </c>
      <c r="D29" s="145">
        <v>17.989999999999998</v>
      </c>
      <c r="E29" s="145">
        <f>(D29/C29)*D29</f>
        <v>15.903690417690413</v>
      </c>
    </row>
    <row r="30" spans="2:5">
      <c r="B30" s="123" t="s">
        <v>141</v>
      </c>
      <c r="C30" s="145">
        <f>C28/C29</f>
        <v>1.6218798249567479</v>
      </c>
      <c r="D30" s="145">
        <f>D28/D29</f>
        <v>1.6107888197825602</v>
      </c>
      <c r="E30" s="145">
        <f>E28/E29</f>
        <v>1.7228519333304129</v>
      </c>
    </row>
    <row r="32" spans="2:5">
      <c r="B32" s="123" t="s">
        <v>76</v>
      </c>
      <c r="C32" s="123" t="s">
        <v>134</v>
      </c>
      <c r="D32" s="123" t="s">
        <v>135</v>
      </c>
      <c r="E32" s="123" t="s">
        <v>136</v>
      </c>
    </row>
    <row r="33" spans="2:9">
      <c r="B33" s="123" t="s">
        <v>137</v>
      </c>
      <c r="C33" s="143">
        <f>'FSM Complete'!F57</f>
        <v>3.2667525773195876</v>
      </c>
      <c r="D33" s="143">
        <f>'FSM Complete'!G57</f>
        <v>2.8383909951168453</v>
      </c>
      <c r="E33" s="143">
        <f>'FSM Complete'!H57</f>
        <v>2.9459883079128857</v>
      </c>
    </row>
    <row r="34" spans="2:9">
      <c r="B34" s="123" t="s">
        <v>138</v>
      </c>
      <c r="C34" s="124">
        <v>215.18</v>
      </c>
      <c r="D34" s="124">
        <v>243.33</v>
      </c>
      <c r="E34" s="124">
        <f>(D34/C34)*D34</f>
        <v>275.16260293707597</v>
      </c>
    </row>
    <row r="35" spans="2:9">
      <c r="B35" s="123" t="s">
        <v>139</v>
      </c>
      <c r="C35" s="145">
        <f>$C$4/C33</f>
        <v>33.005254437869823</v>
      </c>
      <c r="D35" s="145">
        <f>$C$4/D33</f>
        <v>37.986309914840142</v>
      </c>
      <c r="E35" s="145">
        <f>$C$4/E33</f>
        <v>36.598923257908694</v>
      </c>
      <c r="I35" t="s">
        <v>84</v>
      </c>
    </row>
    <row r="36" spans="2:9">
      <c r="B36" s="123" t="s">
        <v>140</v>
      </c>
      <c r="C36" s="123">
        <v>20.350000000000001</v>
      </c>
      <c r="D36" s="123">
        <v>17.989999999999998</v>
      </c>
      <c r="E36" s="141">
        <f>(D36/C36)*D36</f>
        <v>15.903690417690413</v>
      </c>
    </row>
    <row r="37" spans="2:9">
      <c r="B37" s="123" t="s">
        <v>141</v>
      </c>
      <c r="C37" s="145">
        <f>C35/C36</f>
        <v>1.6218798249567479</v>
      </c>
      <c r="D37" s="145">
        <f>D35/D36</f>
        <v>2.1115236195019538</v>
      </c>
      <c r="E37" s="145">
        <f>E35/E36</f>
        <v>2.3012849405819678</v>
      </c>
    </row>
    <row r="39" spans="2:9">
      <c r="B39" s="123" t="s">
        <v>142</v>
      </c>
      <c r="C39" s="123" t="s">
        <v>134</v>
      </c>
      <c r="D39" s="123" t="s">
        <v>135</v>
      </c>
      <c r="E39" s="123" t="s">
        <v>136</v>
      </c>
    </row>
    <row r="40" spans="2:9">
      <c r="B40" s="123" t="s">
        <v>137</v>
      </c>
      <c r="C40" s="143">
        <f>'FSM Complete'!F84</f>
        <v>3.2667525773195876</v>
      </c>
      <c r="D40" s="143">
        <f>'FSM Complete'!G84</f>
        <v>4.0903630894251579</v>
      </c>
      <c r="E40" s="143">
        <f>'FSM Complete'!H84</f>
        <v>4.405715482561904</v>
      </c>
    </row>
    <row r="41" spans="2:9">
      <c r="B41" s="123" t="s">
        <v>138</v>
      </c>
      <c r="C41" s="124">
        <v>215.18</v>
      </c>
      <c r="D41" s="124">
        <v>243.33</v>
      </c>
      <c r="E41" s="124">
        <f>(D41/C41)*D41</f>
        <v>275.16260293707597</v>
      </c>
    </row>
    <row r="42" spans="2:9">
      <c r="B42" s="123" t="s">
        <v>139</v>
      </c>
      <c r="C42" s="145">
        <f>$C$4/C40</f>
        <v>33.005254437869823</v>
      </c>
      <c r="D42" s="145">
        <f>$C$4/D40</f>
        <v>26.359518126580923</v>
      </c>
      <c r="E42" s="145">
        <f>$C$4/E40</f>
        <v>24.472755997693962</v>
      </c>
    </row>
    <row r="43" spans="2:9">
      <c r="B43" s="123" t="s">
        <v>140</v>
      </c>
      <c r="C43" s="145">
        <v>20.350000000000001</v>
      </c>
      <c r="D43" s="145">
        <v>17.989999999999998</v>
      </c>
      <c r="E43" s="145">
        <f>(D43/C43)*D43</f>
        <v>15.903690417690413</v>
      </c>
    </row>
    <row r="44" spans="2:9">
      <c r="B44" s="123" t="s">
        <v>141</v>
      </c>
      <c r="C44" s="145">
        <f>C42/C43</f>
        <v>1.6218798249567479</v>
      </c>
      <c r="D44" s="145">
        <f>D42/D43</f>
        <v>1.465231691305221</v>
      </c>
      <c r="E44" s="145">
        <f>E42/E43</f>
        <v>1.5388098834262882</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F0DA7-12FA-3948-914F-FBC3A22D1D1A}">
  <dimension ref="A1:P30"/>
  <sheetViews>
    <sheetView topLeftCell="A10" zoomScale="126" zoomScaleNormal="126" workbookViewId="0">
      <selection activeCell="C10" sqref="C10"/>
    </sheetView>
  </sheetViews>
  <sheetFormatPr defaultColWidth="11.42578125" defaultRowHeight="14.45"/>
  <cols>
    <col min="2" max="3" width="13.42578125" customWidth="1"/>
    <col min="4" max="4" width="13.28515625" bestFit="1" customWidth="1"/>
  </cols>
  <sheetData>
    <row r="1" spans="1:16">
      <c r="A1" s="130" t="s">
        <v>28</v>
      </c>
      <c r="B1" s="131" t="s">
        <v>143</v>
      </c>
      <c r="C1" s="131" t="s">
        <v>144</v>
      </c>
      <c r="D1" s="131" t="s">
        <v>145</v>
      </c>
      <c r="E1" s="131" t="s">
        <v>130</v>
      </c>
      <c r="F1" s="131" t="s">
        <v>146</v>
      </c>
      <c r="G1" s="131" t="s">
        <v>147</v>
      </c>
      <c r="H1" s="132" t="s">
        <v>148</v>
      </c>
    </row>
    <row r="2" spans="1:16">
      <c r="A2" s="125" t="s">
        <v>149</v>
      </c>
      <c r="B2" s="126" t="s">
        <v>150</v>
      </c>
      <c r="C2" s="126">
        <v>54.45</v>
      </c>
      <c r="D2" s="126">
        <v>54.54</v>
      </c>
      <c r="E2" s="126">
        <v>54.47</v>
      </c>
      <c r="F2" s="126">
        <v>6.21</v>
      </c>
      <c r="G2" s="126">
        <v>6.7</v>
      </c>
      <c r="H2" s="127">
        <v>23.79</v>
      </c>
    </row>
    <row r="3" spans="1:16">
      <c r="A3" s="125" t="s">
        <v>151</v>
      </c>
      <c r="B3" s="126" t="s">
        <v>152</v>
      </c>
      <c r="C3" s="126">
        <v>31.96</v>
      </c>
      <c r="D3" s="126">
        <v>36.71</v>
      </c>
      <c r="E3" s="126">
        <v>42.55</v>
      </c>
      <c r="F3" s="126">
        <v>1.44</v>
      </c>
      <c r="G3" s="126">
        <v>1.65</v>
      </c>
      <c r="H3" s="127">
        <v>29.56</v>
      </c>
    </row>
    <row r="4" spans="1:16">
      <c r="A4" s="125" t="s">
        <v>153</v>
      </c>
      <c r="B4" s="126" t="s">
        <v>154</v>
      </c>
      <c r="C4" s="126">
        <v>7.96</v>
      </c>
      <c r="D4" s="126">
        <v>8.8699999999999992</v>
      </c>
      <c r="E4" s="126">
        <v>26.9</v>
      </c>
      <c r="F4" s="126">
        <v>0.93</v>
      </c>
      <c r="G4" s="126">
        <v>11.01</v>
      </c>
      <c r="H4" s="127">
        <v>14.73</v>
      </c>
    </row>
    <row r="5" spans="1:16">
      <c r="A5" s="125" t="s">
        <v>155</v>
      </c>
      <c r="B5" s="126" t="s">
        <v>156</v>
      </c>
      <c r="C5" s="126">
        <v>7.84</v>
      </c>
      <c r="D5" s="126">
        <v>8.34</v>
      </c>
      <c r="E5" s="126">
        <v>14.92</v>
      </c>
      <c r="F5" s="126">
        <v>1.01</v>
      </c>
      <c r="G5" s="126">
        <v>1.05</v>
      </c>
      <c r="H5" s="127">
        <v>9.1</v>
      </c>
    </row>
    <row r="6" spans="1:16">
      <c r="A6" s="125" t="s">
        <v>29</v>
      </c>
      <c r="B6" s="126" t="s">
        <v>157</v>
      </c>
      <c r="C6" s="126">
        <v>160.94</v>
      </c>
      <c r="D6" s="126">
        <v>164.33</v>
      </c>
      <c r="E6" s="126">
        <v>32.64</v>
      </c>
      <c r="F6" s="126">
        <v>3.2</v>
      </c>
      <c r="G6" s="126">
        <v>3.19</v>
      </c>
      <c r="H6" s="127">
        <v>24.49</v>
      </c>
      <c r="I6" t="s">
        <v>158</v>
      </c>
    </row>
    <row r="7" spans="1:16">
      <c r="A7" s="125"/>
      <c r="B7" s="126"/>
      <c r="C7" s="135" t="s">
        <v>159</v>
      </c>
      <c r="D7" s="134" t="s">
        <v>159</v>
      </c>
      <c r="E7" s="126"/>
      <c r="F7" s="126"/>
      <c r="G7" s="126"/>
      <c r="H7" s="127"/>
    </row>
    <row r="8" spans="1:16">
      <c r="A8" s="125" t="s">
        <v>160</v>
      </c>
      <c r="B8" s="128"/>
      <c r="C8" s="128">
        <v>31.96</v>
      </c>
      <c r="D8" s="129">
        <v>36.71</v>
      </c>
      <c r="E8" s="126">
        <v>32.64</v>
      </c>
      <c r="F8" s="126">
        <v>1.44</v>
      </c>
      <c r="G8" s="126">
        <v>3.19</v>
      </c>
      <c r="H8" s="127">
        <v>23.79</v>
      </c>
    </row>
    <row r="9" spans="1:16">
      <c r="A9" s="14"/>
      <c r="B9" s="14"/>
      <c r="C9" s="14"/>
      <c r="D9" s="14"/>
      <c r="E9" s="14"/>
      <c r="F9" s="14"/>
      <c r="G9" s="14"/>
    </row>
    <row r="11" spans="1:16">
      <c r="A11" s="133" t="s">
        <v>161</v>
      </c>
      <c r="B11" s="133"/>
      <c r="C11" s="133"/>
      <c r="D11" s="133"/>
      <c r="E11" s="133"/>
      <c r="F11" s="133"/>
      <c r="G11" s="133"/>
      <c r="H11" s="133"/>
      <c r="I11" s="133"/>
      <c r="J11" s="133"/>
      <c r="K11" s="133"/>
      <c r="L11" s="133"/>
      <c r="M11" s="133"/>
      <c r="N11" s="133"/>
      <c r="O11" s="133"/>
      <c r="P11" s="133"/>
    </row>
    <row r="12" spans="1:16">
      <c r="A12" s="133" t="s">
        <v>162</v>
      </c>
      <c r="B12" s="133"/>
      <c r="C12" s="133"/>
      <c r="D12" s="133"/>
      <c r="E12" s="133"/>
      <c r="F12" s="133"/>
      <c r="G12" s="133"/>
      <c r="H12" s="133"/>
      <c r="I12" s="133"/>
      <c r="J12" s="133"/>
      <c r="K12" s="133"/>
      <c r="L12" s="133"/>
      <c r="M12" s="133"/>
      <c r="N12" s="133"/>
      <c r="O12" s="133"/>
      <c r="P12" s="133"/>
    </row>
    <row r="13" spans="1:16">
      <c r="A13" s="133" t="s">
        <v>163</v>
      </c>
      <c r="B13" s="133"/>
      <c r="C13" s="133"/>
      <c r="D13" s="133"/>
      <c r="E13" s="133"/>
      <c r="F13" s="133"/>
      <c r="G13" s="133"/>
      <c r="H13" s="133"/>
      <c r="I13" s="133"/>
      <c r="J13" s="133"/>
      <c r="K13" s="133"/>
      <c r="L13" s="133"/>
      <c r="M13" s="133"/>
      <c r="N13" s="133"/>
      <c r="O13" s="133"/>
      <c r="P13" s="133"/>
    </row>
    <row r="14" spans="1:16">
      <c r="A14" s="133" t="s">
        <v>164</v>
      </c>
      <c r="B14" s="133"/>
      <c r="C14" s="133"/>
      <c r="D14" s="133"/>
      <c r="E14" s="133"/>
      <c r="F14" s="133"/>
      <c r="G14" s="133"/>
      <c r="H14" s="133"/>
      <c r="I14" s="133"/>
      <c r="J14" s="133"/>
      <c r="K14" s="133"/>
      <c r="L14" s="133"/>
      <c r="M14" s="133"/>
      <c r="N14" s="133"/>
      <c r="O14" s="133"/>
      <c r="P14" s="133"/>
    </row>
    <row r="15" spans="1:16">
      <c r="A15" s="133"/>
      <c r="B15" s="133"/>
      <c r="C15" s="133"/>
      <c r="D15" s="133"/>
      <c r="E15" s="133"/>
      <c r="F15" s="133"/>
      <c r="G15" s="133"/>
      <c r="H15" s="133"/>
      <c r="I15" s="133"/>
      <c r="J15" s="133"/>
      <c r="K15" s="133"/>
      <c r="L15" s="133"/>
      <c r="M15" s="133"/>
      <c r="N15" s="133"/>
      <c r="O15" s="133"/>
      <c r="P15" s="133"/>
    </row>
    <row r="16" spans="1:16">
      <c r="A16" s="133"/>
      <c r="B16" s="133"/>
      <c r="C16" s="133"/>
      <c r="D16" s="133"/>
      <c r="E16" s="133"/>
      <c r="F16" s="133"/>
      <c r="G16" s="133"/>
      <c r="H16" s="133"/>
      <c r="I16" s="133"/>
      <c r="J16" s="133"/>
      <c r="K16" s="133"/>
      <c r="L16" s="133"/>
      <c r="M16" s="133"/>
      <c r="N16" s="133"/>
      <c r="O16" s="133"/>
      <c r="P16" s="133"/>
    </row>
    <row r="17" spans="1:16">
      <c r="A17" t="s">
        <v>165</v>
      </c>
      <c r="D17" s="133"/>
      <c r="E17" s="133"/>
      <c r="F17" s="133"/>
      <c r="G17" s="133"/>
      <c r="H17" s="133"/>
      <c r="I17" s="133"/>
      <c r="J17" s="133"/>
      <c r="K17" s="133"/>
      <c r="L17" s="133"/>
      <c r="M17" s="133"/>
      <c r="N17" s="133"/>
      <c r="O17" s="133"/>
      <c r="P17" s="133"/>
    </row>
    <row r="18" spans="1:16">
      <c r="A18" s="133" t="s">
        <v>166</v>
      </c>
      <c r="B18" s="133"/>
      <c r="C18" s="133"/>
      <c r="D18" s="133"/>
      <c r="E18" s="133"/>
      <c r="F18" s="133"/>
      <c r="G18" s="133"/>
      <c r="H18" s="133"/>
      <c r="I18" s="133"/>
      <c r="J18" s="133"/>
      <c r="K18" s="133"/>
      <c r="L18" s="133"/>
      <c r="M18" s="133"/>
      <c r="N18" s="133"/>
      <c r="O18" s="133"/>
      <c r="P18" s="133"/>
    </row>
    <row r="19" spans="1:16">
      <c r="A19" s="133" t="s">
        <v>167</v>
      </c>
      <c r="B19" s="133"/>
      <c r="C19" s="133"/>
      <c r="D19" s="133"/>
      <c r="E19" s="133"/>
      <c r="F19" s="133"/>
      <c r="G19" s="133"/>
      <c r="H19" s="133"/>
      <c r="I19" s="133"/>
      <c r="J19" s="133"/>
      <c r="K19" s="133"/>
      <c r="L19" s="133"/>
      <c r="M19" s="133"/>
      <c r="N19" s="133"/>
      <c r="O19" s="133"/>
      <c r="P19" s="133"/>
    </row>
    <row r="20" spans="1:16">
      <c r="A20" s="133" t="s">
        <v>168</v>
      </c>
      <c r="B20" s="133"/>
      <c r="C20" s="133"/>
      <c r="D20" s="133"/>
      <c r="E20" s="133"/>
      <c r="F20" s="133"/>
      <c r="G20" s="133"/>
      <c r="H20" s="133"/>
      <c r="I20" s="133"/>
      <c r="J20" s="133"/>
      <c r="K20" s="133"/>
      <c r="L20" s="133"/>
      <c r="M20" s="133"/>
      <c r="N20" s="133"/>
      <c r="O20" s="133"/>
      <c r="P20" s="133"/>
    </row>
    <row r="21" spans="1:16">
      <c r="A21" s="133"/>
      <c r="B21" s="133"/>
      <c r="C21" s="133"/>
    </row>
    <row r="26" spans="1:16">
      <c r="A26" t="s">
        <v>169</v>
      </c>
    </row>
    <row r="27" spans="1:16">
      <c r="A27" s="136" t="s">
        <v>170</v>
      </c>
    </row>
    <row r="28" spans="1:16">
      <c r="A28" s="136" t="s">
        <v>171</v>
      </c>
    </row>
    <row r="29" spans="1:16">
      <c r="A29" s="136" t="s">
        <v>172</v>
      </c>
    </row>
    <row r="30" spans="1:16">
      <c r="A30" s="136" t="s">
        <v>173</v>
      </c>
    </row>
  </sheetData>
  <hyperlinks>
    <hyperlink ref="A27" r:id="rId1" xr:uid="{37573645-F49C-4F48-A572-5A9D1E7E015C}"/>
    <hyperlink ref="A28" r:id="rId2" xr:uid="{964D24C3-E4B6-499D-A1DC-0956CD43F3A3}"/>
    <hyperlink ref="A29" r:id="rId3" xr:uid="{0C6194E6-3BF7-4371-87A5-86BA7BB86013}"/>
    <hyperlink ref="A30" r:id="rId4" xr:uid="{0D35B032-976F-43CE-A9D7-2A44CA6393B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F7380147ED1245B1F25B945334131E" ma:contentTypeVersion="0" ma:contentTypeDescription="Create a new document." ma:contentTypeScope="" ma:versionID="28635f1823f064eeacf5fe82695fe38d">
  <xsd:schema xmlns:xsd="http://www.w3.org/2001/XMLSchema" xmlns:xs="http://www.w3.org/2001/XMLSchema" xmlns:p="http://schemas.microsoft.com/office/2006/metadata/properties" targetNamespace="http://schemas.microsoft.com/office/2006/metadata/properties" ma:root="true" ma:fieldsID="13dc8cbada9ff57376b02cf99173c86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92F17E-745B-450B-93A7-1A1615CC6E05}"/>
</file>

<file path=customXml/itemProps2.xml><?xml version="1.0" encoding="utf-8"?>
<ds:datastoreItem xmlns:ds="http://schemas.openxmlformats.org/officeDocument/2006/customXml" ds:itemID="{C3272711-92A4-446F-B054-EDF19BD79C68}"/>
</file>

<file path=customXml/itemProps3.xml><?xml version="1.0" encoding="utf-8"?>
<ds:datastoreItem xmlns:ds="http://schemas.openxmlformats.org/officeDocument/2006/customXml" ds:itemID="{7BD848A6-5F8B-4DD4-847B-367A8A27C3E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Wall Street Prep</dc:creator>
  <cp:keywords/>
  <dc:description/>
  <cp:lastModifiedBy/>
  <cp:revision/>
  <dcterms:created xsi:type="dcterms:W3CDTF">2011-11-04T21:28:06Z</dcterms:created>
  <dcterms:modified xsi:type="dcterms:W3CDTF">2023-11-28T20:02:36Z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0x01010027F7380147ED1245B1F25B945334131E</vt:lpwstr>
  </property>
</Properties>
</file>