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hool\Project reports\Project EDM\"/>
    </mc:Choice>
  </mc:AlternateContent>
  <xr:revisionPtr revIDLastSave="0" documentId="13_ncr:1_{F1195BB7-618B-4C56-BC73-2E4CE262444F}" xr6:coauthVersionLast="45" xr6:coauthVersionMax="45" xr10:uidLastSave="{00000000-0000-0000-0000-000000000000}"/>
  <bookViews>
    <workbookView xWindow="-120" yWindow="-120" windowWidth="29040" windowHeight="15840" activeTab="2" xr2:uid="{060B52B6-B840-4618-8E3F-F3E5F5B843C0}"/>
  </bookViews>
  <sheets>
    <sheet name="Option 1" sheetId="2" r:id="rId1"/>
    <sheet name="Sheet2" sheetId="11" r:id="rId2"/>
    <sheet name="Option 2, PP1" sheetId="3" r:id="rId3"/>
    <sheet name="Option 2, PP2" sheetId="4" r:id="rId4"/>
    <sheet name="Option 2, PP3" sheetId="5" r:id="rId5"/>
    <sheet name="Option 3, PP1" sheetId="8" r:id="rId6"/>
    <sheet name="Option 3, PP2" sheetId="6" r:id="rId7"/>
    <sheet name="Option 3, PP3" sheetId="7" r:id="rId8"/>
    <sheet name="Sheet1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6" l="1"/>
  <c r="T9" i="6"/>
  <c r="T11" i="4"/>
  <c r="S21" i="4"/>
  <c r="P3" i="11"/>
  <c r="P2" i="11"/>
  <c r="B3" i="11"/>
  <c r="P4" i="11" s="1"/>
  <c r="D12" i="5"/>
  <c r="B6" i="10" s="1"/>
  <c r="D13" i="4"/>
  <c r="D5" i="10" s="1"/>
  <c r="F14" i="3"/>
  <c r="D4" i="10" s="1"/>
  <c r="D11" i="4"/>
  <c r="B5" i="10" s="1"/>
  <c r="F12" i="3"/>
  <c r="B4" i="10" s="1"/>
  <c r="E7" i="7" l="1"/>
  <c r="G7" i="7" s="1"/>
  <c r="O7" i="8" s="1"/>
  <c r="E8" i="7"/>
  <c r="G8" i="7" s="1"/>
  <c r="O8" i="8" s="1"/>
  <c r="G3" i="7"/>
  <c r="G4" i="7"/>
  <c r="G5" i="7"/>
  <c r="G6" i="7"/>
  <c r="G2" i="7"/>
  <c r="E6" i="7"/>
  <c r="G3" i="6"/>
  <c r="G4" i="6"/>
  <c r="G5" i="6"/>
  <c r="G7" i="6"/>
  <c r="G2" i="6"/>
  <c r="E7" i="6"/>
  <c r="E8" i="6"/>
  <c r="G8" i="6" s="1"/>
  <c r="E6" i="6"/>
  <c r="G6" i="6" s="1"/>
  <c r="G3" i="8"/>
  <c r="G4" i="8"/>
  <c r="G5" i="8"/>
  <c r="G2" i="8"/>
  <c r="D7" i="8"/>
  <c r="E7" i="8" s="1"/>
  <c r="D8" i="8"/>
  <c r="E8" i="8" s="1"/>
  <c r="D6" i="8"/>
  <c r="E6" i="8" s="1"/>
  <c r="G3" i="5"/>
  <c r="G4" i="5"/>
  <c r="G5" i="5"/>
  <c r="G7" i="5"/>
  <c r="G8" i="5"/>
  <c r="G2" i="5"/>
  <c r="E7" i="5"/>
  <c r="E8" i="5"/>
  <c r="E6" i="5"/>
  <c r="G6" i="5" s="1"/>
  <c r="D14" i="5" s="1"/>
  <c r="D6" i="10" s="1"/>
  <c r="G3" i="4"/>
  <c r="G4" i="4"/>
  <c r="G5" i="4"/>
  <c r="G8" i="4"/>
  <c r="G2" i="4"/>
  <c r="E7" i="4"/>
  <c r="G7" i="4" s="1"/>
  <c r="E8" i="4"/>
  <c r="E6" i="4"/>
  <c r="G6" i="4" s="1"/>
  <c r="G3" i="3"/>
  <c r="G4" i="3"/>
  <c r="G5" i="3"/>
  <c r="G7" i="3"/>
  <c r="G2" i="3"/>
  <c r="E7" i="3"/>
  <c r="E8" i="3"/>
  <c r="G8" i="3" s="1"/>
  <c r="E6" i="3"/>
  <c r="G6" i="3" s="1"/>
  <c r="C5" i="11"/>
  <c r="C6" i="11"/>
  <c r="B7" i="11" s="1"/>
  <c r="C4" i="11"/>
  <c r="B8" i="11" s="1"/>
  <c r="E11" i="7" l="1"/>
  <c r="B9" i="10" s="1"/>
  <c r="E13" i="7"/>
  <c r="O6" i="8"/>
  <c r="G8" i="8"/>
  <c r="N8" i="8" s="1"/>
  <c r="P8" i="8" s="1"/>
  <c r="G7" i="8"/>
  <c r="N7" i="8" s="1"/>
  <c r="P7" i="8" s="1"/>
  <c r="G6" i="8"/>
  <c r="E3" i="11"/>
  <c r="F3" i="11" s="1"/>
  <c r="E5" i="11"/>
  <c r="F5" i="11" s="1"/>
  <c r="E4" i="11"/>
  <c r="F4" i="11" s="1"/>
  <c r="F13" i="3"/>
  <c r="C4" i="10" s="1"/>
  <c r="E13" i="6"/>
  <c r="E11" i="6"/>
  <c r="B8" i="10" s="1"/>
  <c r="Q3" i="8"/>
  <c r="Q4" i="8"/>
  <c r="Q5" i="8"/>
  <c r="Q6" i="8"/>
  <c r="Q7" i="8"/>
  <c r="Q8" i="8"/>
  <c r="Q2" i="8"/>
  <c r="P3" i="8"/>
  <c r="P4" i="8"/>
  <c r="P5" i="8"/>
  <c r="P2" i="8"/>
  <c r="F12" i="8" l="1"/>
  <c r="D7" i="10" s="1"/>
  <c r="F10" i="8"/>
  <c r="B7" i="10" s="1"/>
  <c r="N6" i="8"/>
  <c r="P6" i="8" s="1"/>
  <c r="P10" i="8" s="1"/>
  <c r="P9" i="8"/>
  <c r="Q9" i="8"/>
  <c r="F11" i="8"/>
  <c r="C7" i="10" s="1"/>
  <c r="D8" i="10"/>
  <c r="D9" i="10"/>
  <c r="Q10" i="8"/>
  <c r="D15" i="4"/>
  <c r="E5" i="10" s="1"/>
  <c r="D16" i="5"/>
  <c r="E6" i="10" s="1"/>
  <c r="E12" i="7"/>
  <c r="C9" i="10" s="1"/>
  <c r="E12" i="6"/>
  <c r="C8" i="10" s="1"/>
  <c r="D13" i="5"/>
  <c r="C6" i="10" s="1"/>
  <c r="D12" i="4"/>
  <c r="C5" i="10" s="1"/>
  <c r="E14" i="2"/>
  <c r="D12" i="2"/>
  <c r="C3" i="10" s="1"/>
  <c r="E14" i="7"/>
  <c r="E14" i="6"/>
  <c r="E15" i="2"/>
  <c r="D11" i="2"/>
  <c r="B3" i="10" s="1"/>
  <c r="F15" i="3"/>
  <c r="D14" i="4"/>
  <c r="D15" i="5"/>
  <c r="F13" i="8"/>
  <c r="F14" i="8"/>
  <c r="E7" i="10" s="1"/>
  <c r="E15" i="6"/>
  <c r="E8" i="10" s="1"/>
  <c r="F16" i="3"/>
  <c r="E4" i="10" s="1"/>
  <c r="E16" i="2" l="1"/>
  <c r="E3" i="10" s="1"/>
  <c r="D3" i="10"/>
  <c r="Q11" i="8"/>
  <c r="P11" i="8"/>
  <c r="E15" i="7"/>
  <c r="E9" i="10" s="1"/>
</calcChain>
</file>

<file path=xl/sharedStrings.xml><?xml version="1.0" encoding="utf-8"?>
<sst xmlns="http://schemas.openxmlformats.org/spreadsheetml/2006/main" count="133" uniqueCount="55">
  <si>
    <t>EOY</t>
  </si>
  <si>
    <t>O&amp;M</t>
  </si>
  <si>
    <t>Loan payments</t>
  </si>
  <si>
    <t>Salvage Value</t>
  </si>
  <si>
    <t>CF</t>
  </si>
  <si>
    <t>One Time Payments</t>
  </si>
  <si>
    <t>Initial Payment</t>
  </si>
  <si>
    <t>PW</t>
  </si>
  <si>
    <t>NPV</t>
  </si>
  <si>
    <t>PV</t>
  </si>
  <si>
    <t>FV</t>
  </si>
  <si>
    <t>FW</t>
  </si>
  <si>
    <t>AW</t>
  </si>
  <si>
    <t xml:space="preserve">FW </t>
  </si>
  <si>
    <t>Option 1</t>
  </si>
  <si>
    <t>Option 2, PP1</t>
  </si>
  <si>
    <t>Option 2, PP2</t>
  </si>
  <si>
    <t>Option 2, PP3</t>
  </si>
  <si>
    <t>Option 3, PP1</t>
  </si>
  <si>
    <t>Option 3, PP2</t>
  </si>
  <si>
    <t>Option 3, PP3</t>
  </si>
  <si>
    <t>CF(O3PP3)</t>
  </si>
  <si>
    <t>CF(O3PP1)</t>
  </si>
  <si>
    <t>CF(O1)</t>
  </si>
  <si>
    <t>CF1-31</t>
  </si>
  <si>
    <t>CF1-33</t>
  </si>
  <si>
    <t>Purchase Price</t>
  </si>
  <si>
    <t>Massachusetts State incentive</t>
  </si>
  <si>
    <t>Sales Tax @ 6.25%</t>
  </si>
  <si>
    <t>Insurance payments</t>
  </si>
  <si>
    <t>Fuel cost</t>
  </si>
  <si>
    <t>O&amp;M costs(5 years)</t>
  </si>
  <si>
    <t>Per Month</t>
  </si>
  <si>
    <t>Savings over Option 1</t>
  </si>
  <si>
    <t>Savings over option 1</t>
  </si>
  <si>
    <t>Monthly Net spending</t>
  </si>
  <si>
    <t>Savings per month due to owning car and not sharing the ride</t>
  </si>
  <si>
    <t>Salvage Value @ EOY 6</t>
  </si>
  <si>
    <t>Monthly Net spending for option 1</t>
  </si>
  <si>
    <t>255 (reduces by $10 every year)</t>
  </si>
  <si>
    <t>Savings Per month</t>
  </si>
  <si>
    <t>Year 4</t>
  </si>
  <si>
    <t>Year 5</t>
  </si>
  <si>
    <t>Year 6</t>
  </si>
  <si>
    <t>Per year</t>
  </si>
  <si>
    <t>Payment Plan1</t>
  </si>
  <si>
    <t>Payment Plan 2</t>
  </si>
  <si>
    <t>Payment Plan 3</t>
  </si>
  <si>
    <t>Loan/Lease period</t>
  </si>
  <si>
    <t>Amount Financed</t>
  </si>
  <si>
    <t>$37940 @ 2.99% APR</t>
  </si>
  <si>
    <t>3 Years</t>
  </si>
  <si>
    <t>Additional Costs</t>
  </si>
  <si>
    <t>$0.25/mile over 45000 miles</t>
  </si>
  <si>
    <t>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</si>
</sst>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rbe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/>
    <xf numFmtId="8" fontId="0" fillId="0" borderId="0" xfId="0" applyNumberFormat="1"/>
    <xf numFmtId="8" fontId="0" fillId="0" borderId="0" xfId="1" applyNumberFormat="1" applyFont="1"/>
    <xf numFmtId="9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8" fontId="6" fillId="0" borderId="0" xfId="0" applyNumberFormat="1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6" fontId="0" fillId="0" borderId="0" xfId="0" applyNumberFormat="1" applyAlignment="1">
      <alignment wrapText="1"/>
    </xf>
    <xf numFmtId="0" fontId="0" fillId="0" borderId="0" xfId="0" applyAlignment="1">
      <alignment wrapText="1"/>
    </xf>
    <xf numFmtId="8" fontId="0" fillId="0" borderId="0" xfId="0" applyNumberForma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'Option 1'!$A$1</c:f>
              <c:strCache>
                <c:ptCount val="1"/>
                <c:pt idx="0">
                  <c:v>EOY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'Option 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9-481C-9DCB-697F80B08C17}"/>
            </c:ext>
          </c:extLst>
        </c:ser>
        <c:ser>
          <c:idx val="1"/>
          <c:order val="1"/>
          <c:tx>
            <c:strRef>
              <c:f>'Option 1'!$F$1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'Option 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1'!$F$2:$F$8</c:f>
              <c:numCache>
                <c:formatCode>General</c:formatCode>
                <c:ptCount val="7"/>
                <c:pt idx="0">
                  <c:v>-3687.5</c:v>
                </c:pt>
                <c:pt idx="1">
                  <c:v>-9066</c:v>
                </c:pt>
                <c:pt idx="2">
                  <c:v>-8946</c:v>
                </c:pt>
                <c:pt idx="3">
                  <c:v>-8826</c:v>
                </c:pt>
                <c:pt idx="4">
                  <c:v>-8706</c:v>
                </c:pt>
                <c:pt idx="5">
                  <c:v>-8586</c:v>
                </c:pt>
                <c:pt idx="6">
                  <c:v>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9-481C-9DCB-697F80B0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7063168"/>
        <c:axId val="1628740384"/>
      </c:barChart>
      <c:catAx>
        <c:axId val="17170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40384"/>
        <c:crosses val="autoZero"/>
        <c:auto val="1"/>
        <c:lblAlgn val="ctr"/>
        <c:lblOffset val="100"/>
        <c:noMultiLvlLbl val="0"/>
      </c:catAx>
      <c:valAx>
        <c:axId val="1628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Option 2, PP1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'Option 2, PP1'!$A$1</c:f>
              <c:strCache>
                <c:ptCount val="1"/>
                <c:pt idx="0">
                  <c:v>EOY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'Option 2, PP1'!$A$2:$A$8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2, PP1'!$A$2:$A$8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6-4A4E-909B-24E78E7FC4B3}"/>
            </c:ext>
          </c:extLst>
        </c:ser>
        <c:ser>
          <c:idx val="1"/>
          <c:order val="1"/>
          <c:tx>
            <c:strRef>
              <c:f>'Option 2, PP1'!$G$1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'Option 2, PP1'!$A$2:$A$8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2, PP1'!$G$2:$G$8</c:f>
              <c:numCache>
                <c:formatCode>General</c:formatCode>
                <c:ptCount val="7"/>
                <c:pt idx="0">
                  <c:v>-3687.5</c:v>
                </c:pt>
                <c:pt idx="1">
                  <c:v>-9066.6</c:v>
                </c:pt>
                <c:pt idx="2">
                  <c:v>-8946</c:v>
                </c:pt>
                <c:pt idx="3">
                  <c:v>-26266.1</c:v>
                </c:pt>
                <c:pt idx="4">
                  <c:v>-9505.2000000000007</c:v>
                </c:pt>
                <c:pt idx="5">
                  <c:v>-9625.2000000000007</c:v>
                </c:pt>
                <c:pt idx="6">
                  <c:v>9346.7999999999993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6-4A4E-909B-24E78E7F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596447"/>
        <c:axId val="1689608255"/>
      </c:barChart>
      <c:catAx>
        <c:axId val="169759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08255"/>
        <c:crosses val="autoZero"/>
        <c:auto val="1"/>
        <c:lblAlgn val="ctr"/>
        <c:lblOffset val="100"/>
        <c:noMultiLvlLbl val="0"/>
      </c:catAx>
      <c:valAx>
        <c:axId val="16896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'Option 2, PP2'!$A$1</c:f>
              <c:strCache>
                <c:ptCount val="1"/>
                <c:pt idx="0">
                  <c:v>EOY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'Option 2, PP2'!$A$2:$A$8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2, PP2'!$A$2:$A$8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1-4BCB-9919-C936B2C2F924}"/>
            </c:ext>
          </c:extLst>
        </c:ser>
        <c:ser>
          <c:idx val="1"/>
          <c:order val="1"/>
          <c:tx>
            <c:strRef>
              <c:f>'Option 2, PP2'!$G$1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'Option 2, PP2'!$A$2:$A$8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2, PP2'!$G$2:$G$8</c:f>
              <c:numCache>
                <c:formatCode>General</c:formatCode>
                <c:ptCount val="7"/>
                <c:pt idx="0">
                  <c:v>-3687.5</c:v>
                </c:pt>
                <c:pt idx="1">
                  <c:v>-9066</c:v>
                </c:pt>
                <c:pt idx="2">
                  <c:v>-8946</c:v>
                </c:pt>
                <c:pt idx="3">
                  <c:v>1354.5</c:v>
                </c:pt>
                <c:pt idx="4">
                  <c:v>-16323.900000000001</c:v>
                </c:pt>
                <c:pt idx="5">
                  <c:v>-16443.900000000001</c:v>
                </c:pt>
                <c:pt idx="6">
                  <c:v>-10563.9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1-4BCB-9919-C936B2C2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073247"/>
        <c:axId val="1034592143"/>
      </c:barChart>
      <c:catAx>
        <c:axId val="16910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2143"/>
        <c:crosses val="autoZero"/>
        <c:auto val="1"/>
        <c:lblAlgn val="ctr"/>
        <c:lblOffset val="100"/>
        <c:noMultiLvlLbl val="0"/>
      </c:catAx>
      <c:valAx>
        <c:axId val="10345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7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Option</a:t>
            </a:r>
            <a:r>
              <a:rPr lang="en-US" baseline="0"/>
              <a:t> 2, PP3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'Option 2, PP3'!$A$1</c:f>
              <c:strCache>
                <c:ptCount val="1"/>
                <c:pt idx="0">
                  <c:v>EOY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'Option 2, PP3'!$A$2:$A$8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2, PP3'!$A$2:$A$8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D-4A06-9F5A-C95C417A37CB}"/>
            </c:ext>
          </c:extLst>
        </c:ser>
        <c:ser>
          <c:idx val="1"/>
          <c:order val="1"/>
          <c:tx>
            <c:strRef>
              <c:f>'Option 2, PP3'!$G$1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'Option 2, PP3'!$A$2:$A$8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2, PP3'!$G$2:$G$8</c:f>
              <c:numCache>
                <c:formatCode>General</c:formatCode>
                <c:ptCount val="7"/>
                <c:pt idx="0">
                  <c:v>-3687.5</c:v>
                </c:pt>
                <c:pt idx="1">
                  <c:v>-9066</c:v>
                </c:pt>
                <c:pt idx="2">
                  <c:v>-8946</c:v>
                </c:pt>
                <c:pt idx="3">
                  <c:v>1354.5</c:v>
                </c:pt>
                <c:pt idx="4">
                  <c:v>-19142.399999999998</c:v>
                </c:pt>
                <c:pt idx="5">
                  <c:v>-19262.399999999998</c:v>
                </c:pt>
                <c:pt idx="6">
                  <c:v>-290.40000000000146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D-4A06-9F5A-C95C417A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246544"/>
        <c:axId val="889979504"/>
      </c:barChart>
      <c:catAx>
        <c:axId val="16242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79504"/>
        <c:crosses val="autoZero"/>
        <c:auto val="1"/>
        <c:lblAlgn val="ctr"/>
        <c:lblOffset val="100"/>
        <c:noMultiLvlLbl val="0"/>
      </c:catAx>
      <c:valAx>
        <c:axId val="8899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Option 3, PP1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'Option 3, PP1'!$A$1</c:f>
              <c:strCache>
                <c:ptCount val="1"/>
                <c:pt idx="0">
                  <c:v>EOY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'Option 3, PP1'!$A$2:$A$8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3, PP1'!$A$2:$A$8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7-4EC8-B745-EF1D0DE6128B}"/>
            </c:ext>
          </c:extLst>
        </c:ser>
        <c:ser>
          <c:idx val="1"/>
          <c:order val="1"/>
          <c:tx>
            <c:strRef>
              <c:f>'Option 3, PP1'!$G$1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'Option 3, PP1'!$A$2:$A$8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3, PP1'!$G$2:$G$8</c:f>
              <c:numCache>
                <c:formatCode>General</c:formatCode>
                <c:ptCount val="7"/>
                <c:pt idx="0">
                  <c:v>-3687.5</c:v>
                </c:pt>
                <c:pt idx="1">
                  <c:v>-9066</c:v>
                </c:pt>
                <c:pt idx="2">
                  <c:v>-8946</c:v>
                </c:pt>
                <c:pt idx="3">
                  <c:v>-34252.400000000001</c:v>
                </c:pt>
                <c:pt idx="4">
                  <c:v>-6261.6</c:v>
                </c:pt>
                <c:pt idx="5">
                  <c:v>-6381.6</c:v>
                </c:pt>
                <c:pt idx="6">
                  <c:v>27211.4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7-4EC8-B745-EF1D0DE6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207056"/>
        <c:axId val="1627364000"/>
      </c:barChart>
      <c:catAx>
        <c:axId val="10962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4000"/>
        <c:crosses val="autoZero"/>
        <c:auto val="1"/>
        <c:lblAlgn val="ctr"/>
        <c:lblOffset val="100"/>
        <c:noMultiLvlLbl val="0"/>
      </c:catAx>
      <c:valAx>
        <c:axId val="1627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</a:t>
            </a:r>
            <a:r>
              <a:rPr lang="en-US" baseline="0"/>
              <a:t> option 3, PP2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'Option 3, PP2'!$A$1</c:f>
              <c:strCache>
                <c:ptCount val="1"/>
                <c:pt idx="0">
                  <c:v>EOY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'Option 3, PP2'!$A$2:$A$8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3, PP2'!$A$2:$A$8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6-49B8-A2DF-EC1D57D093D5}"/>
            </c:ext>
          </c:extLst>
        </c:ser>
        <c:ser>
          <c:idx val="1"/>
          <c:order val="1"/>
          <c:tx>
            <c:strRef>
              <c:f>'Option 3, PP2'!$G$1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'Option 3, PP2'!$A$2:$A$8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3, PP2'!$G$2:$G$8</c:f>
              <c:numCache>
                <c:formatCode>General</c:formatCode>
                <c:ptCount val="7"/>
                <c:pt idx="0">
                  <c:v>-3687.5</c:v>
                </c:pt>
                <c:pt idx="1">
                  <c:v>-9066</c:v>
                </c:pt>
                <c:pt idx="2">
                  <c:v>-8946</c:v>
                </c:pt>
                <c:pt idx="3">
                  <c:v>2542.630000000001</c:v>
                </c:pt>
                <c:pt idx="4">
                  <c:v>-13440.269999999999</c:v>
                </c:pt>
                <c:pt idx="5">
                  <c:v>-13560.269999999999</c:v>
                </c:pt>
                <c:pt idx="6">
                  <c:v>-7680.2699999999995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6-49B8-A2DF-EC1D57D0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165584"/>
        <c:axId val="1627152512"/>
      </c:barChart>
      <c:catAx>
        <c:axId val="11001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52512"/>
        <c:crosses val="autoZero"/>
        <c:auto val="1"/>
        <c:lblAlgn val="ctr"/>
        <c:lblOffset val="100"/>
        <c:noMultiLvlLbl val="0"/>
      </c:catAx>
      <c:valAx>
        <c:axId val="16271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flow, option 3 PP3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'Option 3, PP3'!$A$1</c:f>
              <c:strCache>
                <c:ptCount val="1"/>
                <c:pt idx="0">
                  <c:v>EOY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'Option 3, PP3'!$A$2:$A$8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3, PP3'!$A$2:$A$8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B-4C65-B42B-817750A164BF}"/>
            </c:ext>
          </c:extLst>
        </c:ser>
        <c:ser>
          <c:idx val="1"/>
          <c:order val="1"/>
          <c:tx>
            <c:strRef>
              <c:f>'Option 3, PP3'!$G$1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'Option 3, PP3'!$A$2:$A$8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'Option 3, PP3'!$G$2:$G$8</c:f>
              <c:numCache>
                <c:formatCode>General</c:formatCode>
                <c:ptCount val="7"/>
                <c:pt idx="0">
                  <c:v>-3687.5</c:v>
                </c:pt>
                <c:pt idx="1">
                  <c:v>-9066</c:v>
                </c:pt>
                <c:pt idx="2">
                  <c:v>-8946</c:v>
                </c:pt>
                <c:pt idx="3">
                  <c:v>3237.630000000001</c:v>
                </c:pt>
                <c:pt idx="4">
                  <c:v>-19341.599999999999</c:v>
                </c:pt>
                <c:pt idx="5">
                  <c:v>-19461.599999999999</c:v>
                </c:pt>
                <c:pt idx="6">
                  <c:v>14131.400000000001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B-4C65-B42B-817750A16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153984"/>
        <c:axId val="958416128"/>
      </c:barChart>
      <c:catAx>
        <c:axId val="11001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16128"/>
        <c:crosses val="autoZero"/>
        <c:auto val="1"/>
        <c:lblAlgn val="ctr"/>
        <c:lblOffset val="100"/>
        <c:noMultiLvlLbl val="0"/>
      </c:catAx>
      <c:valAx>
        <c:axId val="9584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11</xdr:row>
      <xdr:rowOff>166687</xdr:rowOff>
    </xdr:from>
    <xdr:to>
      <xdr:col>14</xdr:col>
      <xdr:colOff>314325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1861E-EBF1-4062-8D7C-06AE64B98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11</xdr:row>
      <xdr:rowOff>166687</xdr:rowOff>
    </xdr:from>
    <xdr:to>
      <xdr:col>18</xdr:col>
      <xdr:colOff>66675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12C2D-2EC2-4591-BD10-463676000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11</xdr:row>
      <xdr:rowOff>166687</xdr:rowOff>
    </xdr:from>
    <xdr:to>
      <xdr:col>15</xdr:col>
      <xdr:colOff>214312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87B7D-C371-44C0-9776-E15AEBFD0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11</xdr:row>
      <xdr:rowOff>166687</xdr:rowOff>
    </xdr:from>
    <xdr:to>
      <xdr:col>17</xdr:col>
      <xdr:colOff>514350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52797-7DD3-4D6C-B40D-0FCB37215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11</xdr:row>
      <xdr:rowOff>166687</xdr:rowOff>
    </xdr:from>
    <xdr:to>
      <xdr:col>17</xdr:col>
      <xdr:colOff>581025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6C93C-B9AA-4B84-804C-6B820A3D4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166687</xdr:rowOff>
    </xdr:from>
    <xdr:to>
      <xdr:col>17</xdr:col>
      <xdr:colOff>342900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F4CF1-B1DA-4AAC-BB17-B1A127EE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11</xdr:row>
      <xdr:rowOff>166687</xdr:rowOff>
    </xdr:from>
    <xdr:to>
      <xdr:col>17</xdr:col>
      <xdr:colOff>285750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AD965-03C4-4991-9DBE-95D554BD0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282D-C79D-4AB2-8E33-273E60B41A4A}">
  <dimension ref="A1:F16"/>
  <sheetViews>
    <sheetView workbookViewId="0">
      <selection activeCell="F4" sqref="F4"/>
    </sheetView>
  </sheetViews>
  <sheetFormatPr defaultRowHeight="15" x14ac:dyDescent="0.25"/>
  <cols>
    <col min="4" max="4" width="42" customWidth="1"/>
    <col min="5" max="5" width="11.5703125" bestFit="1" customWidth="1"/>
  </cols>
  <sheetData>
    <row r="1" spans="1:6" x14ac:dyDescent="0.25">
      <c r="A1" s="1" t="s">
        <v>0</v>
      </c>
      <c r="B1" s="1" t="s">
        <v>6</v>
      </c>
      <c r="C1" s="1" t="s">
        <v>2</v>
      </c>
      <c r="D1" s="1" t="s">
        <v>1</v>
      </c>
      <c r="E1" s="1" t="s">
        <v>3</v>
      </c>
      <c r="F1" s="1" t="s">
        <v>4</v>
      </c>
    </row>
    <row r="2" spans="1:6" x14ac:dyDescent="0.25">
      <c r="A2" s="2">
        <v>0</v>
      </c>
      <c r="B2" s="2">
        <v>-3687.5</v>
      </c>
      <c r="C2" s="3"/>
      <c r="D2" s="3"/>
      <c r="E2" s="3"/>
      <c r="F2" s="2">
        <v>-3687.5</v>
      </c>
    </row>
    <row r="3" spans="1:6" x14ac:dyDescent="0.25">
      <c r="A3" s="2">
        <v>1</v>
      </c>
      <c r="B3" s="3"/>
      <c r="C3" s="2">
        <v>-6000</v>
      </c>
      <c r="D3" s="2">
        <v>-3066</v>
      </c>
      <c r="E3" s="3"/>
      <c r="F3" s="2">
        <v>-9066</v>
      </c>
    </row>
    <row r="4" spans="1:6" x14ac:dyDescent="0.25">
      <c r="A4" s="2">
        <v>2</v>
      </c>
      <c r="B4" s="3"/>
      <c r="C4" s="2">
        <v>-6000</v>
      </c>
      <c r="D4" s="2">
        <v>-2946</v>
      </c>
      <c r="E4" s="3"/>
      <c r="F4" s="2">
        <v>-8946</v>
      </c>
    </row>
    <row r="5" spans="1:6" x14ac:dyDescent="0.25">
      <c r="A5" s="2">
        <v>3</v>
      </c>
      <c r="B5" s="3"/>
      <c r="C5" s="2">
        <v>-6000</v>
      </c>
      <c r="D5" s="2">
        <v>-2826</v>
      </c>
      <c r="E5" s="3"/>
      <c r="F5" s="2">
        <v>-8826</v>
      </c>
    </row>
    <row r="6" spans="1:6" x14ac:dyDescent="0.25">
      <c r="A6" s="2">
        <v>4</v>
      </c>
      <c r="B6" s="3"/>
      <c r="C6" s="2">
        <v>-6000</v>
      </c>
      <c r="D6" s="2">
        <v>-2706</v>
      </c>
      <c r="E6" s="3"/>
      <c r="F6" s="2">
        <v>-8706</v>
      </c>
    </row>
    <row r="7" spans="1:6" x14ac:dyDescent="0.25">
      <c r="A7" s="2">
        <v>5</v>
      </c>
      <c r="B7" s="3"/>
      <c r="C7" s="2">
        <v>-6000</v>
      </c>
      <c r="D7" s="2">
        <v>-2586</v>
      </c>
      <c r="E7" s="3"/>
      <c r="F7" s="2">
        <v>-8586</v>
      </c>
    </row>
    <row r="8" spans="1:6" x14ac:dyDescent="0.25">
      <c r="A8" s="2">
        <v>6</v>
      </c>
      <c r="B8" s="3"/>
      <c r="C8" s="2">
        <v>0</v>
      </c>
      <c r="D8" s="2">
        <v>-2466</v>
      </c>
      <c r="E8" s="2">
        <v>11258</v>
      </c>
      <c r="F8" s="2">
        <v>8792</v>
      </c>
    </row>
    <row r="11" spans="1:6" x14ac:dyDescent="0.25">
      <c r="C11" t="s">
        <v>7</v>
      </c>
      <c r="D11">
        <f>-3687.5-(9066/(1.01))-(8946/((1.01)^2))-(8826/((1.01)^3))-(8706/((1.01)^4))-(8586/((1.01)^5))+(8792/((1.01)^6))</f>
        <v>-38253.012291870044</v>
      </c>
    </row>
    <row r="12" spans="1:6" x14ac:dyDescent="0.25">
      <c r="C12" t="s">
        <v>9</v>
      </c>
      <c r="D12" s="4">
        <f>NPV(1%,F3,F4,F5,F6,F7,F8)</f>
        <v>-34565.512291870029</v>
      </c>
    </row>
    <row r="13" spans="1:6" x14ac:dyDescent="0.25">
      <c r="D13" s="5"/>
    </row>
    <row r="14" spans="1:6" x14ac:dyDescent="0.25">
      <c r="D14" t="s">
        <v>11</v>
      </c>
      <c r="E14">
        <f>(-3687.5*(1.01^6))-(9066*(1.01^5))-(8946*(1.01^4))-(8826*(1.01^3))-(8706*(1.01^2))-(8586*(1.01^1))+(8792*(1.01^0))</f>
        <v>-40606.343369007787</v>
      </c>
    </row>
    <row r="15" spans="1:6" x14ac:dyDescent="0.25">
      <c r="D15" t="s">
        <v>10</v>
      </c>
      <c r="E15" s="4">
        <f>FV(1%,6,,-NPV(1%,F3:F8)-F2)</f>
        <v>-40606.34336900778</v>
      </c>
    </row>
    <row r="16" spans="1:6" x14ac:dyDescent="0.25">
      <c r="D16" t="s">
        <v>12</v>
      </c>
      <c r="E16" s="4">
        <f>PMT(1%,6,-D11,-E14)</f>
        <v>-13200.98958546689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5E97-3889-4586-A0F6-6E568667F679}">
  <dimension ref="A1:T10"/>
  <sheetViews>
    <sheetView workbookViewId="0">
      <selection activeCell="E3" sqref="E3"/>
    </sheetView>
  </sheetViews>
  <sheetFormatPr defaultRowHeight="15" x14ac:dyDescent="0.25"/>
  <cols>
    <col min="1" max="1" width="19.7109375" customWidth="1"/>
    <col min="2" max="2" width="9.85546875" bestFit="1" customWidth="1"/>
    <col min="6" max="6" width="9.85546875" bestFit="1" customWidth="1"/>
    <col min="16" max="16" width="10.85546875" bestFit="1" customWidth="1"/>
    <col min="17" max="17" width="10.85546875" customWidth="1"/>
    <col min="20" max="20" width="14.140625" customWidth="1"/>
  </cols>
  <sheetData>
    <row r="1" spans="1:20" ht="45" x14ac:dyDescent="0.25">
      <c r="A1" s="11" t="s">
        <v>26</v>
      </c>
      <c r="B1" s="10">
        <v>39990</v>
      </c>
      <c r="C1" t="s">
        <v>32</v>
      </c>
      <c r="P1" s="12" t="s">
        <v>6</v>
      </c>
      <c r="Q1" s="12" t="s">
        <v>49</v>
      </c>
      <c r="R1" s="12" t="s">
        <v>54</v>
      </c>
      <c r="S1" s="12" t="s">
        <v>48</v>
      </c>
      <c r="T1" s="12" t="s">
        <v>52</v>
      </c>
    </row>
    <row r="2" spans="1:20" ht="45" x14ac:dyDescent="0.25">
      <c r="A2" s="12" t="s">
        <v>27</v>
      </c>
      <c r="B2" s="10">
        <v>2500</v>
      </c>
      <c r="E2" s="12" t="s">
        <v>40</v>
      </c>
      <c r="F2" t="s">
        <v>44</v>
      </c>
      <c r="M2">
        <v>255</v>
      </c>
      <c r="O2" s="12" t="s">
        <v>45</v>
      </c>
      <c r="P2" s="4">
        <f>B1+B3-B2</f>
        <v>39989.375</v>
      </c>
      <c r="Q2" s="4">
        <v>0</v>
      </c>
      <c r="R2">
        <v>0</v>
      </c>
      <c r="S2" t="s">
        <v>51</v>
      </c>
      <c r="T2">
        <v>0</v>
      </c>
    </row>
    <row r="3" spans="1:20" ht="45" x14ac:dyDescent="0.25">
      <c r="A3" s="11" t="s">
        <v>28</v>
      </c>
      <c r="B3" s="4">
        <f>(B1*6.25)/100</f>
        <v>2499.375</v>
      </c>
      <c r="D3" t="s">
        <v>41</v>
      </c>
      <c r="E3" s="4">
        <f>225-B8</f>
        <v>101.34166666666667</v>
      </c>
      <c r="F3" s="4">
        <f>E3*12</f>
        <v>1216.0999999999999</v>
      </c>
      <c r="M3">
        <v>245</v>
      </c>
      <c r="O3" s="12" t="s">
        <v>46</v>
      </c>
      <c r="P3" s="4">
        <f>3195+B3-B2</f>
        <v>3194.375</v>
      </c>
      <c r="Q3" s="4">
        <v>0</v>
      </c>
      <c r="R3">
        <v>501</v>
      </c>
      <c r="S3" t="s">
        <v>51</v>
      </c>
      <c r="T3" s="14" t="s">
        <v>53</v>
      </c>
    </row>
    <row r="4" spans="1:20" ht="30" x14ac:dyDescent="0.25">
      <c r="A4" s="12" t="s">
        <v>31</v>
      </c>
      <c r="B4" s="10">
        <v>2084</v>
      </c>
      <c r="C4" s="4">
        <f>B4/60</f>
        <v>34.733333333333334</v>
      </c>
      <c r="D4" t="s">
        <v>42</v>
      </c>
      <c r="E4" s="4">
        <f>215-B8</f>
        <v>91.341666666666669</v>
      </c>
      <c r="F4" s="4">
        <f t="shared" ref="F4:F5" si="0">E4*12</f>
        <v>1096.0999999999999</v>
      </c>
      <c r="M4">
        <v>235</v>
      </c>
      <c r="O4" s="12" t="s">
        <v>47</v>
      </c>
      <c r="P4" s="4">
        <f>2500+B3-B2</f>
        <v>2499.375</v>
      </c>
      <c r="Q4" s="15" t="s">
        <v>50</v>
      </c>
      <c r="R4" s="10">
        <v>1090</v>
      </c>
      <c r="S4" t="s">
        <v>51</v>
      </c>
      <c r="T4">
        <v>0</v>
      </c>
    </row>
    <row r="5" spans="1:20" x14ac:dyDescent="0.25">
      <c r="A5" s="11" t="s">
        <v>29</v>
      </c>
      <c r="B5" s="10">
        <v>4061</v>
      </c>
      <c r="C5" s="4">
        <f t="shared" ref="C5:C6" si="1">B5/60</f>
        <v>67.683333333333337</v>
      </c>
      <c r="D5" t="s">
        <v>43</v>
      </c>
      <c r="E5" s="4">
        <f>205-B8</f>
        <v>81.341666666666669</v>
      </c>
      <c r="F5" s="4">
        <f t="shared" si="0"/>
        <v>976.1</v>
      </c>
      <c r="M5">
        <v>225</v>
      </c>
    </row>
    <row r="6" spans="1:20" x14ac:dyDescent="0.25">
      <c r="A6" s="11" t="s">
        <v>30</v>
      </c>
      <c r="B6" s="10">
        <v>2549</v>
      </c>
      <c r="C6" s="4">
        <f t="shared" si="1"/>
        <v>42.483333333333334</v>
      </c>
      <c r="M6">
        <v>215</v>
      </c>
    </row>
    <row r="7" spans="1:20" ht="60" x14ac:dyDescent="0.25">
      <c r="A7" s="12" t="s">
        <v>36</v>
      </c>
      <c r="B7" s="10">
        <f>C6/2</f>
        <v>21.241666666666667</v>
      </c>
      <c r="C7" s="4"/>
      <c r="M7">
        <v>205</v>
      </c>
    </row>
    <row r="8" spans="1:20" ht="30" x14ac:dyDescent="0.25">
      <c r="A8" s="12" t="s">
        <v>35</v>
      </c>
      <c r="B8" s="4">
        <f>C4+C5+C6-B7</f>
        <v>123.65833333333333</v>
      </c>
    </row>
    <row r="9" spans="1:20" ht="30" x14ac:dyDescent="0.25">
      <c r="A9" s="12" t="s">
        <v>37</v>
      </c>
      <c r="B9" s="10">
        <v>27713</v>
      </c>
    </row>
    <row r="10" spans="1:20" ht="75" x14ac:dyDescent="0.25">
      <c r="A10" s="12" t="s">
        <v>38</v>
      </c>
      <c r="B10" s="1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DD21-AEBF-4516-8FC1-855108C1E5C8}">
  <dimension ref="A1:G16"/>
  <sheetViews>
    <sheetView tabSelected="1" workbookViewId="0">
      <selection activeCell="F16" sqref="F16"/>
    </sheetView>
  </sheetViews>
  <sheetFormatPr defaultRowHeight="15" x14ac:dyDescent="0.25"/>
  <cols>
    <col min="6" max="6" width="11.5703125" bestFit="1" customWidth="1"/>
  </cols>
  <sheetData>
    <row r="1" spans="1:7" x14ac:dyDescent="0.25">
      <c r="A1" s="1" t="s">
        <v>0</v>
      </c>
      <c r="B1" s="1" t="s">
        <v>6</v>
      </c>
      <c r="C1" s="1" t="s">
        <v>2</v>
      </c>
      <c r="D1" s="1" t="s">
        <v>1</v>
      </c>
      <c r="E1" s="1" t="s">
        <v>33</v>
      </c>
      <c r="F1" s="1" t="s">
        <v>3</v>
      </c>
      <c r="G1" s="1" t="s">
        <v>4</v>
      </c>
    </row>
    <row r="2" spans="1:7" x14ac:dyDescent="0.25">
      <c r="A2" s="2">
        <v>0</v>
      </c>
      <c r="B2" s="2">
        <v>-3687.5</v>
      </c>
      <c r="C2" s="3"/>
      <c r="D2" s="3"/>
      <c r="E2" s="3"/>
      <c r="F2" s="3"/>
      <c r="G2" s="2">
        <f>B2+C2+D2+E2+F2</f>
        <v>-3687.5</v>
      </c>
    </row>
    <row r="3" spans="1:7" x14ac:dyDescent="0.25">
      <c r="A3" s="2">
        <v>1</v>
      </c>
      <c r="B3" s="3"/>
      <c r="C3" s="2">
        <v>-6000</v>
      </c>
      <c r="D3" s="2">
        <v>-3066.6</v>
      </c>
      <c r="E3" s="2"/>
      <c r="F3" s="3"/>
      <c r="G3" s="2">
        <f t="shared" ref="G3:G8" si="0">B3+C3+D3+E3+F3</f>
        <v>-9066.6</v>
      </c>
    </row>
    <row r="4" spans="1:7" x14ac:dyDescent="0.25">
      <c r="A4" s="2">
        <v>2</v>
      </c>
      <c r="B4" s="3"/>
      <c r="C4" s="2">
        <v>-6000</v>
      </c>
      <c r="D4" s="2">
        <v>-2946</v>
      </c>
      <c r="E4" s="2"/>
      <c r="F4" s="3"/>
      <c r="G4" s="2">
        <f t="shared" si="0"/>
        <v>-8946</v>
      </c>
    </row>
    <row r="5" spans="1:7" x14ac:dyDescent="0.25">
      <c r="A5" s="2">
        <v>3</v>
      </c>
      <c r="B5" s="2">
        <v>-32002.5</v>
      </c>
      <c r="C5" s="2">
        <v>-6000</v>
      </c>
      <c r="D5" s="2">
        <v>-2826.6</v>
      </c>
      <c r="E5" s="2"/>
      <c r="F5" s="2">
        <v>14563</v>
      </c>
      <c r="G5" s="2">
        <f t="shared" si="0"/>
        <v>-26266.1</v>
      </c>
    </row>
    <row r="6" spans="1:7" x14ac:dyDescent="0.25">
      <c r="A6" s="2">
        <v>4</v>
      </c>
      <c r="B6" s="3"/>
      <c r="C6" s="2">
        <v>-6000</v>
      </c>
      <c r="D6" s="2">
        <v>-3105.6</v>
      </c>
      <c r="E6" s="2">
        <f>D6-'Option 1'!D6</f>
        <v>-399.59999999999991</v>
      </c>
      <c r="F6" s="3"/>
      <c r="G6" s="2">
        <f t="shared" si="0"/>
        <v>-9505.2000000000007</v>
      </c>
    </row>
    <row r="7" spans="1:7" x14ac:dyDescent="0.25">
      <c r="A7" s="2">
        <v>5</v>
      </c>
      <c r="B7" s="3"/>
      <c r="C7" s="2">
        <v>-6000</v>
      </c>
      <c r="D7" s="2">
        <v>-3105.6</v>
      </c>
      <c r="E7" s="2">
        <f>D7-'Option 1'!D7</f>
        <v>-519.59999999999991</v>
      </c>
      <c r="F7" s="3"/>
      <c r="G7" s="2">
        <f t="shared" si="0"/>
        <v>-9625.2000000000007</v>
      </c>
    </row>
    <row r="8" spans="1:7" x14ac:dyDescent="0.25">
      <c r="A8" s="2">
        <v>6</v>
      </c>
      <c r="B8" s="3"/>
      <c r="C8" s="2">
        <v>0</v>
      </c>
      <c r="D8" s="2">
        <v>-3105.6</v>
      </c>
      <c r="E8" s="2">
        <f>D8-'Option 1'!D8</f>
        <v>-639.59999999999991</v>
      </c>
      <c r="F8" s="2">
        <v>13092</v>
      </c>
      <c r="G8" s="2">
        <f t="shared" si="0"/>
        <v>9346.7999999999993</v>
      </c>
    </row>
    <row r="9" spans="1:7" x14ac:dyDescent="0.25">
      <c r="A9" s="2"/>
      <c r="B9" s="2"/>
      <c r="C9" s="2"/>
      <c r="D9" s="2"/>
      <c r="E9" s="2"/>
      <c r="F9" s="2"/>
      <c r="G9" s="2"/>
    </row>
    <row r="12" spans="1:7" x14ac:dyDescent="0.25">
      <c r="D12" t="s">
        <v>7</v>
      </c>
      <c r="F12">
        <f>-3687.5-9066/(1.01)-8946/(1.01)^2-26266.1/(1.01)^3-9505.2/(1.01)^4-9625.2/(1.01)^5+9346.8/(1.01)^6</f>
        <v>-56414.333468095523</v>
      </c>
    </row>
    <row r="13" spans="1:7" x14ac:dyDescent="0.25">
      <c r="D13" t="s">
        <v>8</v>
      </c>
      <c r="F13" s="4">
        <f>NPV(0.01,G3,G4,G5,G6,G7,G8)</f>
        <v>-52727.427527501459</v>
      </c>
    </row>
    <row r="14" spans="1:7" x14ac:dyDescent="0.25">
      <c r="D14" t="s">
        <v>11</v>
      </c>
      <c r="F14">
        <f>-3687.5*(1.01^6)-9066*(1.01^5)-8946*(1.01^4)-26266.1*(1.01^3)-9505.2*(1.01^2)-9625.2*(1.01^1)+9346.8*(1.01^0)</f>
        <v>-59884.951759107789</v>
      </c>
    </row>
    <row r="15" spans="1:7" x14ac:dyDescent="0.25">
      <c r="D15" t="s">
        <v>10</v>
      </c>
      <c r="F15" s="4">
        <f>FV(1%,6,,-NPV(1%,G3:G8)-G2)</f>
        <v>-59885.58236513786</v>
      </c>
    </row>
    <row r="16" spans="1:7" x14ac:dyDescent="0.25">
      <c r="D16" t="s">
        <v>12</v>
      </c>
      <c r="F16" s="4">
        <f>PMT(1%,6,-F12,-F14)</f>
        <v>-19468.402198005788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F6F5-27EB-4C73-BF0D-6AAF770ED2CF}">
  <dimension ref="A1:T21"/>
  <sheetViews>
    <sheetView workbookViewId="0">
      <selection activeCell="T12" sqref="T12"/>
    </sheetView>
  </sheetViews>
  <sheetFormatPr defaultRowHeight="15" x14ac:dyDescent="0.25"/>
  <cols>
    <col min="3" max="4" width="11.5703125" bestFit="1" customWidth="1"/>
    <col min="5" max="5" width="11.5703125" customWidth="1"/>
  </cols>
  <sheetData>
    <row r="1" spans="1:20" x14ac:dyDescent="0.25">
      <c r="A1" s="1" t="s">
        <v>0</v>
      </c>
      <c r="B1" s="1" t="s">
        <v>5</v>
      </c>
      <c r="C1" s="1" t="s">
        <v>2</v>
      </c>
      <c r="D1" s="1" t="s">
        <v>1</v>
      </c>
      <c r="E1" s="1" t="s">
        <v>33</v>
      </c>
      <c r="F1" s="1" t="s">
        <v>3</v>
      </c>
      <c r="G1" s="1" t="s">
        <v>4</v>
      </c>
    </row>
    <row r="2" spans="1:20" x14ac:dyDescent="0.25">
      <c r="A2" s="2">
        <v>0</v>
      </c>
      <c r="B2" s="2">
        <v>-3687.5</v>
      </c>
      <c r="C2" s="3"/>
      <c r="D2" s="3"/>
      <c r="E2" s="3"/>
      <c r="F2" s="3"/>
      <c r="G2" s="2">
        <f>B2+C2+D2+E2+F2</f>
        <v>-3687.5</v>
      </c>
    </row>
    <row r="3" spans="1:20" x14ac:dyDescent="0.25">
      <c r="A3" s="2">
        <v>1</v>
      </c>
      <c r="B3" s="3"/>
      <c r="C3" s="2">
        <v>-6000</v>
      </c>
      <c r="D3" s="2">
        <v>-3066</v>
      </c>
      <c r="E3" s="2"/>
      <c r="F3" s="3"/>
      <c r="G3" s="2">
        <f t="shared" ref="G3:G8" si="0">B3+C3+D3+E3+F3</f>
        <v>-9066</v>
      </c>
    </row>
    <row r="4" spans="1:20" x14ac:dyDescent="0.25">
      <c r="A4" s="2">
        <v>2</v>
      </c>
      <c r="B4" s="3"/>
      <c r="C4" s="2">
        <v>-6000</v>
      </c>
      <c r="D4" s="2">
        <v>-2946</v>
      </c>
      <c r="E4" s="2"/>
      <c r="F4" s="3"/>
      <c r="G4" s="2">
        <f t="shared" si="0"/>
        <v>-8946</v>
      </c>
    </row>
    <row r="5" spans="1:20" x14ac:dyDescent="0.25">
      <c r="A5" s="2">
        <v>3</v>
      </c>
      <c r="B5" s="2">
        <v>-4382.5</v>
      </c>
      <c r="C5" s="2">
        <v>-6000</v>
      </c>
      <c r="D5" s="2">
        <v>-2826</v>
      </c>
      <c r="E5" s="2"/>
      <c r="F5" s="2">
        <v>14563</v>
      </c>
      <c r="G5" s="2">
        <f t="shared" si="0"/>
        <v>1354.5</v>
      </c>
      <c r="J5" s="6"/>
    </row>
    <row r="6" spans="1:20" x14ac:dyDescent="0.25">
      <c r="A6" s="2">
        <v>4</v>
      </c>
      <c r="B6" s="3"/>
      <c r="C6" s="2">
        <v>-12818.7</v>
      </c>
      <c r="D6" s="2">
        <v>-3105.6</v>
      </c>
      <c r="E6" s="2">
        <f>D6-'Option 1'!D6</f>
        <v>-399.59999999999991</v>
      </c>
      <c r="F6" s="3"/>
      <c r="G6" s="2">
        <f t="shared" si="0"/>
        <v>-16323.900000000001</v>
      </c>
    </row>
    <row r="7" spans="1:20" x14ac:dyDescent="0.25">
      <c r="A7" s="2">
        <v>5</v>
      </c>
      <c r="B7" s="3"/>
      <c r="C7" s="2">
        <v>-12818.7</v>
      </c>
      <c r="D7" s="2">
        <v>-3105.6</v>
      </c>
      <c r="E7" s="2">
        <f>D7-'Option 1'!D7</f>
        <v>-519.59999999999991</v>
      </c>
      <c r="F7" s="3"/>
      <c r="G7" s="2">
        <f t="shared" si="0"/>
        <v>-16443.900000000001</v>
      </c>
    </row>
    <row r="8" spans="1:20" x14ac:dyDescent="0.25">
      <c r="A8" s="2">
        <v>6</v>
      </c>
      <c r="B8" s="3"/>
      <c r="C8" s="2">
        <v>-6818.7</v>
      </c>
      <c r="D8" s="2">
        <v>-3105.6</v>
      </c>
      <c r="E8" s="2">
        <f>D8-'Option 1'!D8</f>
        <v>-639.59999999999991</v>
      </c>
      <c r="F8" s="2">
        <v>0</v>
      </c>
      <c r="G8" s="2">
        <f t="shared" si="0"/>
        <v>-10563.9</v>
      </c>
    </row>
    <row r="11" spans="1:20" x14ac:dyDescent="0.25">
      <c r="C11" t="s">
        <v>7</v>
      </c>
      <c r="D11">
        <f>-3687.5-9066/(1.01)-8946/(1.01)^2+1354.5/(1.01)^3-16323.9/(1.01)^4-16443.9/(1.01)^5-10536.9/(1.01)^6</f>
        <v>-61377.791831478404</v>
      </c>
      <c r="T11">
        <f>6000+(471*12)+1166.67</f>
        <v>12818.67</v>
      </c>
    </row>
    <row r="12" spans="1:20" x14ac:dyDescent="0.25">
      <c r="C12" t="s">
        <v>8</v>
      </c>
      <c r="D12" s="4">
        <f>NPV(0.01,G3:G8)</f>
        <v>-57715.727052830276</v>
      </c>
      <c r="E12" s="4"/>
    </row>
    <row r="13" spans="1:20" x14ac:dyDescent="0.25">
      <c r="C13" t="s">
        <v>11</v>
      </c>
      <c r="D13" s="4">
        <f>-3687.5*(1.01^6)-9066*(1.01^5)-8946*(1.01^4)+1354.5*(1.01^3)-16323.9*(1.01^2)-16443.9*(1.01^1)-10536.9*(1.01^0)</f>
        <v>-65153.762828507788</v>
      </c>
      <c r="E13" s="4"/>
    </row>
    <row r="14" spans="1:20" x14ac:dyDescent="0.25">
      <c r="C14" t="s">
        <v>10</v>
      </c>
      <c r="D14" s="4">
        <f xml:space="preserve"> FV(1%,6,,-NPV(1%,G3:G8)-G2)</f>
        <v>-65180.762828507803</v>
      </c>
      <c r="E14" s="4"/>
    </row>
    <row r="15" spans="1:20" x14ac:dyDescent="0.25">
      <c r="C15" s="4" t="s">
        <v>12</v>
      </c>
      <c r="D15" s="4">
        <f>PMT(1%,6,-D11,-D13)</f>
        <v>-21181.275465684153</v>
      </c>
      <c r="E15" s="4"/>
    </row>
    <row r="21" spans="19:19" x14ac:dyDescent="0.25">
      <c r="S21">
        <f>258.8*12</f>
        <v>3105.6000000000004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6689-6F9F-496F-AB67-895CEF065322}">
  <dimension ref="A1:G16"/>
  <sheetViews>
    <sheetView workbookViewId="0">
      <selection activeCell="D16" sqref="D16"/>
    </sheetView>
  </sheetViews>
  <sheetFormatPr defaultRowHeight="15" x14ac:dyDescent="0.25"/>
  <cols>
    <col min="4" max="4" width="11.5703125" bestFit="1" customWidth="1"/>
    <col min="5" max="5" width="11.5703125" customWidth="1"/>
  </cols>
  <sheetData>
    <row r="1" spans="1:7" x14ac:dyDescent="0.25">
      <c r="A1" s="1" t="s">
        <v>0</v>
      </c>
      <c r="B1" s="1" t="s">
        <v>5</v>
      </c>
      <c r="C1" s="1" t="s">
        <v>2</v>
      </c>
      <c r="D1" s="1" t="s">
        <v>1</v>
      </c>
      <c r="E1" s="1" t="s">
        <v>34</v>
      </c>
      <c r="F1" s="1" t="s">
        <v>3</v>
      </c>
      <c r="G1" s="1" t="s">
        <v>4</v>
      </c>
    </row>
    <row r="2" spans="1:7" x14ac:dyDescent="0.25">
      <c r="A2" s="2">
        <v>0</v>
      </c>
      <c r="B2" s="2">
        <v>-3687.5</v>
      </c>
      <c r="C2" s="3"/>
      <c r="D2" s="3"/>
      <c r="E2" s="3"/>
      <c r="F2" s="3"/>
      <c r="G2" s="2">
        <f>B2+C2+D2+E2+F2</f>
        <v>-3687.5</v>
      </c>
    </row>
    <row r="3" spans="1:7" x14ac:dyDescent="0.25">
      <c r="A3" s="2">
        <v>1</v>
      </c>
      <c r="B3" s="3"/>
      <c r="C3" s="2">
        <v>-6000</v>
      </c>
      <c r="D3" s="2">
        <v>-3066</v>
      </c>
      <c r="E3" s="2"/>
      <c r="F3" s="3"/>
      <c r="G3" s="2">
        <f t="shared" ref="G3:G8" si="0">B3+C3+D3+E3+F3</f>
        <v>-9066</v>
      </c>
    </row>
    <row r="4" spans="1:7" x14ac:dyDescent="0.25">
      <c r="A4" s="2">
        <v>2</v>
      </c>
      <c r="B4" s="3"/>
      <c r="C4" s="2">
        <v>-6000</v>
      </c>
      <c r="D4" s="2">
        <v>-2946</v>
      </c>
      <c r="E4" s="2"/>
      <c r="F4" s="3"/>
      <c r="G4" s="2">
        <f t="shared" si="0"/>
        <v>-8946</v>
      </c>
    </row>
    <row r="5" spans="1:7" x14ac:dyDescent="0.25">
      <c r="A5" s="2">
        <v>3</v>
      </c>
      <c r="B5" s="2">
        <v>-4382.5</v>
      </c>
      <c r="C5" s="2">
        <v>-6000</v>
      </c>
      <c r="D5" s="2">
        <v>-2826</v>
      </c>
      <c r="E5" s="2"/>
      <c r="F5" s="2">
        <v>14563</v>
      </c>
      <c r="G5" s="2">
        <f t="shared" si="0"/>
        <v>1354.5</v>
      </c>
    </row>
    <row r="6" spans="1:7" x14ac:dyDescent="0.25">
      <c r="A6" s="2">
        <v>4</v>
      </c>
      <c r="B6" s="3"/>
      <c r="C6" s="2">
        <v>-15637.2</v>
      </c>
      <c r="D6" s="2">
        <v>-3105.6</v>
      </c>
      <c r="E6" s="2">
        <f>D6-'Option 1'!D6</f>
        <v>-399.59999999999991</v>
      </c>
      <c r="F6" s="3"/>
      <c r="G6" s="2">
        <f t="shared" si="0"/>
        <v>-19142.399999999998</v>
      </c>
    </row>
    <row r="7" spans="1:7" x14ac:dyDescent="0.25">
      <c r="A7" s="2">
        <v>5</v>
      </c>
      <c r="B7" s="3"/>
      <c r="C7" s="2">
        <v>-15637.2</v>
      </c>
      <c r="D7" s="2">
        <v>-3105.6</v>
      </c>
      <c r="E7" s="2">
        <f>D7-'Option 1'!D7</f>
        <v>-519.59999999999991</v>
      </c>
      <c r="F7" s="3"/>
      <c r="G7" s="2">
        <f t="shared" si="0"/>
        <v>-19262.399999999998</v>
      </c>
    </row>
    <row r="8" spans="1:7" x14ac:dyDescent="0.25">
      <c r="A8" s="2">
        <v>6</v>
      </c>
      <c r="B8" s="3"/>
      <c r="C8" s="2">
        <v>-9637.2000000000007</v>
      </c>
      <c r="D8" s="2">
        <v>-3105.6</v>
      </c>
      <c r="E8" s="2">
        <f>D8-'Option 1'!D8</f>
        <v>-639.59999999999991</v>
      </c>
      <c r="F8" s="2">
        <v>13092</v>
      </c>
      <c r="G8" s="2">
        <f t="shared" si="0"/>
        <v>-290.40000000000146</v>
      </c>
    </row>
    <row r="12" spans="1:7" x14ac:dyDescent="0.25">
      <c r="C12" t="s">
        <v>9</v>
      </c>
      <c r="D12">
        <f xml:space="preserve"> -3687.5-9066/(1.01)-8946/(1.01)^2+1354.5/(1.01)^3-19142.4/(1.01)^4-19262.4/(1.01)^5-290.4/(1.01)^6</f>
        <v>-57115.354469890626</v>
      </c>
    </row>
    <row r="13" spans="1:7" x14ac:dyDescent="0.25">
      <c r="C13" t="s">
        <v>8</v>
      </c>
      <c r="D13" s="4">
        <f>NPV(0.01,G3:G8)</f>
        <v>-53427.854469890619</v>
      </c>
      <c r="E13" s="4"/>
    </row>
    <row r="14" spans="1:7" x14ac:dyDescent="0.25">
      <c r="C14" t="s">
        <v>11</v>
      </c>
      <c r="D14">
        <f>-3687.5*(1.01^6)-9066*(1.01^5)-8946*(1.01^4)+1354.5*(1.01^3)+G6*(1.01^2)+G7*(1.01^1)+G8*(1.01^0)</f>
        <v>-60629.099678507788</v>
      </c>
    </row>
    <row r="15" spans="1:7" x14ac:dyDescent="0.25">
      <c r="C15" t="s">
        <v>10</v>
      </c>
      <c r="D15" s="4">
        <f>FV(1%,6,,-NPV(1%,G3:G8)-G2)</f>
        <v>-60629.099678507795</v>
      </c>
      <c r="E15" s="4"/>
    </row>
    <row r="16" spans="1:7" x14ac:dyDescent="0.25">
      <c r="C16" t="s">
        <v>12</v>
      </c>
      <c r="D16" s="4">
        <f>PMT(1%,6,-D12,-D14)</f>
        <v>-19710.322255785333</v>
      </c>
      <c r="E1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7F37-4B76-4636-80CB-3CA5F7E20B0F}">
  <dimension ref="A1:S14"/>
  <sheetViews>
    <sheetView workbookViewId="0">
      <selection activeCell="E25" sqref="E25"/>
    </sheetView>
  </sheetViews>
  <sheetFormatPr defaultRowHeight="15" x14ac:dyDescent="0.25"/>
  <cols>
    <col min="6" max="6" width="11.5703125" bestFit="1" customWidth="1"/>
    <col min="16" max="17" width="9.85546875" bestFit="1" customWidth="1"/>
    <col min="19" max="19" width="9.85546875" bestFit="1" customWidth="1"/>
  </cols>
  <sheetData>
    <row r="1" spans="1:19" x14ac:dyDescent="0.25">
      <c r="A1" s="1" t="s">
        <v>0</v>
      </c>
      <c r="B1" s="1" t="s">
        <v>5</v>
      </c>
      <c r="C1" s="1" t="s">
        <v>2</v>
      </c>
      <c r="D1" s="1" t="s">
        <v>1</v>
      </c>
      <c r="E1" s="1" t="s">
        <v>33</v>
      </c>
      <c r="F1" s="1" t="s">
        <v>3</v>
      </c>
      <c r="G1" s="1" t="s">
        <v>4</v>
      </c>
      <c r="L1" s="1" t="s">
        <v>0</v>
      </c>
      <c r="M1" s="1" t="s">
        <v>23</v>
      </c>
      <c r="N1" s="1" t="s">
        <v>22</v>
      </c>
      <c r="O1" s="1" t="s">
        <v>21</v>
      </c>
      <c r="P1" s="1" t="s">
        <v>24</v>
      </c>
      <c r="Q1" s="1" t="s">
        <v>25</v>
      </c>
    </row>
    <row r="2" spans="1:19" x14ac:dyDescent="0.25">
      <c r="A2" s="2">
        <v>0</v>
      </c>
      <c r="B2" s="2">
        <v>-3687.5</v>
      </c>
      <c r="C2" s="3"/>
      <c r="D2" s="3"/>
      <c r="E2" s="3"/>
      <c r="F2" s="3"/>
      <c r="G2" s="2">
        <f>B2+C2+D2+E2+F2</f>
        <v>-3687.5</v>
      </c>
      <c r="L2" s="2">
        <v>0</v>
      </c>
      <c r="M2" s="2">
        <v>-3687.5</v>
      </c>
      <c r="N2" s="2">
        <v>-3687.5</v>
      </c>
      <c r="O2" s="2">
        <v>-3687.5</v>
      </c>
      <c r="P2">
        <f>M2-N2</f>
        <v>0</v>
      </c>
      <c r="Q2">
        <f>M2-O2</f>
        <v>0</v>
      </c>
    </row>
    <row r="3" spans="1:19" x14ac:dyDescent="0.25">
      <c r="A3" s="2">
        <v>1</v>
      </c>
      <c r="B3" s="3"/>
      <c r="C3" s="2">
        <v>-6000</v>
      </c>
      <c r="D3" s="2">
        <v>-3066</v>
      </c>
      <c r="E3" s="2"/>
      <c r="F3" s="3"/>
      <c r="G3" s="2">
        <f t="shared" ref="G3:G8" si="0">B3+C3+D3+E3+F3</f>
        <v>-9066</v>
      </c>
      <c r="L3" s="2">
        <v>1</v>
      </c>
      <c r="M3" s="2">
        <v>-9066</v>
      </c>
      <c r="N3" s="2">
        <v>-9066</v>
      </c>
      <c r="O3" s="2">
        <v>-9066</v>
      </c>
      <c r="P3">
        <f t="shared" ref="P3:P8" si="1">M3-N3</f>
        <v>0</v>
      </c>
      <c r="Q3">
        <f t="shared" ref="Q3:Q8" si="2">M3-O3</f>
        <v>0</v>
      </c>
    </row>
    <row r="4" spans="1:19" x14ac:dyDescent="0.25">
      <c r="A4" s="2">
        <v>2</v>
      </c>
      <c r="B4" s="3"/>
      <c r="C4" s="2">
        <v>-6000</v>
      </c>
      <c r="D4" s="2">
        <v>-2946</v>
      </c>
      <c r="E4" s="2"/>
      <c r="F4" s="3"/>
      <c r="G4" s="2">
        <f t="shared" si="0"/>
        <v>-8946</v>
      </c>
      <c r="L4" s="2">
        <v>2</v>
      </c>
      <c r="M4" s="2">
        <v>-8946</v>
      </c>
      <c r="N4" s="2">
        <v>-8946</v>
      </c>
      <c r="O4" s="2">
        <v>-8946</v>
      </c>
      <c r="P4">
        <f t="shared" si="1"/>
        <v>0</v>
      </c>
      <c r="Q4">
        <f t="shared" si="2"/>
        <v>0</v>
      </c>
    </row>
    <row r="5" spans="1:19" x14ac:dyDescent="0.25">
      <c r="A5" s="2">
        <v>3</v>
      </c>
      <c r="B5" s="2">
        <v>-39989.4</v>
      </c>
      <c r="C5" s="2">
        <v>-6000</v>
      </c>
      <c r="D5" s="2">
        <v>-2826</v>
      </c>
      <c r="E5" s="2"/>
      <c r="F5" s="2">
        <v>14563</v>
      </c>
      <c r="G5" s="2">
        <f t="shared" si="0"/>
        <v>-34252.400000000001</v>
      </c>
      <c r="L5" s="2">
        <v>3</v>
      </c>
      <c r="M5" s="2">
        <v>-8826</v>
      </c>
      <c r="N5" s="2">
        <v>-34252.400000000001</v>
      </c>
      <c r="O5" s="2">
        <v>3237.63</v>
      </c>
      <c r="P5">
        <f t="shared" si="1"/>
        <v>25426.400000000001</v>
      </c>
      <c r="Q5">
        <f t="shared" si="2"/>
        <v>-12063.630000000001</v>
      </c>
    </row>
    <row r="6" spans="1:19" x14ac:dyDescent="0.25">
      <c r="A6" s="2">
        <v>4</v>
      </c>
      <c r="B6" s="3"/>
      <c r="C6" s="2">
        <v>-6000</v>
      </c>
      <c r="D6" s="2">
        <f>-123.65*12</f>
        <v>-1483.8000000000002</v>
      </c>
      <c r="E6" s="2">
        <f>D6-'Option 1'!D6</f>
        <v>1222.1999999999998</v>
      </c>
      <c r="F6" s="3"/>
      <c r="G6" s="2">
        <f t="shared" si="0"/>
        <v>-6261.6</v>
      </c>
      <c r="L6" s="2">
        <v>4</v>
      </c>
      <c r="M6" s="2">
        <v>-8706</v>
      </c>
      <c r="N6" s="2">
        <f>G6</f>
        <v>-6261.6</v>
      </c>
      <c r="O6" s="2">
        <f>'Option 3, PP3'!G6</f>
        <v>-19341.599999999999</v>
      </c>
      <c r="P6">
        <f t="shared" si="1"/>
        <v>-2444.3999999999996</v>
      </c>
      <c r="Q6">
        <f t="shared" si="2"/>
        <v>10635.599999999999</v>
      </c>
    </row>
    <row r="7" spans="1:19" x14ac:dyDescent="0.25">
      <c r="A7" s="2">
        <v>5</v>
      </c>
      <c r="B7" s="3"/>
      <c r="C7" s="2">
        <v>-6000</v>
      </c>
      <c r="D7" s="2">
        <f t="shared" ref="D7:D8" si="3">-123.65*12</f>
        <v>-1483.8000000000002</v>
      </c>
      <c r="E7" s="2">
        <f>D7-'Option 1'!D7</f>
        <v>1102.1999999999998</v>
      </c>
      <c r="F7" s="3"/>
      <c r="G7" s="2">
        <f t="shared" si="0"/>
        <v>-6381.6</v>
      </c>
      <c r="L7" s="2">
        <v>5</v>
      </c>
      <c r="M7" s="2">
        <v>-8586</v>
      </c>
      <c r="N7" s="2">
        <f>G7</f>
        <v>-6381.6</v>
      </c>
      <c r="O7" s="2">
        <f>'Option 3, PP3'!G7</f>
        <v>-19461.599999999999</v>
      </c>
      <c r="P7">
        <f t="shared" si="1"/>
        <v>-2204.3999999999996</v>
      </c>
      <c r="Q7">
        <f t="shared" si="2"/>
        <v>10875.599999999999</v>
      </c>
    </row>
    <row r="8" spans="1:19" x14ac:dyDescent="0.25">
      <c r="A8" s="2">
        <v>6</v>
      </c>
      <c r="B8" s="3"/>
      <c r="C8" s="2">
        <v>0</v>
      </c>
      <c r="D8" s="2">
        <f t="shared" si="3"/>
        <v>-1483.8000000000002</v>
      </c>
      <c r="E8" s="2">
        <f>D8-'Option 1'!D8</f>
        <v>982.19999999999982</v>
      </c>
      <c r="F8" s="2">
        <v>27713</v>
      </c>
      <c r="G8" s="2">
        <f t="shared" si="0"/>
        <v>27211.4</v>
      </c>
      <c r="L8" s="2">
        <v>6</v>
      </c>
      <c r="M8" s="2">
        <v>8792</v>
      </c>
      <c r="N8" s="2">
        <f>G8</f>
        <v>27211.4</v>
      </c>
      <c r="O8" s="2">
        <f>'Option 3, PP3'!G8</f>
        <v>14131.400000000001</v>
      </c>
      <c r="P8">
        <f t="shared" si="1"/>
        <v>-18419.400000000001</v>
      </c>
      <c r="Q8">
        <f t="shared" si="2"/>
        <v>-5339.4000000000015</v>
      </c>
    </row>
    <row r="9" spans="1:19" x14ac:dyDescent="0.25">
      <c r="O9" t="s">
        <v>7</v>
      </c>
      <c r="P9" s="4">
        <f>NPV(1%,P3:P8)+P2</f>
        <v>2880.2740152120073</v>
      </c>
      <c r="Q9" s="4">
        <f>NPV(1%,Q3:Q8)+Q2</f>
        <v>3829.5660285567114</v>
      </c>
      <c r="S9" s="4"/>
    </row>
    <row r="10" spans="1:19" x14ac:dyDescent="0.25">
      <c r="D10" t="s">
        <v>7</v>
      </c>
      <c r="F10" s="7">
        <f>-3687.5-9066/(1.01)-8946/(1.01)^2-34252.4/(1.01)^3+G6/(1.01)^4+G7/(1.01)^5+G8/(1.01)^6</f>
        <v>-41133.286307082046</v>
      </c>
      <c r="O10" t="s">
        <v>11</v>
      </c>
      <c r="P10" s="4">
        <f>FV(1%,6,,-NPV(1%,P3:P8)-P2)</f>
        <v>3057.4689063999972</v>
      </c>
      <c r="Q10" s="4">
        <f>FV(1%,6,,-NPV(1%,Q3:Q8)-Q2)</f>
        <v>4065.1615073699945</v>
      </c>
    </row>
    <row r="11" spans="1:19" x14ac:dyDescent="0.25">
      <c r="D11" t="s">
        <v>8</v>
      </c>
      <c r="F11" s="4">
        <f>NPV(1%,G3:G8)</f>
        <v>-37445.786307082053</v>
      </c>
      <c r="O11" t="s">
        <v>12</v>
      </c>
      <c r="P11" s="4">
        <f>PMT(1%,6,-P9,-P10)</f>
        <v>993.97315400924845</v>
      </c>
      <c r="Q11" s="4">
        <f>PMT(1%,6,-Q9,-Q10)</f>
        <v>1321.5707268778744</v>
      </c>
    </row>
    <row r="12" spans="1:19" x14ac:dyDescent="0.25">
      <c r="D12" t="s">
        <v>11</v>
      </c>
      <c r="F12">
        <f xml:space="preserve"> -3687.5*(1.01^6)-9066*(1.01^5)-8946*(1.01^4)-34252.4*(1.01^3)+G6*(1.01^2)+G7*(1.01^1)+G8*(1.01^0)</f>
        <v>-43663.812275407785</v>
      </c>
    </row>
    <row r="13" spans="1:19" x14ac:dyDescent="0.25">
      <c r="D13" t="s">
        <v>10</v>
      </c>
      <c r="F13" s="4">
        <f>FV(1%,6,,-NPV(1%,G3:G8)-G2)</f>
        <v>-43663.812275407799</v>
      </c>
    </row>
    <row r="14" spans="1:19" x14ac:dyDescent="0.25">
      <c r="D14" t="s">
        <v>12</v>
      </c>
      <c r="F14" s="4">
        <f>PMT(1%,6,-F10,-F12)</f>
        <v>-14194.962739476137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0CD-2FC1-4C94-A074-819E555CC533}">
  <dimension ref="A1:T15"/>
  <sheetViews>
    <sheetView workbookViewId="0">
      <selection sqref="A1:G8"/>
    </sheetView>
  </sheetViews>
  <sheetFormatPr defaultRowHeight="15" x14ac:dyDescent="0.25"/>
  <cols>
    <col min="5" max="5" width="13" customWidth="1"/>
    <col min="6" max="6" width="12.7109375" bestFit="1" customWidth="1"/>
  </cols>
  <sheetData>
    <row r="1" spans="1:20" x14ac:dyDescent="0.25">
      <c r="A1" s="1" t="s">
        <v>0</v>
      </c>
      <c r="B1" s="1" t="s">
        <v>5</v>
      </c>
      <c r="C1" s="1" t="s">
        <v>2</v>
      </c>
      <c r="D1" s="1" t="s">
        <v>1</v>
      </c>
      <c r="E1" s="1" t="s">
        <v>34</v>
      </c>
      <c r="F1" s="1" t="s">
        <v>3</v>
      </c>
      <c r="G1" s="1" t="s">
        <v>4</v>
      </c>
    </row>
    <row r="2" spans="1:20" x14ac:dyDescent="0.25">
      <c r="A2" s="2">
        <v>0</v>
      </c>
      <c r="B2" s="2">
        <v>-3687.5</v>
      </c>
      <c r="C2" s="3"/>
      <c r="D2" s="3"/>
      <c r="E2" s="3"/>
      <c r="F2" s="3"/>
      <c r="G2" s="2">
        <f>B2+C2+D2+E2+F2</f>
        <v>-3687.5</v>
      </c>
    </row>
    <row r="3" spans="1:20" x14ac:dyDescent="0.25">
      <c r="A3" s="2">
        <v>1</v>
      </c>
      <c r="B3" s="3"/>
      <c r="C3" s="2">
        <v>-6000</v>
      </c>
      <c r="D3" s="2">
        <v>-3066</v>
      </c>
      <c r="E3" s="2"/>
      <c r="F3" s="3"/>
      <c r="G3" s="2">
        <f t="shared" ref="G3:G8" si="0">B3+C3+D3+E3+F3</f>
        <v>-9066</v>
      </c>
    </row>
    <row r="4" spans="1:20" x14ac:dyDescent="0.25">
      <c r="A4" s="2">
        <v>2</v>
      </c>
      <c r="B4" s="3"/>
      <c r="C4" s="2">
        <v>-6000</v>
      </c>
      <c r="D4" s="2">
        <v>-2946</v>
      </c>
      <c r="E4" s="2"/>
      <c r="F4" s="3"/>
      <c r="G4" s="2">
        <f t="shared" si="0"/>
        <v>-8946</v>
      </c>
    </row>
    <row r="5" spans="1:20" x14ac:dyDescent="0.25">
      <c r="A5" s="2">
        <v>3</v>
      </c>
      <c r="B5" s="2">
        <v>-3194.37</v>
      </c>
      <c r="C5" s="2">
        <v>-6000</v>
      </c>
      <c r="D5" s="2">
        <v>-2826</v>
      </c>
      <c r="E5" s="2"/>
      <c r="F5" s="2">
        <v>14563</v>
      </c>
      <c r="G5" s="2">
        <f t="shared" si="0"/>
        <v>2542.630000000001</v>
      </c>
    </row>
    <row r="6" spans="1:20" x14ac:dyDescent="0.25">
      <c r="A6" s="2">
        <v>4</v>
      </c>
      <c r="B6" s="3"/>
      <c r="C6" s="2">
        <v>-13178.67</v>
      </c>
      <c r="D6" s="2">
        <v>-1483.8</v>
      </c>
      <c r="E6" s="2">
        <f>D6-'Option 1'!D6</f>
        <v>1222.2</v>
      </c>
      <c r="F6" s="3"/>
      <c r="G6" s="2">
        <f t="shared" si="0"/>
        <v>-13440.269999999999</v>
      </c>
    </row>
    <row r="7" spans="1:20" x14ac:dyDescent="0.25">
      <c r="A7" s="2">
        <v>5</v>
      </c>
      <c r="B7" s="3"/>
      <c r="C7" s="2">
        <v>-13178.67</v>
      </c>
      <c r="D7" s="2">
        <v>-1483.8</v>
      </c>
      <c r="E7" s="2">
        <f>D7-'Option 1'!D7</f>
        <v>1102.2</v>
      </c>
      <c r="F7" s="3"/>
      <c r="G7" s="2">
        <f t="shared" si="0"/>
        <v>-13560.269999999999</v>
      </c>
    </row>
    <row r="8" spans="1:20" x14ac:dyDescent="0.25">
      <c r="A8" s="2">
        <v>6</v>
      </c>
      <c r="B8" s="3"/>
      <c r="C8" s="2">
        <v>-7178.67</v>
      </c>
      <c r="D8" s="2">
        <v>-1483.8</v>
      </c>
      <c r="E8" s="2">
        <f>D8-'Option 1'!D8</f>
        <v>982.2</v>
      </c>
      <c r="F8" s="2">
        <v>0</v>
      </c>
      <c r="G8" s="2">
        <f t="shared" si="0"/>
        <v>-7680.2699999999995</v>
      </c>
      <c r="T8">
        <f>501*12+1166.67</f>
        <v>7178.67</v>
      </c>
    </row>
    <row r="9" spans="1:20" x14ac:dyDescent="0.25">
      <c r="T9">
        <f>6000+(501*12)+1166.67</f>
        <v>13178.67</v>
      </c>
    </row>
    <row r="11" spans="1:20" x14ac:dyDescent="0.25">
      <c r="D11" t="s">
        <v>7</v>
      </c>
      <c r="E11" s="7">
        <f>-3687.5-9066/(1.01)-8946/(1.01)^2+2542.63/(1.01)^3+G6/(1.01)^4+G7/(1.01)^5+G8/(1.01)^6</f>
        <v>-52018.743127122478</v>
      </c>
    </row>
    <row r="12" spans="1:20" x14ac:dyDescent="0.25">
      <c r="D12" t="s">
        <v>8</v>
      </c>
      <c r="E12" s="4">
        <f>NPV(0.01,G3:G8)</f>
        <v>-48331.243127122478</v>
      </c>
    </row>
    <row r="13" spans="1:20" ht="15.75" x14ac:dyDescent="0.25">
      <c r="D13" t="s">
        <v>11</v>
      </c>
      <c r="E13" s="8">
        <f xml:space="preserve"> -3687.5*(1.01^6)-9066*(1.01^5)-8946*(1.01^4)+2542.63*(1.01^3)+G6*(1.01^2)+G7*(1.01^1)+G8*(1.01^0)</f>
        <v>-55218.944038377784</v>
      </c>
    </row>
    <row r="14" spans="1:20" x14ac:dyDescent="0.25">
      <c r="D14" t="s">
        <v>10</v>
      </c>
      <c r="E14" s="4">
        <f>FV(1%,6,,-NPV(1%,G3:G8)-G2)</f>
        <v>-55218.944038377791</v>
      </c>
    </row>
    <row r="15" spans="1:20" ht="15.75" x14ac:dyDescent="0.25">
      <c r="D15" t="s">
        <v>12</v>
      </c>
      <c r="E15" s="9">
        <f>PMT(1%,6,-E11,-E13)</f>
        <v>-17951.49832987574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644B-3CFD-4044-9211-705F4C045A2F}">
  <dimension ref="A1:G15"/>
  <sheetViews>
    <sheetView workbookViewId="0">
      <selection sqref="A1:G8"/>
    </sheetView>
  </sheetViews>
  <sheetFormatPr defaultRowHeight="15" x14ac:dyDescent="0.25"/>
  <cols>
    <col min="5" max="5" width="15" customWidth="1"/>
    <col min="6" max="6" width="11.5703125" bestFit="1" customWidth="1"/>
  </cols>
  <sheetData>
    <row r="1" spans="1:7" x14ac:dyDescent="0.25">
      <c r="A1" s="1" t="s">
        <v>0</v>
      </c>
      <c r="B1" s="1" t="s">
        <v>5</v>
      </c>
      <c r="C1" s="1" t="s">
        <v>2</v>
      </c>
      <c r="D1" s="1" t="s">
        <v>1</v>
      </c>
      <c r="E1" s="1" t="s">
        <v>34</v>
      </c>
      <c r="F1" s="1" t="s">
        <v>3</v>
      </c>
      <c r="G1" s="1" t="s">
        <v>4</v>
      </c>
    </row>
    <row r="2" spans="1:7" x14ac:dyDescent="0.25">
      <c r="A2" s="2">
        <v>0</v>
      </c>
      <c r="B2" s="2">
        <v>-3687.5</v>
      </c>
      <c r="C2" s="3"/>
      <c r="D2" s="3"/>
      <c r="E2" s="3"/>
      <c r="F2" s="3"/>
      <c r="G2" s="2">
        <f>B2+C2+D2+E2+F2</f>
        <v>-3687.5</v>
      </c>
    </row>
    <row r="3" spans="1:7" x14ac:dyDescent="0.25">
      <c r="A3" s="2">
        <v>1</v>
      </c>
      <c r="B3" s="3"/>
      <c r="C3" s="2">
        <v>-6000</v>
      </c>
      <c r="D3" s="2">
        <v>-3066</v>
      </c>
      <c r="E3" s="2"/>
      <c r="F3" s="3"/>
      <c r="G3" s="2">
        <f t="shared" ref="G3:G8" si="0">B3+C3+D3+E3+F3</f>
        <v>-9066</v>
      </c>
    </row>
    <row r="4" spans="1:7" x14ac:dyDescent="0.25">
      <c r="A4" s="2">
        <v>2</v>
      </c>
      <c r="B4" s="3"/>
      <c r="C4" s="2">
        <v>-6000</v>
      </c>
      <c r="D4" s="2">
        <v>-2946</v>
      </c>
      <c r="E4" s="2"/>
      <c r="F4" s="3"/>
      <c r="G4" s="2">
        <f t="shared" si="0"/>
        <v>-8946</v>
      </c>
    </row>
    <row r="5" spans="1:7" x14ac:dyDescent="0.25">
      <c r="A5" s="2">
        <v>3</v>
      </c>
      <c r="B5" s="2">
        <v>-2499.37</v>
      </c>
      <c r="C5" s="2">
        <v>-6000</v>
      </c>
      <c r="D5" s="2">
        <v>-2826</v>
      </c>
      <c r="E5" s="2"/>
      <c r="F5" s="2">
        <v>14563</v>
      </c>
      <c r="G5" s="2">
        <f t="shared" si="0"/>
        <v>3237.630000000001</v>
      </c>
    </row>
    <row r="6" spans="1:7" x14ac:dyDescent="0.25">
      <c r="A6" s="2">
        <v>4</v>
      </c>
      <c r="B6" s="3"/>
      <c r="C6" s="2">
        <v>-19080</v>
      </c>
      <c r="D6" s="2">
        <v>-1483.8</v>
      </c>
      <c r="E6" s="2">
        <f>D6-'Option 1'!D6</f>
        <v>1222.2</v>
      </c>
      <c r="F6" s="3"/>
      <c r="G6" s="2">
        <f t="shared" si="0"/>
        <v>-19341.599999999999</v>
      </c>
    </row>
    <row r="7" spans="1:7" x14ac:dyDescent="0.25">
      <c r="A7" s="2">
        <v>5</v>
      </c>
      <c r="B7" s="3"/>
      <c r="C7" s="2">
        <v>-19080</v>
      </c>
      <c r="D7" s="2">
        <v>-1483.8</v>
      </c>
      <c r="E7" s="2">
        <f>D7-'Option 1'!D7</f>
        <v>1102.2</v>
      </c>
      <c r="F7" s="3"/>
      <c r="G7" s="2">
        <f t="shared" si="0"/>
        <v>-19461.599999999999</v>
      </c>
    </row>
    <row r="8" spans="1:7" x14ac:dyDescent="0.25">
      <c r="A8" s="2">
        <v>6</v>
      </c>
      <c r="B8" s="3"/>
      <c r="C8" s="2">
        <v>-13080</v>
      </c>
      <c r="D8" s="2">
        <v>-1483.8</v>
      </c>
      <c r="E8" s="2">
        <f>D8-'Option 1'!D8</f>
        <v>982.2</v>
      </c>
      <c r="F8" s="2">
        <v>27713</v>
      </c>
      <c r="G8" s="2">
        <f t="shared" si="0"/>
        <v>14131.400000000001</v>
      </c>
    </row>
    <row r="11" spans="1:7" x14ac:dyDescent="0.25">
      <c r="D11" t="s">
        <v>7</v>
      </c>
      <c r="E11">
        <f>-3687.5-9066/(1.01)-8946/(1.01)^2+3237.63/(1.01)^3+G6/(1.01)^4+G7/(1.01)^5+G8/(1.01)^6</f>
        <v>-42082.578320426757</v>
      </c>
    </row>
    <row r="12" spans="1:7" x14ac:dyDescent="0.25">
      <c r="D12" t="s">
        <v>8</v>
      </c>
      <c r="E12" s="4">
        <f>NPV(1%,G3:G8)</f>
        <v>-38395.078320426757</v>
      </c>
    </row>
    <row r="13" spans="1:7" x14ac:dyDescent="0.25">
      <c r="D13" t="s">
        <v>11</v>
      </c>
      <c r="E13">
        <f>-3687.5*(1.01^6)-9066*(1.01^5)-8946*(1.01^4)+3237.63*(1.01^3)+G6*(1.01^2)+G7*(1.01^1)+G8*(1.01^0)</f>
        <v>-44671.504876377781</v>
      </c>
    </row>
    <row r="14" spans="1:7" x14ac:dyDescent="0.25">
      <c r="D14" t="s">
        <v>10</v>
      </c>
      <c r="E14" s="4">
        <f xml:space="preserve"> FV(1%,6,,-NPV(1%,G3:G8)-G2)</f>
        <v>-44671.504876377796</v>
      </c>
    </row>
    <row r="15" spans="1:7" x14ac:dyDescent="0.25">
      <c r="D15" t="s">
        <v>12</v>
      </c>
      <c r="E15" s="4">
        <f>PMT(1%,6,-E12,-E14)</f>
        <v>-13886.288210098395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304-3285-4DDD-A4A2-93F4CEC99234}">
  <dimension ref="A2:E9"/>
  <sheetViews>
    <sheetView workbookViewId="0">
      <selection activeCell="F23" sqref="F23"/>
    </sheetView>
  </sheetViews>
  <sheetFormatPr defaultRowHeight="15" x14ac:dyDescent="0.25"/>
  <cols>
    <col min="1" max="1" width="13.85546875" customWidth="1"/>
    <col min="2" max="5" width="11.5703125" bestFit="1" customWidth="1"/>
  </cols>
  <sheetData>
    <row r="2" spans="1:5" x14ac:dyDescent="0.25">
      <c r="B2" t="s">
        <v>7</v>
      </c>
      <c r="C2" t="s">
        <v>9</v>
      </c>
      <c r="D2" t="s">
        <v>13</v>
      </c>
      <c r="E2" t="s">
        <v>12</v>
      </c>
    </row>
    <row r="3" spans="1:5" x14ac:dyDescent="0.25">
      <c r="A3" t="s">
        <v>14</v>
      </c>
      <c r="B3" s="4">
        <f>'Option 1'!D11</f>
        <v>-38253.012291870044</v>
      </c>
      <c r="C3" s="4">
        <f>'Option 1'!D12</f>
        <v>-34565.512291870029</v>
      </c>
      <c r="D3" s="4">
        <f>'Option 1'!E14</f>
        <v>-40606.343369007787</v>
      </c>
      <c r="E3" s="4">
        <f>'Option 1'!E16</f>
        <v>-13200.98958546689</v>
      </c>
    </row>
    <row r="4" spans="1:5" x14ac:dyDescent="0.25">
      <c r="A4" t="s">
        <v>15</v>
      </c>
      <c r="B4" s="4">
        <f>'Option 2, PP1'!F12</f>
        <v>-56414.333468095523</v>
      </c>
      <c r="C4" s="4">
        <f>'Option 2, PP1'!F13</f>
        <v>-52727.427527501459</v>
      </c>
      <c r="D4" s="4">
        <f>'Option 2, PP1'!F14</f>
        <v>-59884.951759107789</v>
      </c>
      <c r="E4" s="4">
        <f>'Option 2, PP1'!F16</f>
        <v>-19468.402198005788</v>
      </c>
    </row>
    <row r="5" spans="1:5" x14ac:dyDescent="0.25">
      <c r="A5" t="s">
        <v>16</v>
      </c>
      <c r="B5" s="4">
        <f>'Option 2, PP2'!D11</f>
        <v>-61377.791831478404</v>
      </c>
      <c r="C5" s="4">
        <f>'Option 2, PP2'!D12</f>
        <v>-57715.727052830276</v>
      </c>
      <c r="D5" s="4">
        <f>'Option 2, PP2'!D13</f>
        <v>-65153.762828507788</v>
      </c>
      <c r="E5" s="4">
        <f>'Option 2, PP2'!D15</f>
        <v>-21181.275465684153</v>
      </c>
    </row>
    <row r="6" spans="1:5" x14ac:dyDescent="0.25">
      <c r="A6" t="s">
        <v>17</v>
      </c>
      <c r="B6" s="4">
        <f>'Option 2, PP3'!D12</f>
        <v>-57115.354469890626</v>
      </c>
      <c r="C6" s="4">
        <f>'Option 2, PP3'!D13</f>
        <v>-53427.854469890619</v>
      </c>
      <c r="D6" s="4">
        <f>'Option 2, PP3'!D14</f>
        <v>-60629.099678507788</v>
      </c>
      <c r="E6" s="4">
        <f>'Option 2, PP3'!D16</f>
        <v>-19710.322255785333</v>
      </c>
    </row>
    <row r="7" spans="1:5" x14ac:dyDescent="0.25">
      <c r="A7" t="s">
        <v>18</v>
      </c>
      <c r="B7" s="4">
        <f>'Option 3, PP1'!F10</f>
        <v>-41133.286307082046</v>
      </c>
      <c r="C7" s="4">
        <f>'Option 3, PP1'!F11</f>
        <v>-37445.786307082053</v>
      </c>
      <c r="D7" s="4">
        <f>'Option 3, PP1'!F12</f>
        <v>-43663.812275407785</v>
      </c>
      <c r="E7" s="4">
        <f>'Option 3, PP1'!F14</f>
        <v>-14194.962739476137</v>
      </c>
    </row>
    <row r="8" spans="1:5" x14ac:dyDescent="0.25">
      <c r="A8" t="s">
        <v>19</v>
      </c>
      <c r="B8" s="4">
        <f>'Option 3, PP2'!E11</f>
        <v>-52018.743127122478</v>
      </c>
      <c r="C8" s="4">
        <f>'Option 3, PP2'!E12</f>
        <v>-48331.243127122478</v>
      </c>
      <c r="D8" s="4">
        <f>'Option 3, PP2'!E13</f>
        <v>-55218.944038377784</v>
      </c>
      <c r="E8" s="4">
        <f>'Option 3, PP2'!E15</f>
        <v>-17951.49832987574</v>
      </c>
    </row>
    <row r="9" spans="1:5" x14ac:dyDescent="0.25">
      <c r="A9" t="s">
        <v>20</v>
      </c>
      <c r="B9" s="4">
        <f>'Option 3, PP3'!E11</f>
        <v>-42082.578320426757</v>
      </c>
      <c r="C9" s="4">
        <f>'Option 3, PP3'!E12</f>
        <v>-38395.078320426757</v>
      </c>
      <c r="D9" s="4">
        <f>'Option 3, PP2'!E13</f>
        <v>-55218.944038377784</v>
      </c>
      <c r="E9" s="4">
        <f>'Option 3, PP3'!E15</f>
        <v>-13886.288210098395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Option 1</vt:lpstr>
      <vt:lpstr>Sheet2</vt:lpstr>
      <vt:lpstr>Option 2, PP1</vt:lpstr>
      <vt:lpstr>Option 2, PP2</vt:lpstr>
      <vt:lpstr>Option 2, PP3</vt:lpstr>
      <vt:lpstr>Option 3, PP1</vt:lpstr>
      <vt:lpstr>Option 3, PP2</vt:lpstr>
      <vt:lpstr>Option 3, PP3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Tummala</dc:creator>
  <cp:lastModifiedBy>Yashwanth Tummala</cp:lastModifiedBy>
  <cp:lastPrinted>2020-04-04T07:48:43Z</cp:lastPrinted>
  <dcterms:created xsi:type="dcterms:W3CDTF">2020-04-04T04:17:01Z</dcterms:created>
  <dcterms:modified xsi:type="dcterms:W3CDTF">2020-12-29T00:15:07Z</dcterms:modified>
</cp:coreProperties>
</file>