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3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krish\Downloads\Phone Link\"/>
    </mc:Choice>
  </mc:AlternateContent>
  <xr:revisionPtr revIDLastSave="0" documentId="13_ncr:1_{C3D2CFC9-A347-4F06-B20C-5E7A0D12CC39}" xr6:coauthVersionLast="47" xr6:coauthVersionMax="47" xr10:uidLastSave="{00000000-0000-0000-0000-000000000000}"/>
  <bookViews>
    <workbookView xWindow="-108" yWindow="-108" windowWidth="23256" windowHeight="12456" tabRatio="788" firstSheet="3" activeTab="12" xr2:uid="{00000000-000D-0000-FFFF-FFFF00000000}"/>
  </bookViews>
  <sheets>
    <sheet name="Profit &amp; Loss" sheetId="1" state="hidden" r:id="rId1"/>
    <sheet name="Quarters" sheetId="3" state="hidden" r:id="rId2"/>
    <sheet name="Cash Flow Statement" sheetId="8" state="hidden" r:id="rId3"/>
    <sheet name="HistoricalFS" sheetId="7" r:id="rId4"/>
    <sheet name="Balance Sheet" sheetId="2" state="hidden" r:id="rId5"/>
    <sheet name="Ratio Analysis" sheetId="10" r:id="rId6"/>
    <sheet name="Cash Flow" sheetId="4" state="hidden" r:id="rId7"/>
    <sheet name="Forecasting" sheetId="11" r:id="rId8"/>
    <sheet name="DCF&gt;" sheetId="12" r:id="rId9"/>
    <sheet name="WACC" sheetId="21" r:id="rId10"/>
    <sheet name="Beta" sheetId="15" r:id="rId11"/>
    <sheet name="Data&gt;" sheetId="14" r:id="rId12"/>
    <sheet name="Beta - Comps" sheetId="16" r:id="rId13"/>
    <sheet name="RM" sheetId="22" r:id="rId14"/>
    <sheet name="Intrinic Growth" sheetId="20" r:id="rId15"/>
    <sheet name="Comps Value" sheetId="25" r:id="rId16"/>
    <sheet name="Football Analysis" sheetId="23" r:id="rId17"/>
    <sheet name="Data Room&gt;" sheetId="18" r:id="rId18"/>
    <sheet name="Data Sheet" sheetId="6" r:id="rId19"/>
    <sheet name="Raw FS" sheetId="19" r:id="rId20"/>
    <sheet name="Data" sheetId="24" r:id="rId21"/>
    <sheet name="Sector Data" sheetId="27" r:id="rId22"/>
  </sheets>
  <externalReferences>
    <externalReference r:id="rId23"/>
    <externalReference r:id="rId24"/>
    <externalReference r:id="rId25"/>
  </externalReferences>
  <definedNames>
    <definedName name="_xlnm._FilterDatabase" localSheetId="10" hidden="1">Beta!$G$8:$P$115</definedName>
    <definedName name="_xlnm._FilterDatabase" localSheetId="11" hidden="1">'Data&gt;'!$E$2:$F$3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 localSheetId="21">'[1]Data Sheet'!$E$1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5" i="7" l="1"/>
  <c r="L104" i="7"/>
  <c r="L103" i="7"/>
  <c r="L102" i="7"/>
  <c r="L101" i="7"/>
  <c r="L100" i="7"/>
  <c r="L99" i="7"/>
  <c r="L98" i="7"/>
  <c r="L97" i="7"/>
  <c r="L94" i="7"/>
  <c r="L107" i="7" s="1"/>
  <c r="L93" i="7"/>
  <c r="L92" i="7"/>
  <c r="L91" i="7"/>
  <c r="L90" i="7"/>
  <c r="L89" i="7"/>
  <c r="L88" i="7"/>
  <c r="L87" i="7"/>
  <c r="L86" i="7"/>
  <c r="L85" i="7"/>
  <c r="L84" i="7"/>
  <c r="L83" i="7"/>
  <c r="L80" i="7"/>
  <c r="L79" i="7"/>
  <c r="L78" i="7"/>
  <c r="L77" i="7"/>
  <c r="L76" i="7"/>
  <c r="L75" i="7"/>
  <c r="L74" i="7"/>
  <c r="L73" i="7"/>
  <c r="L72" i="7"/>
  <c r="M68" i="7"/>
  <c r="M66" i="7"/>
  <c r="M64" i="7"/>
  <c r="M63" i="7"/>
  <c r="M62" i="7"/>
  <c r="M61" i="7"/>
  <c r="M58" i="7"/>
  <c r="M57" i="7"/>
  <c r="M56" i="7"/>
  <c r="M55" i="7"/>
  <c r="L6" i="27"/>
  <c r="M6" i="27"/>
  <c r="L7" i="27"/>
  <c r="M7" i="27"/>
  <c r="L8" i="27"/>
  <c r="M8" i="27"/>
  <c r="L9" i="27"/>
  <c r="M9" i="27"/>
  <c r="L10" i="27"/>
  <c r="M10" i="27"/>
  <c r="L11" i="27"/>
  <c r="M11" i="27"/>
  <c r="L12" i="27"/>
  <c r="M12" i="27"/>
  <c r="L13" i="27"/>
  <c r="M13" i="27"/>
  <c r="L14" i="27"/>
  <c r="M14" i="27"/>
  <c r="L15" i="27"/>
  <c r="M15" i="27"/>
  <c r="L16" i="27"/>
  <c r="M16" i="27"/>
  <c r="L17" i="27"/>
  <c r="M17" i="27"/>
  <c r="L18" i="27"/>
  <c r="M18" i="27"/>
  <c r="L19" i="27"/>
  <c r="M19" i="27"/>
  <c r="L20" i="27"/>
  <c r="M20" i="27"/>
  <c r="L21" i="27"/>
  <c r="M21" i="27"/>
  <c r="L22" i="27"/>
  <c r="M22" i="27"/>
  <c r="L23" i="27"/>
  <c r="M23" i="27"/>
  <c r="L24" i="27"/>
  <c r="M24" i="27"/>
  <c r="L25" i="27"/>
  <c r="M25" i="27"/>
  <c r="L26" i="27"/>
  <c r="M26" i="27"/>
  <c r="L27" i="27"/>
  <c r="M27" i="27"/>
  <c r="L28" i="27"/>
  <c r="M28" i="27"/>
  <c r="L29" i="27"/>
  <c r="M29" i="27"/>
  <c r="L30" i="27"/>
  <c r="M30" i="27"/>
  <c r="L31" i="27"/>
  <c r="M31" i="27"/>
  <c r="L32" i="27"/>
  <c r="M32" i="27"/>
  <c r="L33" i="27"/>
  <c r="M33" i="27"/>
  <c r="L34" i="27"/>
  <c r="M34" i="27"/>
  <c r="L35" i="27"/>
  <c r="M35" i="27"/>
  <c r="L36" i="27"/>
  <c r="M36" i="27"/>
  <c r="L37" i="27"/>
  <c r="M37" i="27"/>
  <c r="L38" i="27"/>
  <c r="M38" i="27"/>
  <c r="L39" i="27"/>
  <c r="M39" i="27"/>
  <c r="L40" i="27"/>
  <c r="M40" i="27"/>
  <c r="L41" i="27"/>
  <c r="M41" i="27"/>
  <c r="L42" i="27"/>
  <c r="M42" i="27"/>
  <c r="L43" i="27"/>
  <c r="M43" i="27"/>
  <c r="L44" i="27"/>
  <c r="M44" i="27"/>
  <c r="L45" i="27"/>
  <c r="M45" i="27"/>
  <c r="L46" i="27"/>
  <c r="M46" i="27"/>
  <c r="L47" i="27"/>
  <c r="M47" i="27"/>
  <c r="L48" i="27"/>
  <c r="M48" i="27"/>
  <c r="L49" i="27"/>
  <c r="M49" i="27"/>
  <c r="L50" i="27"/>
  <c r="M50" i="27"/>
  <c r="L51" i="27"/>
  <c r="M51" i="27"/>
  <c r="L52" i="27"/>
  <c r="M52" i="27"/>
  <c r="L53" i="27"/>
  <c r="M53" i="27"/>
  <c r="L54" i="27"/>
  <c r="M54" i="27"/>
  <c r="L55" i="27"/>
  <c r="M55" i="27"/>
  <c r="L56" i="27"/>
  <c r="M56" i="27"/>
  <c r="L57" i="27"/>
  <c r="M57" i="27"/>
  <c r="L58" i="27"/>
  <c r="M58" i="27"/>
  <c r="L59" i="27"/>
  <c r="M59" i="27"/>
  <c r="L60" i="27"/>
  <c r="M60" i="27"/>
  <c r="L61" i="27"/>
  <c r="M61" i="27"/>
  <c r="L62" i="27"/>
  <c r="M62" i="27"/>
  <c r="L63" i="27"/>
  <c r="M63" i="27"/>
  <c r="L64" i="27"/>
  <c r="M64" i="27"/>
  <c r="L65" i="27"/>
  <c r="M65" i="27"/>
  <c r="L66" i="27"/>
  <c r="M66" i="27"/>
  <c r="L67" i="27"/>
  <c r="M67" i="27"/>
  <c r="L68" i="27"/>
  <c r="M68" i="27"/>
  <c r="L69" i="27"/>
  <c r="M69" i="27"/>
  <c r="L70" i="27"/>
  <c r="M70" i="27"/>
  <c r="L71" i="27"/>
  <c r="M71" i="27"/>
  <c r="L72" i="27"/>
  <c r="M72" i="27"/>
  <c r="L73" i="27"/>
  <c r="M73" i="27"/>
  <c r="L74" i="27"/>
  <c r="M74" i="27"/>
  <c r="L75" i="27"/>
  <c r="M75" i="27"/>
  <c r="L76" i="27"/>
  <c r="M76" i="27"/>
  <c r="L77" i="27"/>
  <c r="M77" i="27"/>
  <c r="L78" i="27"/>
  <c r="M78" i="27"/>
  <c r="L79" i="27"/>
  <c r="M79" i="27"/>
  <c r="L80" i="27"/>
  <c r="M80" i="27"/>
  <c r="L81" i="27"/>
  <c r="M81" i="27"/>
  <c r="L82" i="27"/>
  <c r="M82" i="27"/>
  <c r="L83" i="27"/>
  <c r="M83" i="27"/>
  <c r="L84" i="27"/>
  <c r="M84" i="27"/>
  <c r="L85" i="27"/>
  <c r="M85" i="27"/>
  <c r="L86" i="27"/>
  <c r="M86" i="27"/>
  <c r="L87" i="27"/>
  <c r="M87" i="27"/>
  <c r="L88" i="27"/>
  <c r="M88" i="27"/>
  <c r="L89" i="27"/>
  <c r="M89" i="27"/>
  <c r="L90" i="27"/>
  <c r="M90" i="27"/>
  <c r="L91" i="27"/>
  <c r="M91" i="27"/>
  <c r="L92" i="27"/>
  <c r="M92" i="27"/>
  <c r="L93" i="27"/>
  <c r="M93" i="27"/>
  <c r="L94" i="27"/>
  <c r="M94" i="27"/>
  <c r="L95" i="27"/>
  <c r="M95" i="27"/>
  <c r="L96" i="27"/>
  <c r="M96" i="27"/>
  <c r="L97" i="27"/>
  <c r="M97" i="27"/>
  <c r="L98" i="27"/>
  <c r="M98" i="27"/>
  <c r="L99" i="27"/>
  <c r="M99" i="27"/>
  <c r="L100" i="27"/>
  <c r="M100" i="27"/>
  <c r="L101" i="27"/>
  <c r="M101" i="27"/>
  <c r="D23" i="12"/>
  <c r="N4" i="23"/>
  <c r="P4" i="23"/>
  <c r="M9" i="25"/>
  <c r="M10" i="25"/>
  <c r="M11" i="25"/>
  <c r="M12" i="25"/>
  <c r="M13" i="25"/>
  <c r="M14" i="25"/>
  <c r="M15" i="25"/>
  <c r="M16" i="25"/>
  <c r="M17" i="25"/>
  <c r="M8" i="25"/>
  <c r="L9" i="25"/>
  <c r="L10" i="25"/>
  <c r="L11" i="25"/>
  <c r="L12" i="25"/>
  <c r="L13" i="25"/>
  <c r="L14" i="25"/>
  <c r="L15" i="25"/>
  <c r="L16" i="25"/>
  <c r="L17" i="25"/>
  <c r="L8" i="25"/>
  <c r="K9" i="25"/>
  <c r="K10" i="25"/>
  <c r="K11" i="25"/>
  <c r="K12" i="25"/>
  <c r="K13" i="25"/>
  <c r="K14" i="25"/>
  <c r="K15" i="25"/>
  <c r="K16" i="25"/>
  <c r="K17" i="25"/>
  <c r="K8" i="25"/>
  <c r="G10" i="25"/>
  <c r="E8" i="25"/>
  <c r="E10" i="25"/>
  <c r="F10" i="25" s="1"/>
  <c r="E11" i="25"/>
  <c r="F11" i="25" s="1"/>
  <c r="E12" i="25"/>
  <c r="E13" i="25"/>
  <c r="E14" i="25"/>
  <c r="E15" i="25"/>
  <c r="E16" i="25"/>
  <c r="E17" i="25"/>
  <c r="F17" i="25" s="1"/>
  <c r="E9" i="25"/>
  <c r="D9" i="25"/>
  <c r="D10" i="25"/>
  <c r="D11" i="25"/>
  <c r="D12" i="25"/>
  <c r="D13" i="25"/>
  <c r="F13" i="25" s="1"/>
  <c r="D14" i="25"/>
  <c r="F14" i="25" s="1"/>
  <c r="D15" i="25"/>
  <c r="F15" i="25" s="1"/>
  <c r="D16" i="25"/>
  <c r="D17" i="25"/>
  <c r="D8" i="25"/>
  <c r="B9" i="25"/>
  <c r="B10" i="25"/>
  <c r="B11" i="25"/>
  <c r="B12" i="25"/>
  <c r="B13" i="25"/>
  <c r="B14" i="25"/>
  <c r="B15" i="25"/>
  <c r="B16" i="25"/>
  <c r="B17" i="25"/>
  <c r="B8" i="25"/>
  <c r="F16" i="25"/>
  <c r="P33" i="25"/>
  <c r="F39" i="24"/>
  <c r="J39" i="24" s="1"/>
  <c r="F38" i="24"/>
  <c r="J38" i="24" s="1"/>
  <c r="F37" i="24"/>
  <c r="J37" i="24" s="1"/>
  <c r="F36" i="24"/>
  <c r="J36" i="24" s="1"/>
  <c r="F35" i="24"/>
  <c r="J35" i="24" s="1"/>
  <c r="F34" i="24"/>
  <c r="J34" i="24" s="1"/>
  <c r="F33" i="24"/>
  <c r="J33" i="24" s="1"/>
  <c r="F32" i="24"/>
  <c r="J32" i="24" s="1"/>
  <c r="F31" i="24"/>
  <c r="J31" i="24" s="1"/>
  <c r="F30" i="24"/>
  <c r="J30" i="24" s="1"/>
  <c r="F29" i="24"/>
  <c r="J29" i="24" s="1"/>
  <c r="F28" i="24"/>
  <c r="J28" i="24" s="1"/>
  <c r="F27" i="24"/>
  <c r="J27" i="24" s="1"/>
  <c r="F26" i="24"/>
  <c r="J26" i="24" s="1"/>
  <c r="F25" i="24"/>
  <c r="J25" i="24" s="1"/>
  <c r="F24" i="24"/>
  <c r="J24" i="24" s="1"/>
  <c r="F23" i="24"/>
  <c r="J23" i="24" s="1"/>
  <c r="F22" i="24"/>
  <c r="J22" i="24" s="1"/>
  <c r="F21" i="24"/>
  <c r="J21" i="24" s="1"/>
  <c r="F20" i="24"/>
  <c r="J20" i="24" s="1"/>
  <c r="I12" i="24"/>
  <c r="G17" i="25" s="1"/>
  <c r="F12" i="24"/>
  <c r="J12" i="24" s="1"/>
  <c r="I11" i="24"/>
  <c r="G16" i="25" s="1"/>
  <c r="F11" i="24"/>
  <c r="J11" i="24" s="1"/>
  <c r="I10" i="24"/>
  <c r="G15" i="25" s="1"/>
  <c r="F10" i="24"/>
  <c r="J10" i="24" s="1"/>
  <c r="I9" i="24"/>
  <c r="G14" i="25" s="1"/>
  <c r="F9" i="24"/>
  <c r="J9" i="24" s="1"/>
  <c r="I8" i="24"/>
  <c r="G13" i="25" s="1"/>
  <c r="F8" i="24"/>
  <c r="J8" i="24" s="1"/>
  <c r="I7" i="24"/>
  <c r="G12" i="25" s="1"/>
  <c r="F7" i="24"/>
  <c r="J7" i="24" s="1"/>
  <c r="I6" i="24"/>
  <c r="G11" i="25" s="1"/>
  <c r="F6" i="24"/>
  <c r="J6" i="24" s="1"/>
  <c r="I5" i="24"/>
  <c r="F5" i="24"/>
  <c r="J5" i="24" s="1"/>
  <c r="I4" i="24"/>
  <c r="G9" i="25" s="1"/>
  <c r="F4" i="24"/>
  <c r="J4" i="24" s="1"/>
  <c r="I3" i="24"/>
  <c r="G8" i="25" s="1"/>
  <c r="P31" i="25" s="1"/>
  <c r="F3" i="24"/>
  <c r="J3" i="24" s="1"/>
  <c r="F12" i="25" l="1"/>
  <c r="F9" i="25"/>
  <c r="Q9" i="25" s="1"/>
  <c r="H9" i="25"/>
  <c r="Q11" i="25"/>
  <c r="H11" i="25"/>
  <c r="Q13" i="25"/>
  <c r="H13" i="25"/>
  <c r="Q15" i="25"/>
  <c r="H15" i="25"/>
  <c r="Q17" i="25"/>
  <c r="H17" i="25"/>
  <c r="Q10" i="25"/>
  <c r="H10" i="25"/>
  <c r="Q12" i="25"/>
  <c r="H12" i="25"/>
  <c r="Q14" i="25"/>
  <c r="H14" i="25"/>
  <c r="Q16" i="25"/>
  <c r="H16" i="25"/>
  <c r="F8" i="25"/>
  <c r="O31" i="25"/>
  <c r="Q31" i="25"/>
  <c r="O33" i="25"/>
  <c r="Q33" i="25"/>
  <c r="Q8" i="25" l="1"/>
  <c r="H8" i="25"/>
  <c r="P16" i="25"/>
  <c r="O16" i="25"/>
  <c r="P14" i="25"/>
  <c r="O14" i="25"/>
  <c r="P12" i="25"/>
  <c r="O12" i="25"/>
  <c r="P10" i="25"/>
  <c r="O10" i="25"/>
  <c r="P17" i="25"/>
  <c r="O17" i="25"/>
  <c r="P15" i="25"/>
  <c r="O15" i="25"/>
  <c r="P13" i="25"/>
  <c r="O13" i="25"/>
  <c r="P11" i="25"/>
  <c r="O11" i="25"/>
  <c r="P9" i="25"/>
  <c r="O9" i="25"/>
  <c r="Q24" i="25" l="1"/>
  <c r="Q22" i="25"/>
  <c r="Q20" i="25"/>
  <c r="Q25" i="25"/>
  <c r="Q23" i="25"/>
  <c r="Q30" i="25" s="1"/>
  <c r="Q32" i="25" s="1"/>
  <c r="Q35" i="25" s="1"/>
  <c r="Q38" i="25" s="1"/>
  <c r="Q21" i="25"/>
  <c r="P8" i="25"/>
  <c r="O8" i="25"/>
  <c r="P25" i="25" l="1"/>
  <c r="P23" i="25"/>
  <c r="P30" i="25" s="1"/>
  <c r="P32" i="25" s="1"/>
  <c r="P35" i="25" s="1"/>
  <c r="P38" i="25" s="1"/>
  <c r="P21" i="25"/>
  <c r="P24" i="25"/>
  <c r="P22" i="25"/>
  <c r="P20" i="25"/>
  <c r="O24" i="25"/>
  <c r="O22" i="25"/>
  <c r="O20" i="25"/>
  <c r="O25" i="25"/>
  <c r="O23" i="25"/>
  <c r="O30" i="25" s="1"/>
  <c r="O32" i="25" s="1"/>
  <c r="O35" i="25" s="1"/>
  <c r="O38" i="25" s="1"/>
  <c r="O21" i="25"/>
  <c r="D35" i="12" l="1"/>
  <c r="D34" i="12"/>
  <c r="G9" i="12"/>
  <c r="H9" i="12" s="1"/>
  <c r="I9" i="12" s="1"/>
  <c r="J9" i="12" s="1"/>
  <c r="F5" i="12"/>
  <c r="G5" i="12" s="1"/>
  <c r="H5" i="12" s="1"/>
  <c r="I5" i="12" s="1"/>
  <c r="J5" i="12" s="1"/>
  <c r="E4" i="12"/>
  <c r="E6" i="12" s="1"/>
  <c r="E2" i="12"/>
  <c r="F2" i="12" s="1"/>
  <c r="G2" i="12" s="1"/>
  <c r="H2" i="12" s="1"/>
  <c r="I2" i="12" s="1"/>
  <c r="J2" i="12" s="1"/>
  <c r="F4" i="12" l="1"/>
  <c r="E22" i="21"/>
  <c r="E24" i="21" s="1"/>
  <c r="K38" i="21" s="1"/>
  <c r="E10" i="21"/>
  <c r="C32" i="21" s="1"/>
  <c r="F10" i="21"/>
  <c r="C33" i="21" s="1"/>
  <c r="H10" i="21"/>
  <c r="E11" i="21"/>
  <c r="F11" i="21"/>
  <c r="H11" i="21"/>
  <c r="E12" i="21"/>
  <c r="F12" i="21"/>
  <c r="H12" i="21"/>
  <c r="K12" i="21" s="1"/>
  <c r="E13" i="21"/>
  <c r="F13" i="21"/>
  <c r="H13" i="21"/>
  <c r="K13" i="21" s="1"/>
  <c r="E14" i="21"/>
  <c r="F14" i="21"/>
  <c r="H14" i="21"/>
  <c r="K14" i="21" s="1"/>
  <c r="G16" i="21"/>
  <c r="G17" i="21"/>
  <c r="K33" i="21"/>
  <c r="G6" i="22"/>
  <c r="G8" i="22" s="1"/>
  <c r="K23" i="21" s="1"/>
  <c r="G14" i="20"/>
  <c r="H14" i="20"/>
  <c r="I14" i="20"/>
  <c r="J14" i="20"/>
  <c r="K14" i="20"/>
  <c r="G20" i="20"/>
  <c r="H20" i="20"/>
  <c r="I20" i="20"/>
  <c r="J20" i="20"/>
  <c r="K20" i="20"/>
  <c r="G21" i="20"/>
  <c r="H21" i="20"/>
  <c r="I21" i="20"/>
  <c r="J21" i="20"/>
  <c r="K21" i="20"/>
  <c r="G22" i="20"/>
  <c r="H22" i="20"/>
  <c r="I22" i="20"/>
  <c r="J22" i="20"/>
  <c r="K22" i="20"/>
  <c r="G23" i="20"/>
  <c r="H23" i="20"/>
  <c r="I23" i="20"/>
  <c r="J23" i="20"/>
  <c r="K23" i="20"/>
  <c r="G24" i="20"/>
  <c r="H24" i="20"/>
  <c r="I24" i="20"/>
  <c r="J24" i="20"/>
  <c r="K24" i="20"/>
  <c r="G25" i="20"/>
  <c r="H25" i="20"/>
  <c r="I25" i="20"/>
  <c r="J25" i="20"/>
  <c r="K25" i="20"/>
  <c r="G26" i="20"/>
  <c r="H26" i="20"/>
  <c r="I26" i="20"/>
  <c r="J26" i="20"/>
  <c r="K26" i="20"/>
  <c r="G27" i="20"/>
  <c r="H27" i="20"/>
  <c r="I27" i="20"/>
  <c r="J27" i="20"/>
  <c r="K27" i="20"/>
  <c r="G30" i="20"/>
  <c r="H30" i="20"/>
  <c r="I30" i="20"/>
  <c r="J30" i="20"/>
  <c r="K30" i="20"/>
  <c r="G39" i="20"/>
  <c r="H39" i="20"/>
  <c r="I39" i="20"/>
  <c r="J39" i="20"/>
  <c r="K39" i="20"/>
  <c r="G41" i="20"/>
  <c r="H41" i="20"/>
  <c r="I41" i="20"/>
  <c r="J41" i="20"/>
  <c r="K41" i="20"/>
  <c r="G5" i="20"/>
  <c r="H5" i="20"/>
  <c r="I5" i="20"/>
  <c r="J5" i="20"/>
  <c r="K5" i="20"/>
  <c r="G6" i="20"/>
  <c r="H6" i="20"/>
  <c r="I6" i="20"/>
  <c r="J6" i="20"/>
  <c r="K6" i="20"/>
  <c r="G7" i="20"/>
  <c r="H7" i="20"/>
  <c r="I7" i="20"/>
  <c r="J7" i="20"/>
  <c r="K7" i="20"/>
  <c r="G8" i="20"/>
  <c r="H8" i="20"/>
  <c r="I8" i="20"/>
  <c r="J8" i="20"/>
  <c r="K8" i="20"/>
  <c r="G12" i="20"/>
  <c r="H12" i="20"/>
  <c r="I12" i="20"/>
  <c r="J12" i="20"/>
  <c r="K12" i="20"/>
  <c r="G13" i="20"/>
  <c r="H13" i="20"/>
  <c r="I13" i="20"/>
  <c r="J13" i="20"/>
  <c r="K13" i="20"/>
  <c r="K55" i="20"/>
  <c r="J55" i="20"/>
  <c r="I55" i="20"/>
  <c r="H55" i="20"/>
  <c r="G55" i="20"/>
  <c r="H2" i="20"/>
  <c r="I2" i="20"/>
  <c r="J2" i="20"/>
  <c r="K2" i="20"/>
  <c r="G2" i="20"/>
  <c r="B30" i="20"/>
  <c r="B21" i="20"/>
  <c r="B22" i="20"/>
  <c r="B23" i="20"/>
  <c r="B24" i="20"/>
  <c r="B25" i="20"/>
  <c r="B26" i="20"/>
  <c r="B27" i="20"/>
  <c r="B20" i="20"/>
  <c r="B14" i="20"/>
  <c r="B13" i="20"/>
  <c r="B12" i="20"/>
  <c r="B8" i="20"/>
  <c r="B7" i="20"/>
  <c r="B6" i="20"/>
  <c r="B5" i="20"/>
  <c r="C29" i="19"/>
  <c r="D29" i="19"/>
  <c r="E29" i="19"/>
  <c r="F29" i="19"/>
  <c r="G29" i="19"/>
  <c r="H29" i="19"/>
  <c r="I29" i="19"/>
  <c r="J29" i="19"/>
  <c r="K29" i="19"/>
  <c r="L29" i="19"/>
  <c r="M29" i="19"/>
  <c r="N29" i="19"/>
  <c r="N7" i="15"/>
  <c r="G4" i="12" l="1"/>
  <c r="F6" i="12"/>
  <c r="K9" i="20"/>
  <c r="G9" i="20"/>
  <c r="J9" i="20"/>
  <c r="I29" i="20"/>
  <c r="I31" i="20" s="1"/>
  <c r="J29" i="20"/>
  <c r="J31" i="20" s="1"/>
  <c r="I15" i="20"/>
  <c r="G29" i="20"/>
  <c r="G31" i="20" s="1"/>
  <c r="K29" i="20"/>
  <c r="K31" i="20" s="1"/>
  <c r="I9" i="20"/>
  <c r="I17" i="20" s="1"/>
  <c r="I33" i="20" s="1"/>
  <c r="G15" i="20"/>
  <c r="G17" i="20" s="1"/>
  <c r="G33" i="20" s="1"/>
  <c r="H29" i="20"/>
  <c r="H31" i="20" s="1"/>
  <c r="H9" i="20"/>
  <c r="I10" i="21"/>
  <c r="I11" i="21"/>
  <c r="I14" i="21"/>
  <c r="C34" i="21"/>
  <c r="D32" i="21" s="1"/>
  <c r="I12" i="21"/>
  <c r="I13" i="21"/>
  <c r="H17" i="21"/>
  <c r="K11" i="21"/>
  <c r="H16" i="21"/>
  <c r="K15" i="20"/>
  <c r="K17" i="20" s="1"/>
  <c r="J15" i="20"/>
  <c r="H15" i="20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J17" i="20" l="1"/>
  <c r="J33" i="20" s="1"/>
  <c r="H4" i="12"/>
  <c r="G6" i="12"/>
  <c r="I16" i="21"/>
  <c r="E32" i="21" s="1"/>
  <c r="K39" i="21" s="1"/>
  <c r="H17" i="20"/>
  <c r="H33" i="20" s="1"/>
  <c r="H42" i="20"/>
  <c r="H48" i="20" s="1"/>
  <c r="K42" i="20"/>
  <c r="K48" i="20" s="1"/>
  <c r="K33" i="20"/>
  <c r="I42" i="20"/>
  <c r="I48" i="20" s="1"/>
  <c r="D34" i="21"/>
  <c r="E34" i="21" s="1"/>
  <c r="E33" i="21" s="1"/>
  <c r="K42" i="21" s="1"/>
  <c r="D33" i="21"/>
  <c r="D36" i="21" s="1"/>
  <c r="I17" i="21"/>
  <c r="J42" i="20"/>
  <c r="J48" i="20" s="1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I4" i="12" l="1"/>
  <c r="H6" i="12"/>
  <c r="E36" i="21"/>
  <c r="K32" i="21" s="1"/>
  <c r="N5" i="15"/>
  <c r="J10" i="21" s="1"/>
  <c r="N4" i="15"/>
  <c r="L2" i="1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H4" i="1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G2" i="11"/>
  <c r="B2" i="11"/>
  <c r="D4" i="11" a="1"/>
  <c r="D4" i="11" s="1"/>
  <c r="L3" i="10"/>
  <c r="C5" i="7"/>
  <c r="L116" i="7"/>
  <c r="K116" i="7"/>
  <c r="J116" i="7"/>
  <c r="I116" i="7"/>
  <c r="H116" i="7"/>
  <c r="G116" i="7"/>
  <c r="F116" i="7"/>
  <c r="E116" i="7"/>
  <c r="D116" i="7"/>
  <c r="C116" i="7"/>
  <c r="L115" i="7"/>
  <c r="K115" i="7"/>
  <c r="J115" i="7"/>
  <c r="I115" i="7"/>
  <c r="H115" i="7"/>
  <c r="G115" i="7"/>
  <c r="F115" i="7"/>
  <c r="E115" i="7"/>
  <c r="D115" i="7"/>
  <c r="C115" i="7"/>
  <c r="L114" i="7"/>
  <c r="K114" i="7"/>
  <c r="J114" i="7"/>
  <c r="I114" i="7"/>
  <c r="H114" i="7"/>
  <c r="G114" i="7"/>
  <c r="F114" i="7"/>
  <c r="E114" i="7"/>
  <c r="D114" i="7"/>
  <c r="C114" i="7"/>
  <c r="L113" i="7"/>
  <c r="K113" i="7"/>
  <c r="J113" i="7"/>
  <c r="I113" i="7"/>
  <c r="H113" i="7"/>
  <c r="G113" i="7"/>
  <c r="F113" i="7"/>
  <c r="E113" i="7"/>
  <c r="D113" i="7"/>
  <c r="C113" i="7"/>
  <c r="B2" i="10"/>
  <c r="K3" i="10"/>
  <c r="J3" i="10"/>
  <c r="I3" i="10"/>
  <c r="H3" i="10"/>
  <c r="G3" i="10"/>
  <c r="F3" i="10"/>
  <c r="E3" i="10"/>
  <c r="D3" i="10"/>
  <c r="C3" i="10"/>
  <c r="K105" i="7"/>
  <c r="J105" i="7"/>
  <c r="I105" i="7"/>
  <c r="H105" i="7"/>
  <c r="G105" i="7"/>
  <c r="F105" i="7"/>
  <c r="E105" i="7"/>
  <c r="D105" i="7"/>
  <c r="C105" i="7"/>
  <c r="K104" i="7"/>
  <c r="J104" i="7"/>
  <c r="I104" i="7"/>
  <c r="H104" i="7"/>
  <c r="G104" i="7"/>
  <c r="F104" i="7"/>
  <c r="E104" i="7"/>
  <c r="D104" i="7"/>
  <c r="C104" i="7"/>
  <c r="K103" i="7"/>
  <c r="J103" i="7"/>
  <c r="I103" i="7"/>
  <c r="H103" i="7"/>
  <c r="G103" i="7"/>
  <c r="F103" i="7"/>
  <c r="E103" i="7"/>
  <c r="D103" i="7"/>
  <c r="C103" i="7"/>
  <c r="K102" i="7"/>
  <c r="J102" i="7"/>
  <c r="I102" i="7"/>
  <c r="H102" i="7"/>
  <c r="G102" i="7"/>
  <c r="F102" i="7"/>
  <c r="E102" i="7"/>
  <c r="D102" i="7"/>
  <c r="C102" i="7"/>
  <c r="K101" i="7"/>
  <c r="J101" i="7"/>
  <c r="I101" i="7"/>
  <c r="H101" i="7"/>
  <c r="G101" i="7"/>
  <c r="F101" i="7"/>
  <c r="E101" i="7"/>
  <c r="D101" i="7"/>
  <c r="C101" i="7"/>
  <c r="K100" i="7"/>
  <c r="J100" i="7"/>
  <c r="I100" i="7"/>
  <c r="H100" i="7"/>
  <c r="G100" i="7"/>
  <c r="F100" i="7"/>
  <c r="E100" i="7"/>
  <c r="D100" i="7"/>
  <c r="C100" i="7"/>
  <c r="K99" i="7"/>
  <c r="J99" i="7"/>
  <c r="I99" i="7"/>
  <c r="H99" i="7"/>
  <c r="G99" i="7"/>
  <c r="F99" i="7"/>
  <c r="E99" i="7"/>
  <c r="D99" i="7"/>
  <c r="C99" i="7"/>
  <c r="K98" i="7"/>
  <c r="J98" i="7"/>
  <c r="I98" i="7"/>
  <c r="H98" i="7"/>
  <c r="G98" i="7"/>
  <c r="F98" i="7"/>
  <c r="E98" i="7"/>
  <c r="D98" i="7"/>
  <c r="C98" i="7"/>
  <c r="K97" i="7"/>
  <c r="J97" i="7"/>
  <c r="I97" i="7"/>
  <c r="H97" i="7"/>
  <c r="G97" i="7"/>
  <c r="F97" i="7"/>
  <c r="E97" i="7"/>
  <c r="D97" i="7"/>
  <c r="C97" i="7"/>
  <c r="K94" i="7"/>
  <c r="J94" i="7"/>
  <c r="I94" i="7"/>
  <c r="H94" i="7"/>
  <c r="G94" i="7"/>
  <c r="F94" i="7"/>
  <c r="E94" i="7"/>
  <c r="D94" i="7"/>
  <c r="C94" i="7"/>
  <c r="K93" i="7"/>
  <c r="J93" i="7"/>
  <c r="I93" i="7"/>
  <c r="H93" i="7"/>
  <c r="G93" i="7"/>
  <c r="F93" i="7"/>
  <c r="E93" i="7"/>
  <c r="D93" i="7"/>
  <c r="C93" i="7"/>
  <c r="K92" i="7"/>
  <c r="J92" i="7"/>
  <c r="I92" i="7"/>
  <c r="H92" i="7"/>
  <c r="G92" i="7"/>
  <c r="F92" i="7"/>
  <c r="E92" i="7"/>
  <c r="D92" i="7"/>
  <c r="C92" i="7"/>
  <c r="K91" i="7"/>
  <c r="J91" i="7"/>
  <c r="I91" i="7"/>
  <c r="H91" i="7"/>
  <c r="G91" i="7"/>
  <c r="F91" i="7"/>
  <c r="E91" i="7"/>
  <c r="D91" i="7"/>
  <c r="C91" i="7"/>
  <c r="K90" i="7"/>
  <c r="J90" i="7"/>
  <c r="I90" i="7"/>
  <c r="H90" i="7"/>
  <c r="G90" i="7"/>
  <c r="F90" i="7"/>
  <c r="E90" i="7"/>
  <c r="D90" i="7"/>
  <c r="C90" i="7"/>
  <c r="K89" i="7"/>
  <c r="J89" i="7"/>
  <c r="I89" i="7"/>
  <c r="H89" i="7"/>
  <c r="G89" i="7"/>
  <c r="F89" i="7"/>
  <c r="E89" i="7"/>
  <c r="D89" i="7"/>
  <c r="C89" i="7"/>
  <c r="K88" i="7"/>
  <c r="J88" i="7"/>
  <c r="I88" i="7"/>
  <c r="H88" i="7"/>
  <c r="G88" i="7"/>
  <c r="F88" i="7"/>
  <c r="E88" i="7"/>
  <c r="D88" i="7"/>
  <c r="C88" i="7"/>
  <c r="K87" i="7"/>
  <c r="J87" i="7"/>
  <c r="I87" i="7"/>
  <c r="H87" i="7"/>
  <c r="G87" i="7"/>
  <c r="F87" i="7"/>
  <c r="E87" i="7"/>
  <c r="D87" i="7"/>
  <c r="C87" i="7"/>
  <c r="K86" i="7"/>
  <c r="J86" i="7"/>
  <c r="I86" i="7"/>
  <c r="H86" i="7"/>
  <c r="G86" i="7"/>
  <c r="F86" i="7"/>
  <c r="E86" i="7"/>
  <c r="D86" i="7"/>
  <c r="C86" i="7"/>
  <c r="K85" i="7"/>
  <c r="J85" i="7"/>
  <c r="I85" i="7"/>
  <c r="H85" i="7"/>
  <c r="G85" i="7"/>
  <c r="F85" i="7"/>
  <c r="E85" i="7"/>
  <c r="D85" i="7"/>
  <c r="C85" i="7"/>
  <c r="K84" i="7"/>
  <c r="J84" i="7"/>
  <c r="I84" i="7"/>
  <c r="H84" i="7"/>
  <c r="G84" i="7"/>
  <c r="F84" i="7"/>
  <c r="E84" i="7"/>
  <c r="D84" i="7"/>
  <c r="C84" i="7"/>
  <c r="K83" i="7"/>
  <c r="J83" i="7"/>
  <c r="I83" i="7"/>
  <c r="H83" i="7"/>
  <c r="G83" i="7"/>
  <c r="F83" i="7"/>
  <c r="E83" i="7"/>
  <c r="D83" i="7"/>
  <c r="K80" i="7"/>
  <c r="J80" i="7"/>
  <c r="I80" i="7"/>
  <c r="H80" i="7"/>
  <c r="G80" i="7"/>
  <c r="F80" i="7"/>
  <c r="E80" i="7"/>
  <c r="D80" i="7"/>
  <c r="C80" i="7"/>
  <c r="C83" i="7"/>
  <c r="K79" i="7"/>
  <c r="J79" i="7"/>
  <c r="I79" i="7"/>
  <c r="H79" i="7"/>
  <c r="G79" i="7"/>
  <c r="F79" i="7"/>
  <c r="E79" i="7"/>
  <c r="D79" i="7"/>
  <c r="C79" i="7"/>
  <c r="K78" i="7"/>
  <c r="J78" i="7"/>
  <c r="I78" i="7"/>
  <c r="H78" i="7"/>
  <c r="G78" i="7"/>
  <c r="F78" i="7"/>
  <c r="E78" i="7"/>
  <c r="D78" i="7"/>
  <c r="C78" i="7"/>
  <c r="K77" i="7"/>
  <c r="J77" i="7"/>
  <c r="I77" i="7"/>
  <c r="H77" i="7"/>
  <c r="G77" i="7"/>
  <c r="F77" i="7"/>
  <c r="E77" i="7"/>
  <c r="D77" i="7"/>
  <c r="C77" i="7"/>
  <c r="K76" i="7"/>
  <c r="J76" i="7"/>
  <c r="I76" i="7"/>
  <c r="H76" i="7"/>
  <c r="G76" i="7"/>
  <c r="F76" i="7"/>
  <c r="E76" i="7"/>
  <c r="D76" i="7"/>
  <c r="C76" i="7"/>
  <c r="K75" i="7"/>
  <c r="J75" i="7"/>
  <c r="I75" i="7"/>
  <c r="H75" i="7"/>
  <c r="G75" i="7"/>
  <c r="F75" i="7"/>
  <c r="E75" i="7"/>
  <c r="D75" i="7"/>
  <c r="C75" i="7"/>
  <c r="K74" i="7"/>
  <c r="J74" i="7"/>
  <c r="I74" i="7"/>
  <c r="H74" i="7"/>
  <c r="G74" i="7"/>
  <c r="F74" i="7"/>
  <c r="E74" i="7"/>
  <c r="D74" i="7"/>
  <c r="C74" i="7"/>
  <c r="K73" i="7"/>
  <c r="J73" i="7"/>
  <c r="I73" i="7"/>
  <c r="H73" i="7"/>
  <c r="G73" i="7"/>
  <c r="F73" i="7"/>
  <c r="E73" i="7"/>
  <c r="D73" i="7"/>
  <c r="C73" i="7"/>
  <c r="K72" i="7"/>
  <c r="J72" i="7"/>
  <c r="I72" i="7"/>
  <c r="H72" i="7"/>
  <c r="G72" i="7"/>
  <c r="F72" i="7"/>
  <c r="E72" i="7"/>
  <c r="D72" i="7"/>
  <c r="C72" i="7"/>
  <c r="L58" i="7"/>
  <c r="K58" i="7"/>
  <c r="J58" i="7"/>
  <c r="I58" i="7"/>
  <c r="H58" i="7"/>
  <c r="G58" i="7"/>
  <c r="F58" i="7"/>
  <c r="E58" i="7"/>
  <c r="D58" i="7"/>
  <c r="C58" i="7"/>
  <c r="L63" i="7"/>
  <c r="K63" i="7"/>
  <c r="J63" i="7"/>
  <c r="I63" i="7"/>
  <c r="H63" i="7"/>
  <c r="G63" i="7"/>
  <c r="F63" i="7"/>
  <c r="E63" i="7"/>
  <c r="D63" i="7"/>
  <c r="C63" i="7"/>
  <c r="L62" i="7"/>
  <c r="K62" i="7"/>
  <c r="J62" i="7"/>
  <c r="I62" i="7"/>
  <c r="H62" i="7"/>
  <c r="G62" i="7"/>
  <c r="F62" i="7"/>
  <c r="E62" i="7"/>
  <c r="D62" i="7"/>
  <c r="C62" i="7"/>
  <c r="L61" i="7"/>
  <c r="K61" i="7"/>
  <c r="J61" i="7"/>
  <c r="I61" i="7"/>
  <c r="H61" i="7"/>
  <c r="G61" i="7"/>
  <c r="F61" i="7"/>
  <c r="E61" i="7"/>
  <c r="D61" i="7"/>
  <c r="C61" i="7"/>
  <c r="C56" i="7"/>
  <c r="D56" i="7"/>
  <c r="E56" i="7"/>
  <c r="F56" i="7"/>
  <c r="G56" i="7"/>
  <c r="H56" i="7"/>
  <c r="I56" i="7"/>
  <c r="J56" i="7"/>
  <c r="K56" i="7"/>
  <c r="L56" i="7"/>
  <c r="C57" i="7"/>
  <c r="D57" i="7"/>
  <c r="E57" i="7"/>
  <c r="F57" i="7"/>
  <c r="G57" i="7"/>
  <c r="H57" i="7"/>
  <c r="I57" i="7"/>
  <c r="J57" i="7"/>
  <c r="K57" i="7"/>
  <c r="L57" i="7"/>
  <c r="L55" i="7"/>
  <c r="K55" i="7"/>
  <c r="J55" i="7"/>
  <c r="I55" i="7"/>
  <c r="H55" i="7"/>
  <c r="G55" i="7"/>
  <c r="F55" i="7"/>
  <c r="E55" i="7"/>
  <c r="D55" i="7"/>
  <c r="C55" i="7"/>
  <c r="L53" i="7"/>
  <c r="K53" i="7"/>
  <c r="J53" i="7"/>
  <c r="I53" i="7"/>
  <c r="H53" i="7"/>
  <c r="G53" i="7"/>
  <c r="F53" i="7"/>
  <c r="E53" i="7"/>
  <c r="D53" i="7"/>
  <c r="C53" i="7"/>
  <c r="L52" i="7"/>
  <c r="K52" i="7"/>
  <c r="J52" i="7"/>
  <c r="I52" i="7"/>
  <c r="H52" i="7"/>
  <c r="G52" i="7"/>
  <c r="F52" i="7"/>
  <c r="E52" i="7"/>
  <c r="D52" i="7"/>
  <c r="C52" i="7"/>
  <c r="L51" i="7"/>
  <c r="K51" i="7"/>
  <c r="J51" i="7"/>
  <c r="I51" i="7"/>
  <c r="H51" i="7"/>
  <c r="G51" i="7"/>
  <c r="F51" i="7"/>
  <c r="E51" i="7"/>
  <c r="D51" i="7"/>
  <c r="C51" i="7"/>
  <c r="L50" i="7"/>
  <c r="K50" i="7"/>
  <c r="J50" i="7"/>
  <c r="I50" i="7"/>
  <c r="H50" i="7"/>
  <c r="G50" i="7"/>
  <c r="F50" i="7"/>
  <c r="E50" i="7"/>
  <c r="D50" i="7"/>
  <c r="C50" i="7"/>
  <c r="L49" i="7"/>
  <c r="K49" i="7"/>
  <c r="J49" i="7"/>
  <c r="I49" i="7"/>
  <c r="H49" i="7"/>
  <c r="G49" i="7"/>
  <c r="F49" i="7"/>
  <c r="E49" i="7"/>
  <c r="D49" i="7"/>
  <c r="M52" i="7"/>
  <c r="M51" i="7"/>
  <c r="M50" i="7"/>
  <c r="M49" i="7"/>
  <c r="C49" i="7"/>
  <c r="M35" i="7"/>
  <c r="M40" i="7" s="1"/>
  <c r="L35" i="7"/>
  <c r="L40" i="7" s="1"/>
  <c r="K35" i="7"/>
  <c r="K40" i="7" s="1"/>
  <c r="J35" i="7"/>
  <c r="J40" i="7" s="1"/>
  <c r="I35" i="7"/>
  <c r="I40" i="7" s="1"/>
  <c r="H35" i="7"/>
  <c r="H40" i="7" s="1"/>
  <c r="G35" i="7"/>
  <c r="G40" i="7" s="1"/>
  <c r="F35" i="7"/>
  <c r="F40" i="7" s="1"/>
  <c r="E35" i="7"/>
  <c r="E40" i="7" s="1"/>
  <c r="D35" i="7"/>
  <c r="D40" i="7" s="1"/>
  <c r="C35" i="7"/>
  <c r="C40" i="7" s="1"/>
  <c r="M29" i="7"/>
  <c r="L29" i="7"/>
  <c r="K29" i="7"/>
  <c r="J29" i="7"/>
  <c r="I29" i="7"/>
  <c r="H29" i="7"/>
  <c r="G29" i="7"/>
  <c r="F29" i="7"/>
  <c r="E29" i="7"/>
  <c r="D29" i="7"/>
  <c r="C29" i="7"/>
  <c r="M20" i="7"/>
  <c r="M23" i="7"/>
  <c r="L23" i="7"/>
  <c r="K23" i="7"/>
  <c r="J23" i="7"/>
  <c r="I23" i="7"/>
  <c r="H23" i="7"/>
  <c r="G23" i="7"/>
  <c r="F23" i="7"/>
  <c r="E23" i="7"/>
  <c r="D23" i="7"/>
  <c r="C23" i="7"/>
  <c r="L20" i="7"/>
  <c r="K20" i="7"/>
  <c r="J20" i="7"/>
  <c r="I20" i="7"/>
  <c r="H20" i="7"/>
  <c r="G20" i="7"/>
  <c r="F20" i="7"/>
  <c r="E20" i="7"/>
  <c r="D20" i="7"/>
  <c r="C20" i="7"/>
  <c r="M17" i="7"/>
  <c r="D14" i="7"/>
  <c r="E14" i="7"/>
  <c r="F14" i="7"/>
  <c r="G14" i="7"/>
  <c r="H14" i="7"/>
  <c r="I14" i="7"/>
  <c r="J14" i="7"/>
  <c r="K14" i="7"/>
  <c r="L14" i="7"/>
  <c r="C14" i="7"/>
  <c r="M8" i="7"/>
  <c r="D8" i="7"/>
  <c r="E8" i="7"/>
  <c r="F8" i="7"/>
  <c r="G8" i="7"/>
  <c r="H8" i="7"/>
  <c r="I8" i="7"/>
  <c r="J8" i="7"/>
  <c r="K8" i="7"/>
  <c r="L8" i="7"/>
  <c r="C8" i="7"/>
  <c r="M5" i="7"/>
  <c r="M15" i="7" s="1"/>
  <c r="D5" i="7"/>
  <c r="E5" i="7"/>
  <c r="F5" i="7"/>
  <c r="F30" i="10" s="1"/>
  <c r="G5" i="7"/>
  <c r="H5" i="7"/>
  <c r="I5" i="7"/>
  <c r="J5" i="7"/>
  <c r="J30" i="10" s="1"/>
  <c r="K5" i="7"/>
  <c r="L5" i="7"/>
  <c r="C3" i="7"/>
  <c r="D3" i="7"/>
  <c r="E3" i="7"/>
  <c r="F3" i="7"/>
  <c r="G3" i="7"/>
  <c r="H3" i="7"/>
  <c r="I3" i="7"/>
  <c r="J3" i="7"/>
  <c r="K3" i="7"/>
  <c r="L3" i="7"/>
  <c r="B2" i="7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D38" i="12" s="1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I21" i="2" s="1"/>
  <c r="J18" i="2"/>
  <c r="K18" i="2"/>
  <c r="K21" i="2" s="1"/>
  <c r="B17" i="2"/>
  <c r="C4" i="2"/>
  <c r="D4" i="2"/>
  <c r="E4" i="2"/>
  <c r="E5" i="2"/>
  <c r="F4" i="2"/>
  <c r="G4" i="2"/>
  <c r="H4" i="2"/>
  <c r="I4" i="2"/>
  <c r="I5" i="2"/>
  <c r="J4" i="2"/>
  <c r="J5" i="2"/>
  <c r="K4" i="2"/>
  <c r="K23" i="2" s="1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F13" i="2"/>
  <c r="G13" i="2"/>
  <c r="H13" i="2"/>
  <c r="I13" i="2"/>
  <c r="J13" i="2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E14" i="3" s="1"/>
  <c r="F4" i="3"/>
  <c r="F14" i="3" s="1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6" i="1" s="1"/>
  <c r="D19" i="1" s="1"/>
  <c r="E4" i="1"/>
  <c r="F4" i="1"/>
  <c r="G4" i="1"/>
  <c r="G6" i="1" s="1"/>
  <c r="G19" i="1" s="1"/>
  <c r="H4" i="1"/>
  <c r="H21" i="2" s="1"/>
  <c r="I4" i="1"/>
  <c r="J4" i="1"/>
  <c r="J21" i="2" s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G12" i="1"/>
  <c r="G13" i="1" s="1"/>
  <c r="H12" i="1"/>
  <c r="H13" i="1" s="1"/>
  <c r="I12" i="1"/>
  <c r="I13" i="1" s="1"/>
  <c r="J12" i="1"/>
  <c r="J13" i="1" s="1"/>
  <c r="K12" i="1"/>
  <c r="K13" i="1" s="1"/>
  <c r="C15" i="1"/>
  <c r="D15" i="1"/>
  <c r="E15" i="1"/>
  <c r="F15" i="1"/>
  <c r="G15" i="1"/>
  <c r="H15" i="1"/>
  <c r="I15" i="1"/>
  <c r="J15" i="1"/>
  <c r="K15" i="1"/>
  <c r="B15" i="1"/>
  <c r="B7" i="1"/>
  <c r="B4" i="1"/>
  <c r="B6" i="1" s="1"/>
  <c r="B19" i="1" s="1"/>
  <c r="A1" i="1"/>
  <c r="A1" i="2" s="1"/>
  <c r="A1" i="4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3" i="3"/>
  <c r="L15" i="1"/>
  <c r="B12" i="1"/>
  <c r="B11" i="1"/>
  <c r="B10" i="1"/>
  <c r="B9" i="1"/>
  <c r="B8" i="1"/>
  <c r="B3" i="1"/>
  <c r="D30" i="10" l="1"/>
  <c r="E20" i="2"/>
  <c r="D14" i="3"/>
  <c r="D20" i="2"/>
  <c r="K6" i="1"/>
  <c r="K19" i="1" s="1"/>
  <c r="H59" i="7"/>
  <c r="I59" i="7"/>
  <c r="C64" i="7"/>
  <c r="D13" i="11"/>
  <c r="G14" i="3"/>
  <c r="E31" i="10"/>
  <c r="L59" i="7"/>
  <c r="J4" i="12"/>
  <c r="J6" i="12" s="1"/>
  <c r="J8" i="12" s="1"/>
  <c r="I6" i="12"/>
  <c r="F23" i="2"/>
  <c r="E21" i="2"/>
  <c r="J6" i="1"/>
  <c r="J19" i="1" s="1"/>
  <c r="F20" i="2"/>
  <c r="B23" i="2"/>
  <c r="C14" i="3"/>
  <c r="F59" i="7"/>
  <c r="G107" i="7"/>
  <c r="K14" i="3"/>
  <c r="H16" i="2"/>
  <c r="F21" i="2"/>
  <c r="C20" i="2"/>
  <c r="I31" i="10"/>
  <c r="I107" i="7"/>
  <c r="A1" i="3"/>
  <c r="J17" i="21"/>
  <c r="J16" i="21"/>
  <c r="K10" i="21"/>
  <c r="F16" i="2"/>
  <c r="L6" i="1"/>
  <c r="B21" i="2"/>
  <c r="H14" i="3"/>
  <c r="C21" i="2"/>
  <c r="H30" i="10"/>
  <c r="D16" i="2"/>
  <c r="K31" i="10"/>
  <c r="L64" i="7"/>
  <c r="G59" i="7"/>
  <c r="H107" i="7"/>
  <c r="J107" i="7"/>
  <c r="E1" i="3"/>
  <c r="I14" i="3"/>
  <c r="G31" i="10"/>
  <c r="J59" i="7"/>
  <c r="D64" i="7"/>
  <c r="K107" i="7"/>
  <c r="E16" i="2"/>
  <c r="K59" i="7"/>
  <c r="E64" i="7"/>
  <c r="G64" i="7"/>
  <c r="G66" i="7" s="1"/>
  <c r="F64" i="7"/>
  <c r="F66" i="7" s="1"/>
  <c r="C14" i="1"/>
  <c r="H64" i="7"/>
  <c r="H66" i="7" s="1"/>
  <c r="H68" i="7" s="1"/>
  <c r="C107" i="7"/>
  <c r="C59" i="7"/>
  <c r="C66" i="7" s="1"/>
  <c r="C68" i="7" s="1"/>
  <c r="I64" i="7"/>
  <c r="I66" i="7" s="1"/>
  <c r="I68" i="7" s="1"/>
  <c r="D107" i="7"/>
  <c r="D59" i="7"/>
  <c r="J64" i="7"/>
  <c r="E107" i="7"/>
  <c r="F14" i="1"/>
  <c r="L30" i="10"/>
  <c r="E59" i="7"/>
  <c r="E66" i="7" s="1"/>
  <c r="E40" i="10" s="1"/>
  <c r="K64" i="7"/>
  <c r="F107" i="7"/>
  <c r="K6" i="15"/>
  <c r="K12" i="15" s="1"/>
  <c r="D9" i="10"/>
  <c r="F9" i="10"/>
  <c r="H9" i="10"/>
  <c r="J9" i="10"/>
  <c r="L9" i="10"/>
  <c r="C31" i="10"/>
  <c r="J14" i="1"/>
  <c r="E9" i="10"/>
  <c r="G9" i="10"/>
  <c r="I9" i="10"/>
  <c r="K9" i="10"/>
  <c r="D41" i="10"/>
  <c r="F41" i="10"/>
  <c r="H41" i="10"/>
  <c r="J41" i="10"/>
  <c r="L41" i="10"/>
  <c r="L5" i="1"/>
  <c r="D23" i="2"/>
  <c r="I23" i="2"/>
  <c r="G23" i="2"/>
  <c r="D21" i="2"/>
  <c r="B13" i="1"/>
  <c r="B14" i="1" s="1"/>
  <c r="C28" i="10"/>
  <c r="C30" i="10"/>
  <c r="D27" i="10"/>
  <c r="D34" i="10" s="1"/>
  <c r="F27" i="10"/>
  <c r="F34" i="10" s="1"/>
  <c r="H27" i="10"/>
  <c r="H34" i="10" s="1"/>
  <c r="J27" i="10"/>
  <c r="J34" i="10" s="1"/>
  <c r="L27" i="10"/>
  <c r="L34" i="10" s="1"/>
  <c r="E28" i="10"/>
  <c r="E35" i="10" s="1"/>
  <c r="G28" i="10"/>
  <c r="G35" i="10" s="1"/>
  <c r="I28" i="10"/>
  <c r="I35" i="10" s="1"/>
  <c r="K28" i="10"/>
  <c r="K35" i="10" s="1"/>
  <c r="D29" i="10"/>
  <c r="D36" i="10" s="1"/>
  <c r="F29" i="10"/>
  <c r="F36" i="10" s="1"/>
  <c r="H29" i="10"/>
  <c r="H36" i="10" s="1"/>
  <c r="J29" i="10"/>
  <c r="J36" i="10" s="1"/>
  <c r="L29" i="10"/>
  <c r="L36" i="10" s="1"/>
  <c r="E30" i="10"/>
  <c r="G30" i="10"/>
  <c r="I30" i="10"/>
  <c r="K30" i="10"/>
  <c r="D31" i="10"/>
  <c r="F31" i="10"/>
  <c r="H31" i="10"/>
  <c r="J31" i="10"/>
  <c r="L31" i="10"/>
  <c r="C39" i="10"/>
  <c r="C41" i="10"/>
  <c r="E39" i="10"/>
  <c r="G39" i="10"/>
  <c r="I39" i="10"/>
  <c r="K39" i="10"/>
  <c r="E41" i="10"/>
  <c r="G41" i="10"/>
  <c r="I41" i="10"/>
  <c r="K41" i="10"/>
  <c r="B16" i="2"/>
  <c r="K14" i="1"/>
  <c r="G14" i="1"/>
  <c r="L12" i="1"/>
  <c r="L13" i="1" s="1"/>
  <c r="L14" i="1" s="1"/>
  <c r="L25" i="1" s="1"/>
  <c r="L11" i="1"/>
  <c r="L10" i="1"/>
  <c r="L8" i="1"/>
  <c r="N8" i="1" s="1"/>
  <c r="L7" i="1"/>
  <c r="L4" i="1"/>
  <c r="L23" i="1" s="1"/>
  <c r="H23" i="2"/>
  <c r="J23" i="2"/>
  <c r="G21" i="2"/>
  <c r="I6" i="1"/>
  <c r="I19" i="1" s="1"/>
  <c r="C6" i="1"/>
  <c r="C19" i="1" s="1"/>
  <c r="C27" i="10"/>
  <c r="C29" i="10"/>
  <c r="E27" i="10"/>
  <c r="E34" i="10" s="1"/>
  <c r="G27" i="10"/>
  <c r="G34" i="10" s="1"/>
  <c r="I27" i="10"/>
  <c r="I34" i="10" s="1"/>
  <c r="K27" i="10"/>
  <c r="K34" i="10" s="1"/>
  <c r="D28" i="10"/>
  <c r="D35" i="10" s="1"/>
  <c r="F28" i="10"/>
  <c r="F35" i="10" s="1"/>
  <c r="H28" i="10"/>
  <c r="H35" i="10" s="1"/>
  <c r="J28" i="10"/>
  <c r="J35" i="10" s="1"/>
  <c r="L28" i="10"/>
  <c r="L35" i="10" s="1"/>
  <c r="E29" i="10"/>
  <c r="E36" i="10" s="1"/>
  <c r="G29" i="10"/>
  <c r="G36" i="10" s="1"/>
  <c r="I29" i="10"/>
  <c r="I36" i="10" s="1"/>
  <c r="K29" i="10"/>
  <c r="K36" i="10" s="1"/>
  <c r="D39" i="10"/>
  <c r="F39" i="10"/>
  <c r="H39" i="10"/>
  <c r="J39" i="10"/>
  <c r="L39" i="10"/>
  <c r="D12" i="11"/>
  <c r="D11" i="11"/>
  <c r="D10" i="11"/>
  <c r="D9" i="11"/>
  <c r="D8" i="11"/>
  <c r="D7" i="11"/>
  <c r="D6" i="11"/>
  <c r="D5" i="11"/>
  <c r="E5" i="11" s="1"/>
  <c r="G24" i="7"/>
  <c r="G18" i="10" s="1"/>
  <c r="M26" i="7"/>
  <c r="M30" i="7" s="1"/>
  <c r="C43" i="7"/>
  <c r="C22" i="10" s="1"/>
  <c r="I6" i="7"/>
  <c r="I5" i="10" s="1"/>
  <c r="C21" i="7"/>
  <c r="C24" i="7"/>
  <c r="C18" i="10" s="1"/>
  <c r="E24" i="7"/>
  <c r="E18" i="10" s="1"/>
  <c r="J11" i="7"/>
  <c r="J12" i="7" s="1"/>
  <c r="J11" i="10" s="1"/>
  <c r="C15" i="7"/>
  <c r="C17" i="10" s="1"/>
  <c r="D24" i="7"/>
  <c r="D18" i="10" s="1"/>
  <c r="K9" i="7"/>
  <c r="J15" i="7"/>
  <c r="J17" i="10" s="1"/>
  <c r="G21" i="7"/>
  <c r="I24" i="7"/>
  <c r="I18" i="10" s="1"/>
  <c r="J6" i="7"/>
  <c r="J5" i="10" s="1"/>
  <c r="I9" i="7"/>
  <c r="F24" i="7"/>
  <c r="F18" i="10" s="1"/>
  <c r="H24" i="7"/>
  <c r="H18" i="10" s="1"/>
  <c r="K24" i="7"/>
  <c r="K18" i="10" s="1"/>
  <c r="L21" i="7"/>
  <c r="L24" i="7"/>
  <c r="L18" i="10" s="1"/>
  <c r="K11" i="7"/>
  <c r="K12" i="7" s="1"/>
  <c r="K11" i="10" s="1"/>
  <c r="J24" i="7"/>
  <c r="J18" i="10" s="1"/>
  <c r="D11" i="7"/>
  <c r="D12" i="7" s="1"/>
  <c r="D11" i="10" s="1"/>
  <c r="M24" i="7"/>
  <c r="L15" i="7"/>
  <c r="L17" i="10" s="1"/>
  <c r="M21" i="7"/>
  <c r="L9" i="7"/>
  <c r="K15" i="7"/>
  <c r="K17" i="10" s="1"/>
  <c r="H15" i="7"/>
  <c r="H17" i="10" s="1"/>
  <c r="E11" i="7"/>
  <c r="E12" i="7" s="1"/>
  <c r="E11" i="10" s="1"/>
  <c r="F15" i="7"/>
  <c r="F17" i="10" s="1"/>
  <c r="F21" i="7"/>
  <c r="G15" i="7"/>
  <c r="G17" i="10" s="1"/>
  <c r="D6" i="7"/>
  <c r="D5" i="10" s="1"/>
  <c r="M9" i="7"/>
  <c r="E15" i="7"/>
  <c r="E17" i="10" s="1"/>
  <c r="I15" i="7"/>
  <c r="I17" i="10" s="1"/>
  <c r="D15" i="7"/>
  <c r="D17" i="10" s="1"/>
  <c r="H21" i="7"/>
  <c r="F9" i="7"/>
  <c r="C9" i="7"/>
  <c r="J9" i="7"/>
  <c r="K21" i="7"/>
  <c r="D21" i="7"/>
  <c r="L11" i="7"/>
  <c r="L12" i="7" s="1"/>
  <c r="L11" i="10" s="1"/>
  <c r="I11" i="7"/>
  <c r="I12" i="7" s="1"/>
  <c r="I11" i="10" s="1"/>
  <c r="M11" i="7"/>
  <c r="M12" i="7" s="1"/>
  <c r="M18" i="7"/>
  <c r="E21" i="7"/>
  <c r="C11" i="7"/>
  <c r="C12" i="7" s="1"/>
  <c r="C11" i="10" s="1"/>
  <c r="I21" i="7"/>
  <c r="J21" i="7"/>
  <c r="G9" i="7"/>
  <c r="H11" i="7"/>
  <c r="H12" i="7" s="1"/>
  <c r="H11" i="10" s="1"/>
  <c r="E9" i="7"/>
  <c r="H9" i="7"/>
  <c r="H6" i="7"/>
  <c r="H5" i="10" s="1"/>
  <c r="D9" i="7"/>
  <c r="G6" i="7"/>
  <c r="G5" i="10" s="1"/>
  <c r="F6" i="7"/>
  <c r="F5" i="10" s="1"/>
  <c r="E6" i="7"/>
  <c r="E5" i="10" s="1"/>
  <c r="F11" i="7"/>
  <c r="F12" i="7" s="1"/>
  <c r="F11" i="10" s="1"/>
  <c r="G11" i="7"/>
  <c r="G12" i="7" s="1"/>
  <c r="G11" i="10" s="1"/>
  <c r="M6" i="7"/>
  <c r="L6" i="7"/>
  <c r="L5" i="10" s="1"/>
  <c r="K6" i="7"/>
  <c r="K5" i="10" s="1"/>
  <c r="F24" i="2"/>
  <c r="G20" i="2"/>
  <c r="J14" i="3"/>
  <c r="E24" i="2"/>
  <c r="I16" i="2"/>
  <c r="K24" i="2"/>
  <c r="B14" i="3"/>
  <c r="E6" i="1"/>
  <c r="E19" i="1" s="1"/>
  <c r="E1" i="2"/>
  <c r="I14" i="1"/>
  <c r="C24" i="2"/>
  <c r="K20" i="2"/>
  <c r="J23" i="1"/>
  <c r="H14" i="1"/>
  <c r="J16" i="2"/>
  <c r="G16" i="2"/>
  <c r="D13" i="1"/>
  <c r="E13" i="1" s="1"/>
  <c r="E14" i="1" s="1"/>
  <c r="I23" i="1"/>
  <c r="D24" i="2"/>
  <c r="J24" i="2"/>
  <c r="H23" i="1"/>
  <c r="J20" i="2"/>
  <c r="B20" i="2"/>
  <c r="I24" i="2"/>
  <c r="H24" i="2"/>
  <c r="G24" i="2"/>
  <c r="C23" i="2"/>
  <c r="K24" i="1"/>
  <c r="L9" i="1"/>
  <c r="M9" i="1" s="1"/>
  <c r="E23" i="2"/>
  <c r="I20" i="2"/>
  <c r="H20" i="2"/>
  <c r="K23" i="1"/>
  <c r="H6" i="1"/>
  <c r="H19" i="1" s="1"/>
  <c r="J24" i="1" s="1"/>
  <c r="F6" i="1"/>
  <c r="F19" i="1" s="1"/>
  <c r="E1" i="4"/>
  <c r="J66" i="7" l="1"/>
  <c r="J68" i="7" s="1"/>
  <c r="M11" i="1"/>
  <c r="N11" i="1"/>
  <c r="E9" i="11"/>
  <c r="E11" i="11"/>
  <c r="M8" i="1"/>
  <c r="D14" i="1"/>
  <c r="L66" i="7"/>
  <c r="L40" i="10" s="1"/>
  <c r="D21" i="12"/>
  <c r="L68" i="7"/>
  <c r="J25" i="1"/>
  <c r="O9" i="10"/>
  <c r="D66" i="7"/>
  <c r="D68" i="7" s="1"/>
  <c r="D16" i="11"/>
  <c r="D40" i="10"/>
  <c r="K66" i="7"/>
  <c r="K68" i="7" s="1"/>
  <c r="E8" i="11"/>
  <c r="K16" i="21"/>
  <c r="K17" i="21"/>
  <c r="K31" i="21" s="1"/>
  <c r="K34" i="21" s="1"/>
  <c r="K24" i="21" s="1"/>
  <c r="K25" i="21" s="1"/>
  <c r="K41" i="21" s="1"/>
  <c r="K44" i="21" s="1"/>
  <c r="E16" i="12" s="1"/>
  <c r="K25" i="1"/>
  <c r="M25" i="1" s="1"/>
  <c r="M14" i="1" s="1"/>
  <c r="I40" i="10"/>
  <c r="F40" i="10"/>
  <c r="F68" i="7"/>
  <c r="G68" i="7"/>
  <c r="G40" i="10"/>
  <c r="D14" i="11"/>
  <c r="E14" i="11" s="1"/>
  <c r="D17" i="11"/>
  <c r="E10" i="11"/>
  <c r="D15" i="11"/>
  <c r="E16" i="11" s="1"/>
  <c r="D18" i="11"/>
  <c r="E68" i="7"/>
  <c r="E12" i="11"/>
  <c r="L19" i="1"/>
  <c r="L24" i="1" s="1"/>
  <c r="M24" i="1" s="1"/>
  <c r="J40" i="10"/>
  <c r="C40" i="10"/>
  <c r="E6" i="11"/>
  <c r="H40" i="10"/>
  <c r="M23" i="1"/>
  <c r="M4" i="1" s="1"/>
  <c r="E7" i="11"/>
  <c r="E13" i="11"/>
  <c r="O31" i="10"/>
  <c r="N9" i="10"/>
  <c r="K40" i="10"/>
  <c r="O11" i="10"/>
  <c r="N11" i="10"/>
  <c r="O5" i="10"/>
  <c r="N5" i="10"/>
  <c r="O17" i="10"/>
  <c r="N17" i="10"/>
  <c r="O27" i="10"/>
  <c r="C34" i="10"/>
  <c r="N27" i="10"/>
  <c r="N39" i="10"/>
  <c r="O39" i="10"/>
  <c r="N30" i="10"/>
  <c r="O30" i="10"/>
  <c r="N23" i="1"/>
  <c r="N4" i="1" s="1"/>
  <c r="I37" i="10"/>
  <c r="E37" i="10"/>
  <c r="J37" i="10"/>
  <c r="F37" i="10"/>
  <c r="N31" i="10"/>
  <c r="N18" i="10"/>
  <c r="O18" i="10"/>
  <c r="O29" i="10"/>
  <c r="C36" i="10"/>
  <c r="N29" i="10"/>
  <c r="N41" i="10"/>
  <c r="O41" i="10"/>
  <c r="N28" i="10"/>
  <c r="O28" i="10"/>
  <c r="C35" i="10"/>
  <c r="H24" i="1"/>
  <c r="K37" i="10"/>
  <c r="G37" i="10"/>
  <c r="L37" i="10"/>
  <c r="H37" i="10"/>
  <c r="D37" i="10"/>
  <c r="M27" i="7"/>
  <c r="M32" i="7"/>
  <c r="M37" i="7" s="1"/>
  <c r="M41" i="7"/>
  <c r="M43" i="7" s="1"/>
  <c r="J17" i="7"/>
  <c r="K17" i="7"/>
  <c r="D17" i="7"/>
  <c r="C17" i="7"/>
  <c r="H17" i="7"/>
  <c r="F17" i="7"/>
  <c r="I17" i="7"/>
  <c r="L17" i="7"/>
  <c r="E17" i="7"/>
  <c r="G17" i="7"/>
  <c r="H25" i="1"/>
  <c r="I25" i="1"/>
  <c r="N9" i="1"/>
  <c r="I24" i="1"/>
  <c r="M33" i="7" l="1"/>
  <c r="D22" i="12"/>
  <c r="D25" i="12" s="1"/>
  <c r="H10" i="12"/>
  <c r="F10" i="12"/>
  <c r="I10" i="12"/>
  <c r="G10" i="12"/>
  <c r="J10" i="12"/>
  <c r="J12" i="12" s="1"/>
  <c r="N40" i="10"/>
  <c r="O40" i="10"/>
  <c r="N24" i="1"/>
  <c r="N6" i="1" s="1"/>
  <c r="N10" i="1" s="1"/>
  <c r="N12" i="1" s="1"/>
  <c r="N13" i="1" s="1"/>
  <c r="M6" i="1"/>
  <c r="M10" i="1" s="1"/>
  <c r="M12" i="1" s="1"/>
  <c r="M13" i="1" s="1"/>
  <c r="M15" i="1" s="1"/>
  <c r="E18" i="11"/>
  <c r="E15" i="11"/>
  <c r="E17" i="11"/>
  <c r="I4" i="11" a="1"/>
  <c r="E21" i="10"/>
  <c r="E6" i="10"/>
  <c r="E25" i="10"/>
  <c r="E13" i="10"/>
  <c r="E19" i="10" s="1"/>
  <c r="I21" i="10"/>
  <c r="I6" i="10"/>
  <c r="I25" i="10"/>
  <c r="I13" i="10"/>
  <c r="I19" i="10" s="1"/>
  <c r="H25" i="10"/>
  <c r="H13" i="10"/>
  <c r="H19" i="10" s="1"/>
  <c r="H21" i="10"/>
  <c r="H6" i="10"/>
  <c r="D25" i="10"/>
  <c r="D13" i="10"/>
  <c r="D19" i="10" s="1"/>
  <c r="D21" i="10"/>
  <c r="J25" i="10"/>
  <c r="J13" i="10"/>
  <c r="J19" i="10" s="1"/>
  <c r="J21" i="10"/>
  <c r="J6" i="10"/>
  <c r="G21" i="10"/>
  <c r="G6" i="10"/>
  <c r="G25" i="10"/>
  <c r="G13" i="10"/>
  <c r="G19" i="10" s="1"/>
  <c r="L25" i="10"/>
  <c r="L13" i="10"/>
  <c r="L19" i="10" s="1"/>
  <c r="L21" i="10"/>
  <c r="L6" i="10"/>
  <c r="F25" i="10"/>
  <c r="F13" i="10"/>
  <c r="F19" i="10" s="1"/>
  <c r="F21" i="10"/>
  <c r="F6" i="10"/>
  <c r="K21" i="10"/>
  <c r="K6" i="10"/>
  <c r="K25" i="10"/>
  <c r="K13" i="10"/>
  <c r="K19" i="10" s="1"/>
  <c r="O35" i="10"/>
  <c r="N35" i="10"/>
  <c r="N36" i="10"/>
  <c r="O36" i="10"/>
  <c r="N34" i="10"/>
  <c r="O34" i="10"/>
  <c r="C37" i="10"/>
  <c r="C13" i="10"/>
  <c r="C25" i="10"/>
  <c r="C21" i="10"/>
  <c r="D6" i="10"/>
  <c r="G18" i="7"/>
  <c r="G12" i="10" s="1"/>
  <c r="G26" i="7"/>
  <c r="E18" i="7"/>
  <c r="E12" i="10" s="1"/>
  <c r="E26" i="7"/>
  <c r="L18" i="7"/>
  <c r="L12" i="10" s="1"/>
  <c r="L26" i="7"/>
  <c r="K34" i="20" s="1"/>
  <c r="I18" i="7"/>
  <c r="I12" i="10" s="1"/>
  <c r="I26" i="7"/>
  <c r="H34" i="20" s="1"/>
  <c r="F18" i="7"/>
  <c r="F12" i="10" s="1"/>
  <c r="F26" i="7"/>
  <c r="H18" i="7"/>
  <c r="H12" i="10" s="1"/>
  <c r="H26" i="7"/>
  <c r="C18" i="7"/>
  <c r="C12" i="10" s="1"/>
  <c r="C26" i="7"/>
  <c r="D18" i="7"/>
  <c r="D12" i="10" s="1"/>
  <c r="D26" i="7"/>
  <c r="K18" i="7"/>
  <c r="K12" i="10" s="1"/>
  <c r="K26" i="7"/>
  <c r="J34" i="20" s="1"/>
  <c r="J18" i="7"/>
  <c r="J12" i="10" s="1"/>
  <c r="J26" i="7"/>
  <c r="N5" i="1"/>
  <c r="N25" i="1"/>
  <c r="N14" i="1" s="1"/>
  <c r="D31" i="12" l="1"/>
  <c r="M5" i="1"/>
  <c r="J7" i="11"/>
  <c r="J6" i="11"/>
  <c r="J13" i="11"/>
  <c r="J12" i="11"/>
  <c r="J11" i="11"/>
  <c r="J9" i="11"/>
  <c r="J10" i="11"/>
  <c r="J8" i="11"/>
  <c r="I4" i="11"/>
  <c r="I14" i="11" s="1"/>
  <c r="I15" i="11" s="1"/>
  <c r="J15" i="11" s="1"/>
  <c r="F7" i="10"/>
  <c r="J7" i="10"/>
  <c r="I34" i="20"/>
  <c r="J44" i="20"/>
  <c r="J46" i="20" s="1"/>
  <c r="J50" i="20" s="1"/>
  <c r="J57" i="20" s="1"/>
  <c r="J36" i="20"/>
  <c r="J58" i="20" s="1"/>
  <c r="K44" i="20"/>
  <c r="K46" i="20" s="1"/>
  <c r="K50" i="20" s="1"/>
  <c r="K57" i="20" s="1"/>
  <c r="K36" i="20"/>
  <c r="K58" i="20" s="1"/>
  <c r="H7" i="10"/>
  <c r="G34" i="20"/>
  <c r="H44" i="20"/>
  <c r="H46" i="20" s="1"/>
  <c r="H50" i="20" s="1"/>
  <c r="H36" i="20"/>
  <c r="H58" i="20" s="1"/>
  <c r="O12" i="10"/>
  <c r="N12" i="10"/>
  <c r="N21" i="10"/>
  <c r="O21" i="10"/>
  <c r="C19" i="10"/>
  <c r="N13" i="10"/>
  <c r="O13" i="10"/>
  <c r="O6" i="10"/>
  <c r="N6" i="10"/>
  <c r="N25" i="10"/>
  <c r="O25" i="10"/>
  <c r="O37" i="10"/>
  <c r="N37" i="10"/>
  <c r="K7" i="10"/>
  <c r="D7" i="10"/>
  <c r="I7" i="10"/>
  <c r="L7" i="10"/>
  <c r="E7" i="10"/>
  <c r="G7" i="10"/>
  <c r="I32" i="7"/>
  <c r="I27" i="7"/>
  <c r="I14" i="10" s="1"/>
  <c r="I30" i="7"/>
  <c r="F27" i="7"/>
  <c r="F14" i="10" s="1"/>
  <c r="F30" i="7"/>
  <c r="F32" i="7"/>
  <c r="K32" i="7"/>
  <c r="K27" i="7"/>
  <c r="K14" i="10" s="1"/>
  <c r="K30" i="7"/>
  <c r="H32" i="7"/>
  <c r="H27" i="7"/>
  <c r="H14" i="10" s="1"/>
  <c r="H30" i="7"/>
  <c r="J32" i="7"/>
  <c r="J27" i="7"/>
  <c r="J14" i="10" s="1"/>
  <c r="J30" i="7"/>
  <c r="L32" i="7"/>
  <c r="L27" i="7"/>
  <c r="L14" i="10" s="1"/>
  <c r="L30" i="7"/>
  <c r="D27" i="7"/>
  <c r="D14" i="10" s="1"/>
  <c r="D30" i="7"/>
  <c r="D32" i="7"/>
  <c r="D23" i="10" s="1"/>
  <c r="E27" i="7"/>
  <c r="E14" i="10" s="1"/>
  <c r="E32" i="7"/>
  <c r="E30" i="7"/>
  <c r="C30" i="7"/>
  <c r="C27" i="7"/>
  <c r="C14" i="10" s="1"/>
  <c r="C32" i="7"/>
  <c r="G32" i="7"/>
  <c r="G27" i="7"/>
  <c r="G14" i="10" s="1"/>
  <c r="G30" i="7"/>
  <c r="N15" i="1"/>
  <c r="J14" i="11" l="1"/>
  <c r="J60" i="20"/>
  <c r="H57" i="20"/>
  <c r="H60" i="20" s="1"/>
  <c r="K60" i="20"/>
  <c r="G44" i="20"/>
  <c r="G46" i="20" s="1"/>
  <c r="G36" i="20"/>
  <c r="I44" i="20"/>
  <c r="I46" i="20" s="1"/>
  <c r="I50" i="20" s="1"/>
  <c r="I57" i="20" s="1"/>
  <c r="I36" i="20"/>
  <c r="I58" i="20" s="1"/>
  <c r="J5" i="11"/>
  <c r="I16" i="11"/>
  <c r="G23" i="10"/>
  <c r="G8" i="10"/>
  <c r="O14" i="10"/>
  <c r="N14" i="10"/>
  <c r="L23" i="10"/>
  <c r="L8" i="10"/>
  <c r="H23" i="10"/>
  <c r="H8" i="10"/>
  <c r="F23" i="10"/>
  <c r="F8" i="10"/>
  <c r="O7" i="10"/>
  <c r="N7" i="10"/>
  <c r="O19" i="10"/>
  <c r="N19" i="10"/>
  <c r="E23" i="10"/>
  <c r="E8" i="10"/>
  <c r="J23" i="10"/>
  <c r="J8" i="10"/>
  <c r="K23" i="10"/>
  <c r="K8" i="10"/>
  <c r="I23" i="10"/>
  <c r="I8" i="10"/>
  <c r="C23" i="10"/>
  <c r="D8" i="10"/>
  <c r="H37" i="7"/>
  <c r="H33" i="7"/>
  <c r="H15" i="10" s="1"/>
  <c r="K37" i="7"/>
  <c r="K33" i="7"/>
  <c r="K15" i="10" s="1"/>
  <c r="F33" i="7"/>
  <c r="F15" i="10" s="1"/>
  <c r="F37" i="7"/>
  <c r="G37" i="7"/>
  <c r="G33" i="7"/>
  <c r="G15" i="10" s="1"/>
  <c r="L37" i="7"/>
  <c r="L33" i="7"/>
  <c r="L15" i="10" s="1"/>
  <c r="C37" i="7"/>
  <c r="C33" i="7"/>
  <c r="C15" i="10" s="1"/>
  <c r="E33" i="7"/>
  <c r="E15" i="10" s="1"/>
  <c r="E37" i="7"/>
  <c r="D33" i="7"/>
  <c r="D15" i="10" s="1"/>
  <c r="D37" i="7"/>
  <c r="J33" i="7"/>
  <c r="J15" i="10" s="1"/>
  <c r="J37" i="7"/>
  <c r="I33" i="7"/>
  <c r="I15" i="10" s="1"/>
  <c r="I37" i="7"/>
  <c r="I60" i="20" l="1"/>
  <c r="N8" i="10"/>
  <c r="N4" i="11" a="1"/>
  <c r="K53" i="20"/>
  <c r="E7" i="12" s="1"/>
  <c r="K63" i="20"/>
  <c r="K62" i="20"/>
  <c r="K52" i="20"/>
  <c r="I17" i="11"/>
  <c r="J16" i="11"/>
  <c r="C41" i="7"/>
  <c r="N4" i="11"/>
  <c r="C24" i="10"/>
  <c r="N23" i="10"/>
  <c r="O23" i="10"/>
  <c r="N15" i="10"/>
  <c r="O15" i="10"/>
  <c r="O8" i="10"/>
  <c r="L38" i="7"/>
  <c r="L41" i="7"/>
  <c r="L43" i="7" s="1"/>
  <c r="L22" i="10" s="1"/>
  <c r="L24" i="10" s="1"/>
  <c r="M38" i="7"/>
  <c r="I38" i="7"/>
  <c r="I41" i="7"/>
  <c r="I43" i="7" s="1"/>
  <c r="I22" i="10" s="1"/>
  <c r="I24" i="10" s="1"/>
  <c r="J38" i="7"/>
  <c r="J41" i="7"/>
  <c r="J43" i="7" s="1"/>
  <c r="J22" i="10" s="1"/>
  <c r="J24" i="10" s="1"/>
  <c r="D38" i="7"/>
  <c r="D41" i="7"/>
  <c r="D43" i="7" s="1"/>
  <c r="D22" i="10" s="1"/>
  <c r="K38" i="7"/>
  <c r="K41" i="7"/>
  <c r="K43" i="7" s="1"/>
  <c r="K22" i="10" s="1"/>
  <c r="K24" i="10" s="1"/>
  <c r="G38" i="7"/>
  <c r="G41" i="7"/>
  <c r="G43" i="7" s="1"/>
  <c r="G22" i="10" s="1"/>
  <c r="G24" i="10" s="1"/>
  <c r="F38" i="7"/>
  <c r="F41" i="7"/>
  <c r="F43" i="7" s="1"/>
  <c r="F22" i="10" s="1"/>
  <c r="F24" i="10" s="1"/>
  <c r="E38" i="7"/>
  <c r="E41" i="7"/>
  <c r="E43" i="7" s="1"/>
  <c r="E22" i="10" s="1"/>
  <c r="E24" i="10" s="1"/>
  <c r="H38" i="7"/>
  <c r="H41" i="7"/>
  <c r="H43" i="7" s="1"/>
  <c r="H22" i="10" s="1"/>
  <c r="H24" i="10" s="1"/>
  <c r="F7" i="12" l="1"/>
  <c r="E8" i="12"/>
  <c r="O8" i="11"/>
  <c r="O10" i="11"/>
  <c r="O6" i="11"/>
  <c r="O12" i="11"/>
  <c r="O9" i="11"/>
  <c r="O11" i="11"/>
  <c r="O7" i="11"/>
  <c r="O13" i="11"/>
  <c r="I18" i="11"/>
  <c r="J18" i="11" s="1"/>
  <c r="J17" i="11"/>
  <c r="O5" i="11"/>
  <c r="N14" i="11"/>
  <c r="O14" i="11" s="1"/>
  <c r="N17" i="11"/>
  <c r="N15" i="11"/>
  <c r="N18" i="11"/>
  <c r="O18" i="11" s="1"/>
  <c r="N16" i="11"/>
  <c r="D24" i="10"/>
  <c r="N24" i="10" s="1"/>
  <c r="N22" i="10"/>
  <c r="O22" i="10"/>
  <c r="O16" i="11" l="1"/>
  <c r="G7" i="12"/>
  <c r="F8" i="12"/>
  <c r="F12" i="12" s="1"/>
  <c r="O15" i="11"/>
  <c r="O17" i="11"/>
  <c r="O24" i="10"/>
  <c r="H7" i="12" l="1"/>
  <c r="G8" i="12"/>
  <c r="G12" i="12" s="1"/>
  <c r="I7" i="12" l="1"/>
  <c r="I8" i="12" s="1"/>
  <c r="I12" i="12" s="1"/>
  <c r="H8" i="12"/>
  <c r="H12" i="12" s="1"/>
  <c r="D30" i="12" s="1"/>
  <c r="D32" i="12" s="1"/>
  <c r="F20" i="12" l="1"/>
  <c r="D37" i="12"/>
  <c r="D41" i="12" l="1"/>
  <c r="D44" i="12" s="1"/>
  <c r="D39" i="12"/>
  <c r="F2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<sst xmlns="http://schemas.openxmlformats.org/spreadsheetml/2006/main" count="768" uniqueCount="553">
  <si>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</si>
  <si>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</si>
  <si>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</si>
  <si>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</si>
  <si>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</si>
  <si>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</si>
  <si>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</si>
  <si>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</si>
  <si>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</si>
  <si>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</si>
  <si>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</si>
  <si>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</si>
  <si>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</si>
  <si>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</si>
  <si>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</si>
  <si>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</si>
  <si>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</si>
  <si>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</si>
  <si>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</si>
  <si>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</si>
  <si>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</si>
  <si>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</si>
  <si>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</si>
  <si>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</si>
  <si>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</si>
  <si>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</si>
  <si>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</si>
  <si>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</si>
  <si>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</si>
  <si>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</si>
  <si>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</si>
  <si>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</si>
  <si>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</si>
  <si>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</si>
  <si>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</si>
  <si>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</si>
  <si>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</si>
  <si>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</si>
  <si>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</si>
  <si>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</si>
  <si>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</si>
  <si>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</si>
  <si>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</si>
  <si>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</si>
  <si>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</si>
  <si>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</si>
  <si>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</si>
  <si>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</si>
  <si>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</si>
  <si>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</si>
  <si>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</si>
  <si>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</si>
  <si>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</si>
  <si>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</si>
  <si>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AVENUE SUPERMARTS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</si>
  <si>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</si>
  <si>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</si>
  <si>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</si>
  <si>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</si>
  <si>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</si>
  <si>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</si>
  <si>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</si>
  <si>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</si>
  <si>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</si>
  <si>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</si>
  <si>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</si>
  <si>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</si>
  <si>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</si>
  <si>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</si>
  <si>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</si>
  <si>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</si>
  <si>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</si>
  <si>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</si>
  <si>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</si>
  <si>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</si>
  <si>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</si>
  <si>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</si>
  <si>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</si>
  <si>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</si>
  <si>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</si>
  <si>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</si>
  <si>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</si>
  <si>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</si>
  <si>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</si>
  <si>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</si>
  <si>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-</t>
  </si>
  <si>
    <t>Cost of Goods Sold</t>
  </si>
  <si>
    <t>COGS % Sales</t>
  </si>
  <si>
    <t>Sales Growth %</t>
  </si>
  <si>
    <t>Gross Profit</t>
  </si>
  <si>
    <t>Selling &amp; Genenral Expenses</t>
  </si>
  <si>
    <t>S&amp;G Exp % Sales</t>
  </si>
  <si>
    <t>EBITDA</t>
  </si>
  <si>
    <t>EBITDA % Sales</t>
  </si>
  <si>
    <t>Interest % Sales</t>
  </si>
  <si>
    <t>Depericiation</t>
  </si>
  <si>
    <t>Depericiation % Sales</t>
  </si>
  <si>
    <t>Gross Margin</t>
  </si>
  <si>
    <t>Earnings Before Tax</t>
  </si>
  <si>
    <t xml:space="preserve">EBT % Sales </t>
  </si>
  <si>
    <t xml:space="preserve">Tax </t>
  </si>
  <si>
    <t>Effective Tax Rate</t>
  </si>
  <si>
    <t>Net Profit</t>
  </si>
  <si>
    <t>Net Margins</t>
  </si>
  <si>
    <t>No of Equity Shares</t>
  </si>
  <si>
    <t xml:space="preserve">EPS </t>
  </si>
  <si>
    <t>Dividend per share</t>
  </si>
  <si>
    <t>EPS Growth %</t>
  </si>
  <si>
    <t>Dividend payout ratio</t>
  </si>
  <si>
    <t>Retained Earnings</t>
  </si>
  <si>
    <t>Balance Sheet</t>
  </si>
  <si>
    <t>Total Liability</t>
  </si>
  <si>
    <t>Fixed Assets Net Block</t>
  </si>
  <si>
    <t>Total Non Current Assets</t>
  </si>
  <si>
    <t>Total Current Assets</t>
  </si>
  <si>
    <t>Total Assets</t>
  </si>
  <si>
    <t xml:space="preserve">Check 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</si>
  <si>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</si>
  <si>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</si>
  <si>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</si>
  <si>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</si>
  <si>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</si>
  <si>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</si>
  <si>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</si>
  <si>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</si>
  <si>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</si>
  <si>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</si>
  <si>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</si>
  <si>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</si>
  <si>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</si>
  <si>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</si>
  <si>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</si>
  <si>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</si>
  <si>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</si>
  <si>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</si>
  <si>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</si>
  <si>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</si>
  <si>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</si>
  <si>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</si>
  <si>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</si>
  <si>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</si>
  <si>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</si>
  <si>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</si>
  <si>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</si>
  <si>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</si>
  <si>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</si>
  <si>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Operating Activities</t>
  </si>
  <si>
    <t>Cash From operating Activities</t>
  </si>
  <si>
    <t>Investing Activites</t>
  </si>
  <si>
    <t>Cash form Investing Activites</t>
  </si>
  <si>
    <t>Financing Activties</t>
  </si>
  <si>
    <t>Cash From Financing Activities</t>
  </si>
  <si>
    <t>Net Cash Flows</t>
  </si>
  <si>
    <t>SalesGrowth</t>
  </si>
  <si>
    <t>EBITDA growth</t>
  </si>
  <si>
    <t>EBIT Growth</t>
  </si>
  <si>
    <t>Net Profit Growth</t>
  </si>
  <si>
    <t>Dividend Growth</t>
  </si>
  <si>
    <t xml:space="preserve">Gross Margin </t>
  </si>
  <si>
    <t>EBITDA Margin</t>
  </si>
  <si>
    <t>EBIT Margin</t>
  </si>
  <si>
    <t>EBT Margin</t>
  </si>
  <si>
    <t>Net Profit Margin</t>
  </si>
  <si>
    <t>Sales Expenses % Sales</t>
  </si>
  <si>
    <t>Depericiation % sales</t>
  </si>
  <si>
    <t>Operating Income % Sales</t>
  </si>
  <si>
    <t>Retained Earnings%</t>
  </si>
  <si>
    <t>Return on Capital Employed</t>
  </si>
  <si>
    <t>Return on Equity %</t>
  </si>
  <si>
    <t>Self Sustainedd Growth Rate</t>
  </si>
  <si>
    <t>Interst Coverage Ratio</t>
  </si>
  <si>
    <t>Debtor Turnover Ratio</t>
  </si>
  <si>
    <t>Creditor Turnover Ratio</t>
  </si>
  <si>
    <t>Inventory Turnover Ratio</t>
  </si>
  <si>
    <t>Fixed asset Turnover</t>
  </si>
  <si>
    <t>Debtor days</t>
  </si>
  <si>
    <t>Payable Days</t>
  </si>
  <si>
    <t>Inventory Days</t>
  </si>
  <si>
    <t>Cash Conversion Days</t>
  </si>
  <si>
    <t>CFO/Sales</t>
  </si>
  <si>
    <t>CFO/Total Asssets</t>
  </si>
  <si>
    <t>CFO/Total Debt</t>
  </si>
  <si>
    <t>(in days)</t>
  </si>
  <si>
    <t>Capital Turnover Ratio(in days)</t>
  </si>
  <si>
    <t>Mean</t>
  </si>
  <si>
    <t>Median</t>
  </si>
  <si>
    <t>Trend</t>
  </si>
  <si>
    <t>Year</t>
  </si>
  <si>
    <t xml:space="preserve">Sales </t>
  </si>
  <si>
    <t>Year Growth</t>
  </si>
  <si>
    <t>Weighted Average Cot of Capital</t>
  </si>
  <si>
    <t>All figures are in INR unless stated otherwise</t>
  </si>
  <si>
    <t>Peer Comps</t>
  </si>
  <si>
    <t>Country</t>
  </si>
  <si>
    <t xml:space="preserve">Total Debt </t>
  </si>
  <si>
    <t xml:space="preserve">Total Equity </t>
  </si>
  <si>
    <t>Tax Rate</t>
  </si>
  <si>
    <t>Debt/</t>
  </si>
  <si>
    <t>Equity</t>
  </si>
  <si>
    <t xml:space="preserve">Debt / </t>
  </si>
  <si>
    <t xml:space="preserve">Unlevered </t>
  </si>
  <si>
    <t>Levered</t>
  </si>
  <si>
    <t>Capital</t>
  </si>
  <si>
    <t>India</t>
  </si>
  <si>
    <t>Average</t>
  </si>
  <si>
    <t>Cost of Debt</t>
  </si>
  <si>
    <t>Pre-Tax Cost of Debt</t>
  </si>
  <si>
    <t>Post Tax Cost of Debt</t>
  </si>
  <si>
    <t>Cost of Equity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</si>
  <si>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</si>
  <si>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</si>
  <si>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</si>
  <si>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Capital Structure</t>
  </si>
  <si>
    <t>Current</t>
  </si>
  <si>
    <t>Target</t>
  </si>
  <si>
    <t>Total Debt</t>
  </si>
  <si>
    <t>Total Capital</t>
  </si>
  <si>
    <t>Levered Beta</t>
  </si>
  <si>
    <t>Comps Median Unlevered Data</t>
  </si>
  <si>
    <t>Debt / Equity</t>
  </si>
  <si>
    <t>Weighted Average Cost of Capital</t>
  </si>
  <si>
    <t>Target Debt / Equity</t>
  </si>
  <si>
    <t>Notes:</t>
  </si>
  <si>
    <t>1.  Tax rate considered as Marginal Tax rate for the Country</t>
  </si>
  <si>
    <t>2.  Levered beta is based on 5 year monthly data</t>
  </si>
  <si>
    <t>3.  Unlevered Beta = Levered Beta/(1+(1-Tax Rate)*Debt/Equity)</t>
  </si>
  <si>
    <t>4. Levered Beta = Unlevered Beta/(1+(1-Tax Rate)*Debt/Equity)</t>
  </si>
  <si>
    <r>
      <t xml:space="preserve">Tax Rate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</si>
  <si>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 xml:space="preserve">Beta 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</si>
  <si>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</si>
  <si>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Date</t>
  </si>
  <si>
    <t>Adj Close </t>
  </si>
  <si>
    <t>Closing  Price</t>
  </si>
  <si>
    <t>Avenue Supermart Weekly returns</t>
  </si>
  <si>
    <t xml:space="preserve"> Return</t>
  </si>
  <si>
    <t>Closing Price</t>
  </si>
  <si>
    <t>NIFTY Returns</t>
  </si>
  <si>
    <t xml:space="preserve">Beta 1 </t>
  </si>
  <si>
    <t>Beta 2</t>
  </si>
  <si>
    <t>Beta 3</t>
  </si>
  <si>
    <t>Beta Drifting</t>
  </si>
  <si>
    <t>Raw Beta Weight</t>
  </si>
  <si>
    <t>SUMMARY OUTPUT</t>
  </si>
  <si>
    <t>Market Beta Weight</t>
  </si>
  <si>
    <t>Regression Statistics</t>
  </si>
  <si>
    <t>Adjusted Beta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</si>
  <si>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</si>
  <si>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</si>
  <si>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</si>
  <si>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</si>
  <si>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</si>
  <si>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</si>
  <si>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</si>
  <si>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</si>
  <si>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</si>
  <si>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</si>
  <si>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</si>
  <si>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</si>
  <si>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</si>
  <si>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</si>
  <si>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</si>
  <si>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</si>
  <si>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</si>
  <si>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</si>
  <si>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</si>
  <si>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</si>
  <si>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</si>
  <si>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</si>
  <si>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Levererd Raw Beta</t>
  </si>
  <si>
    <t>Market Beta</t>
  </si>
  <si>
    <t>Regression Beta - 2 Years Weekly</t>
  </si>
  <si>
    <t xml:space="preserve">S.No. </t>
  </si>
  <si>
    <t xml:space="preserve">Name </t>
  </si>
  <si>
    <t xml:space="preserve">CMP Rs. </t>
  </si>
  <si>
    <t xml:space="preserve">Mar Cap Rs.Cr. </t>
  </si>
  <si>
    <t xml:space="preserve">Debt Rs.Cr. </t>
  </si>
  <si>
    <t>Debt / Eq</t>
  </si>
  <si>
    <t xml:space="preserve">Avenue Super. </t>
  </si>
  <si>
    <t xml:space="preserve">Trent </t>
  </si>
  <si>
    <t xml:space="preserve">Aditya Bir. Fas. </t>
  </si>
  <si>
    <t xml:space="preserve">Brainbees Solut. </t>
  </si>
  <si>
    <t xml:space="preserve">Redtape </t>
  </si>
  <si>
    <t>Equity Capital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</si>
  <si>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</si>
  <si>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</si>
  <si>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</si>
  <si>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</si>
  <si>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</si>
  <si>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</si>
  <si>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CWIP</t>
  </si>
  <si>
    <t>Other Assets -</t>
  </si>
  <si>
    <t>Inventories</t>
  </si>
  <si>
    <t>Cash Equivalents</t>
  </si>
  <si>
    <t>Loans n Advances</t>
  </si>
  <si>
    <t>Other asset items</t>
  </si>
  <si>
    <t>Particulars</t>
  </si>
  <si>
    <t>Trade receivables </t>
  </si>
  <si>
    <t>Long term Borrowings</t>
  </si>
  <si>
    <t>Short term Borrowings</t>
  </si>
  <si>
    <t>Lease Liabilities</t>
  </si>
  <si>
    <t>Other Borrowings</t>
  </si>
  <si>
    <t>Land</t>
  </si>
  <si>
    <t>Building</t>
  </si>
  <si>
    <t>Plant Machinery</t>
  </si>
  <si>
    <t>Equipments</t>
  </si>
  <si>
    <t>Furniture n fittings</t>
  </si>
  <si>
    <t>Borrowings -</t>
  </si>
  <si>
    <t>Fixed Assets -</t>
  </si>
  <si>
    <t>Vehicles</t>
  </si>
  <si>
    <t>Intangible Assets</t>
  </si>
  <si>
    <t>Other fixed assets</t>
  </si>
  <si>
    <t>Gross Block</t>
  </si>
  <si>
    <t>Accumulated Depreciation</t>
  </si>
  <si>
    <t>Receivables over 6m</t>
  </si>
  <si>
    <t>Receivables under 6m</t>
  </si>
  <si>
    <t>Prov for Doubtful</t>
  </si>
  <si>
    <t>Reinvestment</t>
  </si>
  <si>
    <t>Calculation of ROIC</t>
  </si>
  <si>
    <t>Current Assets</t>
  </si>
  <si>
    <t>Total Currrent Assets</t>
  </si>
  <si>
    <t>Total Currrent Liabilities</t>
  </si>
  <si>
    <t>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</si>
  <si>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</si>
  <si>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</si>
  <si>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</si>
  <si>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</si>
  <si>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</si>
  <si>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</si>
  <si>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</si>
  <si>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Apex</t>
  </si>
  <si>
    <t>Change in Working Capital</t>
  </si>
  <si>
    <t>Marginal Tax Rate</t>
  </si>
  <si>
    <t>Reinvestment Rate</t>
  </si>
  <si>
    <t>EBIT(1-T)</t>
  </si>
  <si>
    <t>4 Year Average</t>
  </si>
  <si>
    <t>4 Year Median</t>
  </si>
  <si>
    <t>Calculation of Growh Rate</t>
  </si>
  <si>
    <t>Intrinsic Growth</t>
  </si>
  <si>
    <t>Annual</t>
  </si>
  <si>
    <t>Average Return</t>
  </si>
  <si>
    <t>Dividend Yield</t>
  </si>
  <si>
    <r>
      <t xml:space="preserve">1.27% </t>
    </r>
    <r>
      <rPr>
        <vertAlign val="superscript"/>
        <sz val="11"/>
        <rFont val="Calibri"/>
        <family val="2"/>
        <scheme val="minor"/>
      </rPr>
      <t>1</t>
    </r>
  </si>
  <si>
    <t>Total Market Return</t>
  </si>
  <si>
    <t>WACC</t>
  </si>
  <si>
    <t>Equity Weight</t>
  </si>
  <si>
    <t>Debt Weight</t>
  </si>
  <si>
    <t>Calculation of PV of FCFF</t>
  </si>
  <si>
    <t>Tax  Rate</t>
  </si>
  <si>
    <t>Less: Reinvestment Rate</t>
  </si>
  <si>
    <t>Free Cash Flow to Firm (FCFF)</t>
  </si>
  <si>
    <t>Mid Year Convention</t>
  </si>
  <si>
    <t>Disounting factor</t>
  </si>
  <si>
    <t>PV of FCFF</t>
  </si>
  <si>
    <t xml:space="preserve">Expected Growth </t>
  </si>
  <si>
    <t>Terminal Growth</t>
  </si>
  <si>
    <t>Calculation of Terminal Value</t>
  </si>
  <si>
    <t>FCFF (n+1)</t>
  </si>
  <si>
    <t>Terminal Growth Rate</t>
  </si>
  <si>
    <t>Terminal Value</t>
  </si>
  <si>
    <t>Value of Operating Assets</t>
  </si>
  <si>
    <t>Add: Cash</t>
  </si>
  <si>
    <t>Less: Debt</t>
  </si>
  <si>
    <t>Calculation of Equity Value per Share</t>
  </si>
  <si>
    <t>Value of Equity</t>
  </si>
  <si>
    <t>No of Share</t>
  </si>
  <si>
    <t>Equity Value per Share</t>
  </si>
  <si>
    <t>Share Price</t>
  </si>
  <si>
    <t>Discount/Premium</t>
  </si>
  <si>
    <t>Security Analysis</t>
  </si>
  <si>
    <t>Football Fiel Analysis</t>
  </si>
  <si>
    <t>Comps</t>
  </si>
  <si>
    <t>DCF Bear</t>
  </si>
  <si>
    <t>DCF Base</t>
  </si>
  <si>
    <t>DCF Bull</t>
  </si>
  <si>
    <t>52W H/L</t>
  </si>
  <si>
    <t>OpenLow</t>
  </si>
  <si>
    <t>Low</t>
  </si>
  <si>
    <t>OpenHigh</t>
  </si>
  <si>
    <t>High</t>
  </si>
  <si>
    <t>c</t>
  </si>
  <si>
    <t xml:space="preserve">No. Eq. Shares Cr. </t>
  </si>
  <si>
    <t>Market Ca. Cr.</t>
  </si>
  <si>
    <t xml:space="preserve">Cash End Rs.Cr. </t>
  </si>
  <si>
    <t>Net Debt</t>
  </si>
  <si>
    <t>EV</t>
  </si>
  <si>
    <t xml:space="preserve">EV Rs.Cr. </t>
  </si>
  <si>
    <t xml:space="preserve">Sales Rs.Cr. </t>
  </si>
  <si>
    <t xml:space="preserve">NP 12M Rs.Cr. </t>
  </si>
  <si>
    <t xml:space="preserve">NTPC </t>
  </si>
  <si>
    <t xml:space="preserve">Power Grid Corpn </t>
  </si>
  <si>
    <t xml:space="preserve">Adani Power </t>
  </si>
  <si>
    <t xml:space="preserve">Adani Green </t>
  </si>
  <si>
    <t xml:space="preserve">Tata Power Co. </t>
  </si>
  <si>
    <t xml:space="preserve">NTPC Green </t>
  </si>
  <si>
    <t xml:space="preserve">Adani Energy Sol </t>
  </si>
  <si>
    <t xml:space="preserve">JSW Energy </t>
  </si>
  <si>
    <t xml:space="preserve">NHPC Ltd </t>
  </si>
  <si>
    <t xml:space="preserve">Torrent Power </t>
  </si>
  <si>
    <t xml:space="preserve">SJVN </t>
  </si>
  <si>
    <t xml:space="preserve">NLC India </t>
  </si>
  <si>
    <t xml:space="preserve">CESC </t>
  </si>
  <si>
    <t xml:space="preserve">Reliance Power </t>
  </si>
  <si>
    <t xml:space="preserve">Inox Wind Energy </t>
  </si>
  <si>
    <t xml:space="preserve">JP Power Ven. </t>
  </si>
  <si>
    <t xml:space="preserve">RattanIndia Pow. </t>
  </si>
  <si>
    <t xml:space="preserve">BF Utilities </t>
  </si>
  <si>
    <t xml:space="preserve">Guj Inds. Power </t>
  </si>
  <si>
    <t xml:space="preserve">Orient Green </t>
  </si>
  <si>
    <t xml:space="preserve">India Power Corp </t>
  </si>
  <si>
    <t xml:space="preserve">Mac Charles(I) </t>
  </si>
  <si>
    <t xml:space="preserve">Indowind Energy </t>
  </si>
  <si>
    <t xml:space="preserve">Bhagyanagar Ind </t>
  </si>
  <si>
    <t xml:space="preserve">Surana Telecom </t>
  </si>
  <si>
    <t xml:space="preserve">Waa Solar </t>
  </si>
  <si>
    <t xml:space="preserve">Energy Devl.Co. </t>
  </si>
  <si>
    <t xml:space="preserve">Karma Energy Ltd </t>
  </si>
  <si>
    <t xml:space="preserve">Sri KPR Inds. </t>
  </si>
  <si>
    <t xml:space="preserve">Gita Renewable </t>
  </si>
  <si>
    <t>Amount in crores</t>
  </si>
  <si>
    <t>Comparable Company Valuation</t>
  </si>
  <si>
    <t>in crores</t>
  </si>
  <si>
    <t>Market Data</t>
  </si>
  <si>
    <t>Financials</t>
  </si>
  <si>
    <t>Valuation</t>
  </si>
  <si>
    <t>Company</t>
  </si>
  <si>
    <t>Ticker</t>
  </si>
  <si>
    <t>Shares Outstanding</t>
  </si>
  <si>
    <t>Equity Value</t>
  </si>
  <si>
    <t>Enterprise Value</t>
  </si>
  <si>
    <t>Revenue</t>
  </si>
  <si>
    <t xml:space="preserve">EBITDA </t>
  </si>
  <si>
    <t>Net Income</t>
  </si>
  <si>
    <t>EV/Revenue</t>
  </si>
  <si>
    <t>Ev/EBITDA</t>
  </si>
  <si>
    <t>P/E</t>
  </si>
  <si>
    <t>75th Percntile</t>
  </si>
  <si>
    <t>25th percentile</t>
  </si>
  <si>
    <t>Cipla Comparable Company Valuation</t>
  </si>
  <si>
    <t>Implied Enterprise Value</t>
  </si>
  <si>
    <t>Implied Market Value</t>
  </si>
  <si>
    <t>Implie Value Per share</t>
  </si>
  <si>
    <t>Source: The Valuation School, Screener.in</t>
  </si>
  <si>
    <t>Value of Share</t>
  </si>
  <si>
    <t>Total Market (without financials)</t>
  </si>
  <si>
    <t>Total Market</t>
  </si>
  <si>
    <t>Utility (Water)</t>
  </si>
  <si>
    <t>NA</t>
  </si>
  <si>
    <t>Utility (General)</t>
  </si>
  <si>
    <t>Trucking</t>
  </si>
  <si>
    <t>Transportation (Railroads)</t>
  </si>
  <si>
    <t>Transportation</t>
  </si>
  <si>
    <t>Tobacco</t>
  </si>
  <si>
    <t>Telecom. Services</t>
  </si>
  <si>
    <t>Telecom. Equipment</t>
  </si>
  <si>
    <t>Telecom (Wireless)</t>
  </si>
  <si>
    <t>Steel</t>
  </si>
  <si>
    <t>Software (System &amp; Application)</t>
  </si>
  <si>
    <t>Software (Internet)</t>
  </si>
  <si>
    <t>Software (Entertainment)</t>
  </si>
  <si>
    <t>Shoe</t>
  </si>
  <si>
    <t>Shipbuilding &amp; Marine</t>
  </si>
  <si>
    <t>Semiconductor Equip</t>
  </si>
  <si>
    <t>Semiconductor</t>
  </si>
  <si>
    <t>Rubber&amp; Tires</t>
  </si>
  <si>
    <t>Retail (Special Lines)</t>
  </si>
  <si>
    <t>Retail (Online)</t>
  </si>
  <si>
    <t>Retail (Grocery and Food)</t>
  </si>
  <si>
    <t>Retail (General)</t>
  </si>
  <si>
    <t>Retail (Distributors)</t>
  </si>
  <si>
    <t>Retail (Building Supply)</t>
  </si>
  <si>
    <t>Retail (Automotive)</t>
  </si>
  <si>
    <t>Restaurant/Dining</t>
  </si>
  <si>
    <t>Reinsurance</t>
  </si>
  <si>
    <t>Recreation</t>
  </si>
  <si>
    <t>Real Estate (Operations &amp; Services)</t>
  </si>
  <si>
    <t>Real Estate (General/Diversified)</t>
  </si>
  <si>
    <t>Real Estate (Development)</t>
  </si>
  <si>
    <t>R.E.I.T.</t>
  </si>
  <si>
    <t>Publishing &amp; Newspapers</t>
  </si>
  <si>
    <t>Precious Metals</t>
  </si>
  <si>
    <t>Power</t>
  </si>
  <si>
    <t>Paper/Forest Products</t>
  </si>
  <si>
    <t>Packaging &amp; Container</t>
  </si>
  <si>
    <t>Oilfield Svcs/Equip.</t>
  </si>
  <si>
    <t>Oil/Gas Distribution</t>
  </si>
  <si>
    <t>Oil/Gas (Production and Exploration)</t>
  </si>
  <si>
    <t>Oil/Gas (Integrated)</t>
  </si>
  <si>
    <t>Office Equipment &amp; Services</t>
  </si>
  <si>
    <t>Metals &amp; Mining</t>
  </si>
  <si>
    <t>Machinery</t>
  </si>
  <si>
    <t>Investments &amp; Asset Management</t>
  </si>
  <si>
    <t>Insurance (Prop/Cas.)</t>
  </si>
  <si>
    <t>Insurance (Life)</t>
  </si>
  <si>
    <t>Insurance (General)</t>
  </si>
  <si>
    <t>Information Services</t>
  </si>
  <si>
    <t>Household Products</t>
  </si>
  <si>
    <t>Hotel/Gaming</t>
  </si>
  <si>
    <t>Hospitals/Healthcare Facilities</t>
  </si>
  <si>
    <t>Homebuilding</t>
  </si>
  <si>
    <t>Heathcare Information and Technology</t>
  </si>
  <si>
    <t>Healthcare Support Services</t>
  </si>
  <si>
    <t>Healthcare Products</t>
  </si>
  <si>
    <t>Green &amp; Renewable Energy</t>
  </si>
  <si>
    <t>Furn/Home Furnishings</t>
  </si>
  <si>
    <t>Food Wholesalers</t>
  </si>
  <si>
    <t>Food Processing</t>
  </si>
  <si>
    <t>Financial Svcs. (Non-bank &amp; Insurance)</t>
  </si>
  <si>
    <t>Farming/Agriculture</t>
  </si>
  <si>
    <t>Environmental &amp; Waste Services</t>
  </si>
  <si>
    <t>Entertainment</t>
  </si>
  <si>
    <t>Engineering/Construction</t>
  </si>
  <si>
    <t>Electronics (General)</t>
  </si>
  <si>
    <t>Electronics (Consumer &amp; Office)</t>
  </si>
  <si>
    <t>Electrical Equipment</t>
  </si>
  <si>
    <t>Education</t>
  </si>
  <si>
    <t>Drugs (Pharmaceutical)</t>
  </si>
  <si>
    <t>Drugs (Biotechnology)</t>
  </si>
  <si>
    <t>Diversified</t>
  </si>
  <si>
    <t>Construction Supplies</t>
  </si>
  <si>
    <t>Computers/Peripherals</t>
  </si>
  <si>
    <t>Computer Services</t>
  </si>
  <si>
    <t>Coal &amp; Related Energy</t>
  </si>
  <si>
    <t>Chemical (Specialty)</t>
  </si>
  <si>
    <t>Chemical (Diversified)</t>
  </si>
  <si>
    <t>Chemical (Basic)</t>
  </si>
  <si>
    <t>Cable TV</t>
  </si>
  <si>
    <t>Business &amp; Consumer Services</t>
  </si>
  <si>
    <t>Building Materials</t>
  </si>
  <si>
    <t>Brokerage &amp; Investment Banking</t>
  </si>
  <si>
    <t>Broadcasting</t>
  </si>
  <si>
    <t>Beverage (Soft)</t>
  </si>
  <si>
    <t>Beverage (Alcoholic)</t>
  </si>
  <si>
    <t>Banks (Regional)</t>
  </si>
  <si>
    <t>Bank (Money Center)</t>
  </si>
  <si>
    <t>Auto Parts</t>
  </si>
  <si>
    <t>Auto &amp; Truck</t>
  </si>
  <si>
    <t>Apparel</t>
  </si>
  <si>
    <t>Air Transport</t>
  </si>
  <si>
    <t>Aerospace/Defense</t>
  </si>
  <si>
    <t>Advertising</t>
  </si>
  <si>
    <t>Expected EBIT Growth</t>
  </si>
  <si>
    <t>Sales/ Invested Capital</t>
  </si>
  <si>
    <t>Net Cap Ex/ EBIT (1-t)</t>
  </si>
  <si>
    <t>Net Cap Ex/Sales</t>
  </si>
  <si>
    <t xml:space="preserve">Net R&amp;D </t>
  </si>
  <si>
    <t>Acquisitions</t>
  </si>
  <si>
    <t>CapEx/Deprecn</t>
  </si>
  <si>
    <t xml:space="preserve">Depreciation &amp; Amort </t>
  </si>
  <si>
    <t>Capital Expenditures</t>
  </si>
  <si>
    <t>Number of Firms</t>
  </si>
  <si>
    <t>Industry Name</t>
  </si>
  <si>
    <t>Figures in $mn</t>
  </si>
  <si>
    <t>India - Sector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</si>
</sst>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7" formatCode="&quot;₹&quot;\ #,##0.00;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;&quot;₹&quot;\ \-\(#,##0.00\)"/>
    <numFmt numFmtId="167" formatCode="&quot;₹&quot;\ #,##0.00;&quot;₹&quot;\ \-\(#,##0.00\)\-"/>
    <numFmt numFmtId="168" formatCode="&quot;₹&quot;\ #,##0.00;&quot;₹&quot;\ \-\(#,##0.00\);\-"/>
    <numFmt numFmtId="169" formatCode="0.00&quot;x&quot;"/>
    <numFmt numFmtId="170" formatCode="0&quot;E&quot;"/>
    <numFmt numFmtId="171" formatCode="yyyy&quot;A&quot;"/>
    <numFmt numFmtId="172" formatCode="yyyy&quot;E&quot;"/>
    <numFmt numFmtId="173" formatCode="#,##0.00;\ \-#,##0.00;\-"/>
    <numFmt numFmtId="174" formatCode="#,##0.0"/>
    <numFmt numFmtId="175" formatCode="#,##0.0;\(#,##0.0\);\-"/>
    <numFmt numFmtId="176" formatCode="0.000"/>
    <numFmt numFmtId="177" formatCode="0.00\x"/>
    <numFmt numFmtId="178" formatCode="#,##0.0\x"/>
    <numFmt numFmtId="179" formatCode="&quot;$&quot;#,##0.00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505050"/>
      <name val="Calibri"/>
      <family val="2"/>
      <scheme val="minor"/>
    </font>
    <font>
      <i/>
      <sz val="11"/>
      <color rgb="FF747474"/>
      <name val="Calibri"/>
      <family val="2"/>
      <scheme val="minor"/>
    </font>
    <font>
      <u/>
      <sz val="11"/>
      <color theme="5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000066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rgb="FF0275D8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232A31"/>
      <name val="Arial"/>
      <family val="2"/>
    </font>
    <font>
      <sz val="11"/>
      <color rgb="FF232A3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1"/>
      <color rgb="FF22222F"/>
      <name val="Arial"/>
      <family val="2"/>
    </font>
    <font>
      <b/>
      <sz val="11"/>
      <color theme="0"/>
      <name val="Arial"/>
      <family val="2"/>
    </font>
    <font>
      <sz val="11"/>
      <color theme="7" tint="-0.249977111117893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  <font>
      <b/>
      <sz val="11"/>
      <color theme="1"/>
      <name val="Calibri "/>
    </font>
    <font>
      <sz val="12"/>
      <color theme="1"/>
      <name val="Calibri"/>
      <family val="2"/>
      <scheme val="minor"/>
    </font>
    <font>
      <b/>
      <sz val="11"/>
      <name val="Calibri "/>
    </font>
    <font>
      <sz val="11"/>
      <color theme="1"/>
      <name val="Calibri "/>
    </font>
    <font>
      <sz val="11"/>
      <name val="Calibri "/>
    </font>
    <font>
      <b/>
      <sz val="11"/>
      <color theme="0"/>
      <name val="Calibri "/>
    </font>
    <font>
      <b/>
      <sz val="16"/>
      <color theme="1"/>
      <name val="calibri"/>
      <family val="2"/>
    </font>
    <font>
      <i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mediumDashed">
        <color theme="7" tint="-0.499984740745262"/>
      </top>
      <bottom/>
      <diagonal/>
    </border>
    <border>
      <left/>
      <right/>
      <top/>
      <bottom style="mediumDashed">
        <color theme="7" tint="-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/>
      <bottom style="thin">
        <color theme="7" tint="-0.4999847407452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theme="0"/>
      </bottom>
      <diagonal/>
    </border>
    <border>
      <left/>
      <right/>
      <top style="hair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</borders>
  <cellStyleXfs count="11">
    <xf numFmtId="0" fontId="0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3" fillId="0" borderId="0"/>
  </cellStyleXfs>
  <cellXfs count="296">
    <xf numFmtId="0" fontId="0" fillId="0" borderId="0" xfId="0"/>
    <xf numFmtId="43" fontId="3" fillId="0" borderId="0" xfId="1" applyFont="1" applyBorder="1"/>
    <xf numFmtId="0" fontId="3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5" fillId="0" borderId="0" xfId="1" applyFont="1" applyBorder="1"/>
    <xf numFmtId="9" fontId="5" fillId="0" borderId="0" xfId="1" applyNumberFormat="1" applyFont="1" applyBorder="1"/>
    <xf numFmtId="9" fontId="3" fillId="0" borderId="0" xfId="6" applyFont="1" applyBorder="1"/>
    <xf numFmtId="0" fontId="4" fillId="5" borderId="0" xfId="0" applyFont="1" applyFill="1"/>
    <xf numFmtId="165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0" fontId="3" fillId="0" borderId="0" xfId="0" applyNumberFormat="1" applyFont="1"/>
    <xf numFmtId="165" fontId="4" fillId="5" borderId="0" xfId="1" applyNumberFormat="1" applyFont="1" applyFill="1" applyBorder="1"/>
    <xf numFmtId="165" fontId="9" fillId="0" borderId="0" xfId="1" applyNumberFormat="1" applyFont="1" applyFill="1" applyBorder="1"/>
    <xf numFmtId="0" fontId="0" fillId="0" borderId="0" xfId="0" applyAlignment="1">
      <alignment horizontal="left"/>
    </xf>
    <xf numFmtId="0" fontId="9" fillId="0" borderId="0" xfId="0" applyFont="1"/>
    <xf numFmtId="164" fontId="0" fillId="0" borderId="0" xfId="1" applyNumberFormat="1" applyFont="1" applyBorder="1"/>
    <xf numFmtId="166" fontId="0" fillId="0" borderId="0" xfId="0" applyNumberFormat="1"/>
    <xf numFmtId="167" fontId="0" fillId="0" borderId="0" xfId="0" applyNumberFormat="1"/>
    <xf numFmtId="10" fontId="0" fillId="0" borderId="0" xfId="6" applyNumberFormat="1" applyFont="1"/>
    <xf numFmtId="168" fontId="0" fillId="0" borderId="0" xfId="0" applyNumberFormat="1"/>
    <xf numFmtId="0" fontId="10" fillId="0" borderId="0" xfId="0" applyFont="1"/>
    <xf numFmtId="9" fontId="10" fillId="0" borderId="0" xfId="6" applyFont="1"/>
    <xf numFmtId="7" fontId="0" fillId="0" borderId="0" xfId="0" applyNumberFormat="1"/>
    <xf numFmtId="10" fontId="10" fillId="0" borderId="0" xfId="6" applyNumberFormat="1" applyFont="1"/>
    <xf numFmtId="10" fontId="10" fillId="0" borderId="0" xfId="0" applyNumberFormat="1" applyFont="1"/>
    <xf numFmtId="0" fontId="3" fillId="7" borderId="0" xfId="0" applyFont="1" applyFill="1"/>
    <xf numFmtId="0" fontId="0" fillId="7" borderId="0" xfId="0" applyFill="1"/>
    <xf numFmtId="168" fontId="3" fillId="0" borderId="0" xfId="0" applyNumberFormat="1" applyFont="1"/>
    <xf numFmtId="43" fontId="11" fillId="2" borderId="0" xfId="3" applyNumberFormat="1" applyFont="1" applyBorder="1"/>
    <xf numFmtId="43" fontId="11" fillId="3" borderId="0" xfId="4" applyNumberFormat="1" applyFont="1" applyBorder="1"/>
    <xf numFmtId="0" fontId="12" fillId="0" borderId="0" xfId="0" applyFont="1"/>
    <xf numFmtId="10" fontId="13" fillId="0" borderId="0" xfId="6" applyNumberFormat="1" applyFont="1"/>
    <xf numFmtId="17" fontId="0" fillId="0" borderId="0" xfId="0" applyNumberFormat="1"/>
    <xf numFmtId="3" fontId="0" fillId="0" borderId="0" xfId="0" applyNumberFormat="1"/>
    <xf numFmtId="0" fontId="3" fillId="0" borderId="1" xfId="0" applyFont="1" applyBorder="1"/>
    <xf numFmtId="168" fontId="3" fillId="0" borderId="1" xfId="0" applyNumberFormat="1" applyFont="1" applyBorder="1"/>
    <xf numFmtId="7" fontId="3" fillId="0" borderId="1" xfId="0" applyNumberFormat="1" applyFont="1" applyBorder="1"/>
    <xf numFmtId="43" fontId="3" fillId="0" borderId="1" xfId="1" applyFont="1" applyBorder="1"/>
    <xf numFmtId="0" fontId="4" fillId="6" borderId="0" xfId="0" applyFont="1" applyFill="1" applyAlignment="1">
      <alignment horizontal="center"/>
    </xf>
    <xf numFmtId="10" fontId="0" fillId="0" borderId="0" xfId="6" applyNumberFormat="1" applyFont="1" applyBorder="1"/>
    <xf numFmtId="0" fontId="0" fillId="0" borderId="2" xfId="0" applyBorder="1"/>
    <xf numFmtId="10" fontId="0" fillId="0" borderId="2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0" fontId="3" fillId="0" borderId="2" xfId="0" applyFont="1" applyBorder="1"/>
    <xf numFmtId="0" fontId="3" fillId="0" borderId="3" xfId="0" applyFont="1" applyBorder="1"/>
    <xf numFmtId="10" fontId="0" fillId="0" borderId="3" xfId="0" applyNumberFormat="1" applyBorder="1"/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locked="0"/>
    </xf>
    <xf numFmtId="17" fontId="4" fillId="6" borderId="0" xfId="0" applyNumberFormat="1" applyFont="1" applyFill="1" applyAlignment="1">
      <alignment horizontal="center"/>
    </xf>
    <xf numFmtId="0" fontId="0" fillId="8" borderId="0" xfId="0" applyFill="1"/>
    <xf numFmtId="17" fontId="16" fillId="8" borderId="0" xfId="0" applyNumberFormat="1" applyFont="1" applyFill="1" applyAlignment="1">
      <alignment horizontal="right" vertical="center" wrapText="1"/>
    </xf>
    <xf numFmtId="0" fontId="16" fillId="8" borderId="0" xfId="0" applyFont="1" applyFill="1" applyAlignment="1">
      <alignment horizontal="right" vertical="center" wrapText="1"/>
    </xf>
    <xf numFmtId="0" fontId="17" fillId="8" borderId="0" xfId="0" applyFont="1" applyFill="1" applyAlignment="1">
      <alignment horizontal="left" vertical="center"/>
    </xf>
    <xf numFmtId="2" fontId="17" fillId="8" borderId="0" xfId="0" applyNumberFormat="1" applyFont="1" applyFill="1" applyAlignment="1">
      <alignment horizontal="right" vertical="center" wrapText="1"/>
    </xf>
    <xf numFmtId="2" fontId="0" fillId="0" borderId="0" xfId="0" applyNumberFormat="1"/>
    <xf numFmtId="171" fontId="15" fillId="0" borderId="0" xfId="0" applyNumberFormat="1" applyFont="1" applyAlignment="1">
      <alignment horizontal="center"/>
    </xf>
    <xf numFmtId="10" fontId="0" fillId="0" borderId="0" xfId="6" applyNumberFormat="1" applyFont="1" applyAlignment="1">
      <alignment horizontal="center"/>
    </xf>
    <xf numFmtId="173" fontId="18" fillId="0" borderId="0" xfId="0" applyNumberFormat="1" applyFont="1" applyAlignment="1">
      <alignment horizontal="center"/>
    </xf>
    <xf numFmtId="0" fontId="3" fillId="10" borderId="0" xfId="0" applyFont="1" applyFill="1"/>
    <xf numFmtId="0" fontId="0" fillId="10" borderId="0" xfId="0" applyFill="1"/>
    <xf numFmtId="0" fontId="15" fillId="0" borderId="0" xfId="0" applyFont="1"/>
    <xf numFmtId="0" fontId="0" fillId="0" borderId="5" xfId="0" applyBorder="1"/>
    <xf numFmtId="9" fontId="0" fillId="0" borderId="0" xfId="0" applyNumberFormat="1"/>
    <xf numFmtId="0" fontId="20" fillId="0" borderId="0" xfId="0" applyFont="1"/>
    <xf numFmtId="10" fontId="20" fillId="0" borderId="0" xfId="6" applyNumberFormat="1" applyFont="1"/>
    <xf numFmtId="0" fontId="3" fillId="0" borderId="4" xfId="0" applyFont="1" applyBorder="1"/>
    <xf numFmtId="0" fontId="3" fillId="0" borderId="5" xfId="0" applyFont="1" applyBorder="1"/>
    <xf numFmtId="10" fontId="0" fillId="0" borderId="4" xfId="0" applyNumberFormat="1" applyBorder="1"/>
    <xf numFmtId="10" fontId="0" fillId="0" borderId="5" xfId="0" applyNumberFormat="1" applyBorder="1"/>
    <xf numFmtId="2" fontId="0" fillId="0" borderId="4" xfId="0" applyNumberFormat="1" applyBorder="1"/>
    <xf numFmtId="10" fontId="0" fillId="0" borderId="4" xfId="6" applyNumberFormat="1" applyFont="1" applyBorder="1"/>
    <xf numFmtId="10" fontId="0" fillId="0" borderId="5" xfId="6" applyNumberFormat="1" applyFont="1" applyBorder="1"/>
    <xf numFmtId="2" fontId="0" fillId="0" borderId="5" xfId="0" applyNumberFormat="1" applyBorder="1"/>
    <xf numFmtId="0" fontId="0" fillId="0" borderId="6" xfId="0" applyBorder="1"/>
    <xf numFmtId="0" fontId="3" fillId="0" borderId="5" xfId="0" applyFont="1" applyBorder="1" applyAlignment="1">
      <alignment horizontal="right"/>
    </xf>
    <xf numFmtId="10" fontId="0" fillId="0" borderId="6" xfId="0" applyNumberFormat="1" applyBorder="1"/>
    <xf numFmtId="10" fontId="21" fillId="0" borderId="0" xfId="0" applyNumberFormat="1" applyFont="1"/>
    <xf numFmtId="10" fontId="0" fillId="9" borderId="0" xfId="0" applyNumberFormat="1" applyFill="1"/>
    <xf numFmtId="10" fontId="5" fillId="9" borderId="6" xfId="6" applyNumberFormat="1" applyFont="1" applyFill="1" applyBorder="1"/>
    <xf numFmtId="10" fontId="0" fillId="9" borderId="6" xfId="0" applyNumberFormat="1" applyFill="1" applyBorder="1"/>
    <xf numFmtId="2" fontId="0" fillId="9" borderId="6" xfId="0" applyNumberFormat="1" applyFill="1" applyBorder="1"/>
    <xf numFmtId="2" fontId="0" fillId="9" borderId="0" xfId="0" applyNumberFormat="1" applyFill="1"/>
    <xf numFmtId="10" fontId="9" fillId="9" borderId="0" xfId="0" applyNumberFormat="1" applyFont="1" applyFill="1"/>
    <xf numFmtId="10" fontId="9" fillId="9" borderId="0" xfId="6" applyNumberFormat="1" applyFont="1" applyFill="1"/>
    <xf numFmtId="174" fontId="20" fillId="0" borderId="0" xfId="0" applyNumberFormat="1" applyFont="1"/>
    <xf numFmtId="174" fontId="0" fillId="0" borderId="6" xfId="0" applyNumberFormat="1" applyBorder="1"/>
    <xf numFmtId="10" fontId="0" fillId="0" borderId="7" xfId="6" applyNumberFormat="1" applyFont="1" applyBorder="1"/>
    <xf numFmtId="0" fontId="22" fillId="0" borderId="0" xfId="0" applyFont="1"/>
    <xf numFmtId="0" fontId="22" fillId="0" borderId="0" xfId="0" applyFont="1" applyAlignment="1">
      <alignment vertical="top"/>
    </xf>
    <xf numFmtId="0" fontId="3" fillId="0" borderId="5" xfId="0" applyFont="1" applyBorder="1" applyAlignment="1">
      <alignment horizontal="left"/>
    </xf>
    <xf numFmtId="0" fontId="24" fillId="8" borderId="0" xfId="0" applyFont="1" applyFill="1" applyAlignment="1">
      <alignment horizontal="left" vertical="center"/>
    </xf>
    <xf numFmtId="0" fontId="24" fillId="8" borderId="0" xfId="0" applyFont="1" applyFill="1" applyAlignment="1">
      <alignment horizontal="right" vertical="center"/>
    </xf>
    <xf numFmtId="15" fontId="25" fillId="8" borderId="0" xfId="0" applyNumberFormat="1" applyFont="1" applyFill="1" applyAlignment="1">
      <alignment horizontal="left"/>
    </xf>
    <xf numFmtId="4" fontId="25" fillId="8" borderId="0" xfId="0" applyNumberFormat="1" applyFont="1" applyFill="1" applyAlignment="1">
      <alignment horizontal="right"/>
    </xf>
    <xf numFmtId="3" fontId="25" fillId="8" borderId="0" xfId="0" applyNumberFormat="1" applyFont="1" applyFill="1" applyAlignment="1">
      <alignment horizontal="right"/>
    </xf>
    <xf numFmtId="174" fontId="25" fillId="8" borderId="0" xfId="0" applyNumberFormat="1" applyFont="1" applyFill="1" applyAlignment="1">
      <alignment horizontal="right"/>
    </xf>
    <xf numFmtId="0" fontId="24" fillId="8" borderId="8" xfId="0" applyFont="1" applyFill="1" applyBorder="1" applyAlignment="1">
      <alignment horizontal="left" vertical="center"/>
    </xf>
    <xf numFmtId="0" fontId="24" fillId="8" borderId="8" xfId="0" applyFont="1" applyFill="1" applyBorder="1" applyAlignment="1">
      <alignment horizontal="right" vertical="center"/>
    </xf>
    <xf numFmtId="0" fontId="25" fillId="0" borderId="0" xfId="0" applyFont="1" applyAlignment="1">
      <alignment wrapText="1"/>
    </xf>
    <xf numFmtId="0" fontId="26" fillId="0" borderId="0" xfId="0" applyFont="1" applyAlignment="1">
      <alignment horizontal="right" vertical="center"/>
    </xf>
    <xf numFmtId="15" fontId="27" fillId="0" borderId="0" xfId="0" applyNumberFormat="1" applyFont="1" applyAlignment="1">
      <alignment horizontal="left"/>
    </xf>
    <xf numFmtId="4" fontId="2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10" xfId="0" applyBorder="1"/>
    <xf numFmtId="0" fontId="28" fillId="0" borderId="9" xfId="0" applyFont="1" applyBorder="1" applyAlignment="1">
      <alignment horizontal="center"/>
    </xf>
    <xf numFmtId="0" fontId="29" fillId="0" borderId="0" xfId="0" applyFont="1" applyAlignment="1">
      <alignment horizontal="left" vertical="center"/>
    </xf>
    <xf numFmtId="43" fontId="0" fillId="0" borderId="0" xfId="1" applyFont="1"/>
    <xf numFmtId="4" fontId="27" fillId="12" borderId="0" xfId="0" applyNumberFormat="1" applyFont="1" applyFill="1" applyAlignment="1">
      <alignment horizontal="left"/>
    </xf>
    <xf numFmtId="4" fontId="27" fillId="12" borderId="0" xfId="0" applyNumberFormat="1" applyFont="1" applyFill="1" applyAlignment="1">
      <alignment horizontal="right"/>
    </xf>
    <xf numFmtId="174" fontId="9" fillId="0" borderId="0" xfId="0" applyNumberFormat="1" applyFont="1"/>
    <xf numFmtId="10" fontId="9" fillId="0" borderId="0" xfId="0" applyNumberFormat="1" applyFont="1"/>
    <xf numFmtId="17" fontId="30" fillId="8" borderId="0" xfId="0" applyNumberFormat="1" applyFont="1" applyFill="1" applyAlignment="1">
      <alignment horizontal="right" vertical="center" wrapText="1" indent="1"/>
    </xf>
    <xf numFmtId="0" fontId="16" fillId="8" borderId="0" xfId="0" applyFont="1" applyFill="1" applyAlignment="1">
      <alignment horizontal="right" wrapText="1" indent="1"/>
    </xf>
    <xf numFmtId="3" fontId="16" fillId="8" borderId="0" xfId="0" applyNumberFormat="1" applyFont="1" applyFill="1" applyAlignment="1">
      <alignment horizontal="right" wrapText="1" indent="1"/>
    </xf>
    <xf numFmtId="3" fontId="31" fillId="8" borderId="0" xfId="0" applyNumberFormat="1" applyFont="1" applyFill="1" applyAlignment="1">
      <alignment horizontal="right" wrapText="1" indent="1"/>
    </xf>
    <xf numFmtId="0" fontId="16" fillId="8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1" fillId="8" borderId="0" xfId="0" applyFont="1" applyFill="1" applyAlignment="1">
      <alignment horizontal="right" wrapText="1" indent="1"/>
    </xf>
    <xf numFmtId="0" fontId="31" fillId="8" borderId="0" xfId="0" applyFont="1" applyFill="1" applyAlignment="1">
      <alignment horizontal="left"/>
    </xf>
    <xf numFmtId="0" fontId="32" fillId="8" borderId="0" xfId="0" applyFont="1" applyFill="1" applyAlignment="1">
      <alignment horizontal="left"/>
    </xf>
    <xf numFmtId="0" fontId="7" fillId="13" borderId="0" xfId="0" applyFont="1" applyFill="1"/>
    <xf numFmtId="0" fontId="4" fillId="13" borderId="0" xfId="0" applyFont="1" applyFill="1" applyAlignment="1">
      <alignment horizontal="left"/>
    </xf>
    <xf numFmtId="0" fontId="31" fillId="8" borderId="11" xfId="0" applyFont="1" applyFill="1" applyBorder="1" applyAlignment="1">
      <alignment horizontal="left"/>
    </xf>
    <xf numFmtId="17" fontId="33" fillId="13" borderId="0" xfId="0" applyNumberFormat="1" applyFont="1" applyFill="1" applyAlignment="1">
      <alignment vertical="top" wrapText="1"/>
    </xf>
    <xf numFmtId="17" fontId="30" fillId="8" borderId="0" xfId="0" applyNumberFormat="1" applyFont="1" applyFill="1" applyAlignment="1">
      <alignment vertical="top" wrapText="1"/>
    </xf>
    <xf numFmtId="175" fontId="16" fillId="8" borderId="11" xfId="0" applyNumberFormat="1" applyFont="1" applyFill="1" applyBorder="1" applyAlignment="1">
      <alignment vertical="top" wrapText="1"/>
    </xf>
    <xf numFmtId="3" fontId="31" fillId="8" borderId="11" xfId="0" applyNumberFormat="1" applyFont="1" applyFill="1" applyBorder="1" applyAlignment="1">
      <alignment vertical="top" wrapText="1"/>
    </xf>
    <xf numFmtId="3" fontId="31" fillId="8" borderId="0" xfId="0" applyNumberFormat="1" applyFont="1" applyFill="1" applyAlignment="1">
      <alignment vertical="top" wrapText="1"/>
    </xf>
    <xf numFmtId="175" fontId="16" fillId="8" borderId="12" xfId="0" applyNumberFormat="1" applyFont="1" applyFill="1" applyBorder="1" applyAlignment="1">
      <alignment vertical="top" wrapText="1"/>
    </xf>
    <xf numFmtId="175" fontId="16" fillId="8" borderId="4" xfId="0" applyNumberFormat="1" applyFont="1" applyFill="1" applyBorder="1" applyAlignment="1">
      <alignment vertical="top" wrapText="1"/>
    </xf>
    <xf numFmtId="175" fontId="16" fillId="8" borderId="0" xfId="0" applyNumberFormat="1" applyFont="1" applyFill="1" applyAlignment="1">
      <alignment vertical="top" wrapText="1"/>
    </xf>
    <xf numFmtId="175" fontId="16" fillId="8" borderId="5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175" fontId="16" fillId="8" borderId="13" xfId="0" applyNumberFormat="1" applyFont="1" applyFill="1" applyBorder="1" applyAlignment="1">
      <alignment vertical="top" wrapText="1"/>
    </xf>
    <xf numFmtId="175" fontId="16" fillId="8" borderId="14" xfId="0" applyNumberFormat="1" applyFont="1" applyFill="1" applyBorder="1" applyAlignment="1">
      <alignment vertical="top" wrapText="1"/>
    </xf>
    <xf numFmtId="175" fontId="31" fillId="8" borderId="0" xfId="0" applyNumberFormat="1" applyFont="1" applyFill="1" applyAlignment="1">
      <alignment vertical="top" wrapText="1"/>
    </xf>
    <xf numFmtId="3" fontId="16" fillId="8" borderId="0" xfId="0" applyNumberFormat="1" applyFont="1" applyFill="1" applyAlignment="1">
      <alignment vertical="top" wrapText="1"/>
    </xf>
    <xf numFmtId="17" fontId="7" fillId="13" borderId="0" xfId="0" applyNumberFormat="1" applyFont="1" applyFill="1"/>
    <xf numFmtId="0" fontId="0" fillId="0" borderId="12" xfId="0" applyBorder="1"/>
    <xf numFmtId="0" fontId="3" fillId="0" borderId="12" xfId="0" applyFont="1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4" fillId="0" borderId="0" xfId="0" applyFont="1" applyAlignment="1">
      <alignment horizontal="left"/>
    </xf>
    <xf numFmtId="17" fontId="33" fillId="0" borderId="0" xfId="0" applyNumberFormat="1" applyFont="1" applyAlignment="1">
      <alignment vertical="top" wrapText="1"/>
    </xf>
    <xf numFmtId="175" fontId="0" fillId="0" borderId="0" xfId="0" applyNumberFormat="1"/>
    <xf numFmtId="10" fontId="5" fillId="0" borderId="16" xfId="6" applyNumberFormat="1" applyFont="1" applyBorder="1"/>
    <xf numFmtId="10" fontId="5" fillId="0" borderId="0" xfId="6" applyNumberFormat="1" applyFont="1"/>
    <xf numFmtId="175" fontId="0" fillId="0" borderId="12" xfId="0" applyNumberFormat="1" applyBorder="1"/>
    <xf numFmtId="175" fontId="0" fillId="0" borderId="15" xfId="0" applyNumberFormat="1" applyBorder="1"/>
    <xf numFmtId="175" fontId="0" fillId="0" borderId="5" xfId="0" applyNumberFormat="1" applyBorder="1"/>
    <xf numFmtId="9" fontId="34" fillId="0" borderId="15" xfId="6" applyFont="1" applyBorder="1"/>
    <xf numFmtId="10" fontId="0" fillId="0" borderId="15" xfId="0" applyNumberFormat="1" applyBorder="1"/>
    <xf numFmtId="175" fontId="0" fillId="0" borderId="16" xfId="0" applyNumberFormat="1" applyBorder="1"/>
    <xf numFmtId="10" fontId="0" fillId="0" borderId="16" xfId="6" applyNumberFormat="1" applyFont="1" applyBorder="1"/>
    <xf numFmtId="0" fontId="3" fillId="12" borderId="0" xfId="0" applyFont="1" applyFill="1"/>
    <xf numFmtId="10" fontId="0" fillId="12" borderId="0" xfId="0" applyNumberFormat="1" applyFill="1"/>
    <xf numFmtId="0" fontId="3" fillId="0" borderId="0" xfId="0" applyFont="1" applyAlignment="1">
      <alignment horizontal="right"/>
    </xf>
    <xf numFmtId="0" fontId="4" fillId="13" borderId="0" xfId="0" applyFont="1" applyFill="1" applyAlignment="1">
      <alignment horizontal="center"/>
    </xf>
    <xf numFmtId="0" fontId="0" fillId="13" borderId="0" xfId="0" applyFill="1"/>
    <xf numFmtId="0" fontId="4" fillId="13" borderId="0" xfId="0" applyFont="1" applyFill="1"/>
    <xf numFmtId="17" fontId="4" fillId="13" borderId="0" xfId="0" applyNumberFormat="1" applyFont="1" applyFill="1"/>
    <xf numFmtId="17" fontId="4" fillId="13" borderId="0" xfId="0" applyNumberFormat="1" applyFont="1" applyFill="1" applyAlignment="1">
      <alignment horizontal="center"/>
    </xf>
    <xf numFmtId="0" fontId="4" fillId="13" borderId="0" xfId="0" applyFont="1" applyFill="1" applyAlignment="1">
      <alignment horizontal="right"/>
    </xf>
    <xf numFmtId="165" fontId="4" fillId="13" borderId="0" xfId="1" applyNumberFormat="1" applyFont="1" applyFill="1" applyBorder="1"/>
    <xf numFmtId="165" fontId="4" fillId="13" borderId="0" xfId="0" applyNumberFormat="1" applyFont="1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0" fontId="9" fillId="14" borderId="0" xfId="0" applyNumberFormat="1" applyFont="1" applyFill="1" applyAlignment="1">
      <alignment horizontal="right"/>
    </xf>
    <xf numFmtId="0" fontId="3" fillId="14" borderId="0" xfId="0" applyFont="1" applyFill="1"/>
    <xf numFmtId="10" fontId="3" fillId="14" borderId="0" xfId="0" applyNumberFormat="1" applyFont="1" applyFill="1"/>
    <xf numFmtId="10" fontId="3" fillId="14" borderId="0" xfId="6" applyNumberFormat="1" applyFont="1" applyFill="1" applyBorder="1"/>
    <xf numFmtId="10" fontId="5" fillId="0" borderId="0" xfId="6" applyNumberFormat="1" applyFont="1" applyFill="1" applyBorder="1"/>
    <xf numFmtId="2" fontId="20" fillId="0" borderId="0" xfId="0" applyNumberFormat="1" applyFont="1"/>
    <xf numFmtId="10" fontId="20" fillId="0" borderId="0" xfId="0" applyNumberFormat="1" applyFont="1"/>
    <xf numFmtId="0" fontId="32" fillId="8" borderId="17" xfId="0" applyFont="1" applyFill="1" applyBorder="1" applyAlignment="1">
      <alignment horizontal="left"/>
    </xf>
    <xf numFmtId="3" fontId="32" fillId="8" borderId="17" xfId="0" applyNumberFormat="1" applyFont="1" applyFill="1" applyBorder="1" applyAlignment="1">
      <alignment vertical="top" wrapText="1"/>
    </xf>
    <xf numFmtId="0" fontId="4" fillId="15" borderId="0" xfId="0" applyFont="1" applyFill="1"/>
    <xf numFmtId="17" fontId="4" fillId="15" borderId="0" xfId="0" applyNumberFormat="1" applyFont="1" applyFill="1"/>
    <xf numFmtId="0" fontId="0" fillId="0" borderId="18" xfId="0" applyBorder="1"/>
    <xf numFmtId="10" fontId="0" fillId="0" borderId="18" xfId="0" applyNumberFormat="1" applyBorder="1"/>
    <xf numFmtId="10" fontId="0" fillId="0" borderId="18" xfId="6" applyNumberFormat="1" applyFont="1" applyBorder="1"/>
    <xf numFmtId="2" fontId="0" fillId="0" borderId="18" xfId="0" applyNumberFormat="1" applyBorder="1"/>
    <xf numFmtId="0" fontId="36" fillId="0" borderId="18" xfId="0" applyFont="1" applyBorder="1"/>
    <xf numFmtId="0" fontId="0" fillId="9" borderId="18" xfId="0" applyFill="1" applyBorder="1"/>
    <xf numFmtId="10" fontId="0" fillId="9" borderId="18" xfId="0" applyNumberFormat="1" applyFill="1" applyBorder="1"/>
    <xf numFmtId="2" fontId="0" fillId="9" borderId="18" xfId="0" applyNumberFormat="1" applyFill="1" applyBorder="1"/>
    <xf numFmtId="0" fontId="0" fillId="9" borderId="0" xfId="0" applyFill="1"/>
    <xf numFmtId="0" fontId="0" fillId="9" borderId="16" xfId="0" applyFill="1" applyBorder="1"/>
    <xf numFmtId="176" fontId="0" fillId="0" borderId="0" xfId="0" applyNumberFormat="1"/>
    <xf numFmtId="10" fontId="36" fillId="9" borderId="18" xfId="0" applyNumberFormat="1" applyFont="1" applyFill="1" applyBorder="1"/>
    <xf numFmtId="2" fontId="3" fillId="0" borderId="0" xfId="0" applyNumberFormat="1" applyFont="1"/>
    <xf numFmtId="10" fontId="36" fillId="0" borderId="18" xfId="0" applyNumberFormat="1" applyFont="1" applyBorder="1"/>
    <xf numFmtId="0" fontId="3" fillId="0" borderId="19" xfId="0" applyFont="1" applyBorder="1"/>
    <xf numFmtId="2" fontId="3" fillId="0" borderId="19" xfId="0" applyNumberFormat="1" applyFont="1" applyBorder="1"/>
    <xf numFmtId="10" fontId="36" fillId="9" borderId="0" xfId="0" applyNumberFormat="1" applyFont="1" applyFill="1"/>
    <xf numFmtId="2" fontId="0" fillId="0" borderId="0" xfId="6" applyNumberFormat="1" applyFont="1"/>
    <xf numFmtId="177" fontId="0" fillId="0" borderId="0" xfId="6" applyNumberFormat="1" applyFont="1"/>
    <xf numFmtId="2" fontId="7" fillId="0" borderId="0" xfId="0" applyNumberFormat="1" applyFont="1"/>
    <xf numFmtId="9" fontId="3" fillId="0" borderId="0" xfId="0" applyNumberFormat="1" applyFont="1"/>
    <xf numFmtId="174" fontId="0" fillId="0" borderId="0" xfId="0" applyNumberFormat="1"/>
    <xf numFmtId="174" fontId="0" fillId="12" borderId="0" xfId="0" applyNumberFormat="1" applyFill="1"/>
    <xf numFmtId="0" fontId="7" fillId="15" borderId="0" xfId="0" applyFont="1" applyFill="1"/>
    <xf numFmtId="0" fontId="2" fillId="0" borderId="0" xfId="7" applyAlignment="1">
      <alignment horizontal="left"/>
    </xf>
    <xf numFmtId="0" fontId="2" fillId="0" borderId="0" xfId="7" applyAlignment="1">
      <alignment horizontal="center"/>
    </xf>
    <xf numFmtId="0" fontId="2" fillId="0" borderId="0" xfId="7"/>
    <xf numFmtId="2" fontId="2" fillId="0" borderId="0" xfId="7" applyNumberFormat="1" applyAlignment="1">
      <alignment horizontal="center"/>
    </xf>
    <xf numFmtId="0" fontId="28" fillId="0" borderId="0" xfId="7" applyFont="1"/>
    <xf numFmtId="0" fontId="40" fillId="0" borderId="20" xfId="7" applyFont="1" applyBorder="1"/>
    <xf numFmtId="0" fontId="41" fillId="0" borderId="20" xfId="7" applyFont="1" applyBorder="1"/>
    <xf numFmtId="0" fontId="2" fillId="0" borderId="20" xfId="7" applyBorder="1"/>
    <xf numFmtId="0" fontId="39" fillId="15" borderId="0" xfId="7" applyFont="1" applyFill="1"/>
    <xf numFmtId="0" fontId="37" fillId="15" borderId="0" xfId="7" applyFont="1" applyFill="1"/>
    <xf numFmtId="0" fontId="39" fillId="0" borderId="0" xfId="7" applyFont="1"/>
    <xf numFmtId="0" fontId="39" fillId="15" borderId="0" xfId="7" applyFont="1" applyFill="1" applyAlignment="1">
      <alignment horizontal="left"/>
    </xf>
    <xf numFmtId="0" fontId="39" fillId="15" borderId="0" xfId="7" applyFont="1" applyFill="1" applyAlignment="1">
      <alignment horizontal="right" wrapText="1"/>
    </xf>
    <xf numFmtId="0" fontId="39" fillId="15" borderId="0" xfId="7" applyFont="1" applyFill="1" applyAlignment="1">
      <alignment horizontal="right"/>
    </xf>
    <xf numFmtId="0" fontId="2" fillId="9" borderId="18" xfId="7" applyFill="1" applyBorder="1"/>
    <xf numFmtId="3" fontId="2" fillId="9" borderId="18" xfId="7" applyNumberFormat="1" applyFill="1" applyBorder="1"/>
    <xf numFmtId="178" fontId="2" fillId="9" borderId="18" xfId="7" applyNumberFormat="1" applyFill="1" applyBorder="1"/>
    <xf numFmtId="0" fontId="2" fillId="0" borderId="18" xfId="7" applyBorder="1"/>
    <xf numFmtId="3" fontId="2" fillId="0" borderId="18" xfId="7" applyNumberFormat="1" applyBorder="1"/>
    <xf numFmtId="4" fontId="2" fillId="0" borderId="18" xfId="7" applyNumberFormat="1" applyBorder="1"/>
    <xf numFmtId="178" fontId="2" fillId="0" borderId="18" xfId="7" applyNumberFormat="1" applyBorder="1"/>
    <xf numFmtId="0" fontId="38" fillId="9" borderId="18" xfId="7" applyFont="1" applyFill="1" applyBorder="1"/>
    <xf numFmtId="178" fontId="38" fillId="9" borderId="18" xfId="7" applyNumberFormat="1" applyFont="1" applyFill="1" applyBorder="1"/>
    <xf numFmtId="0" fontId="37" fillId="15" borderId="20" xfId="7" applyFont="1" applyFill="1" applyBorder="1"/>
    <xf numFmtId="174" fontId="2" fillId="0" borderId="18" xfId="7" applyNumberFormat="1" applyBorder="1"/>
    <xf numFmtId="4" fontId="2" fillId="0" borderId="0" xfId="7" applyNumberFormat="1"/>
    <xf numFmtId="0" fontId="38" fillId="12" borderId="1" xfId="7" applyFont="1" applyFill="1" applyBorder="1"/>
    <xf numFmtId="174" fontId="38" fillId="12" borderId="1" xfId="7" applyNumberFormat="1" applyFont="1" applyFill="1" applyBorder="1"/>
    <xf numFmtId="0" fontId="38" fillId="0" borderId="0" xfId="7" applyFont="1"/>
    <xf numFmtId="174" fontId="38" fillId="0" borderId="0" xfId="7" applyNumberFormat="1" applyFont="1"/>
    <xf numFmtId="0" fontId="1" fillId="0" borderId="0" xfId="8"/>
    <xf numFmtId="10" fontId="42" fillId="0" borderId="22" xfId="9" applyNumberFormat="1" applyFont="1" applyBorder="1" applyAlignment="1">
      <alignment horizontal="left"/>
    </xf>
    <xf numFmtId="10" fontId="42" fillId="0" borderId="22" xfId="9" applyNumberFormat="1" applyFont="1" applyFill="1" applyBorder="1" applyAlignment="1">
      <alignment horizontal="left"/>
    </xf>
    <xf numFmtId="2" fontId="44" fillId="0" borderId="22" xfId="10" applyNumberFormat="1" applyFont="1" applyBorder="1" applyAlignment="1">
      <alignment horizontal="left"/>
    </xf>
    <xf numFmtId="10" fontId="44" fillId="0" borderId="22" xfId="10" applyNumberFormat="1" applyFont="1" applyBorder="1" applyAlignment="1">
      <alignment horizontal="left"/>
    </xf>
    <xf numFmtId="179" fontId="44" fillId="0" borderId="22" xfId="10" applyNumberFormat="1" applyFont="1" applyBorder="1" applyAlignment="1">
      <alignment horizontal="left"/>
    </xf>
    <xf numFmtId="0" fontId="44" fillId="0" borderId="22" xfId="10" applyFont="1" applyBorder="1" applyAlignment="1">
      <alignment horizontal="center"/>
    </xf>
    <xf numFmtId="0" fontId="44" fillId="0" borderId="22" xfId="10" applyFont="1" applyBorder="1"/>
    <xf numFmtId="10" fontId="42" fillId="0" borderId="23" xfId="9" applyNumberFormat="1" applyFont="1" applyBorder="1" applyAlignment="1">
      <alignment horizontal="left"/>
    </xf>
    <xf numFmtId="10" fontId="42" fillId="0" borderId="23" xfId="9" applyNumberFormat="1" applyFont="1" applyFill="1" applyBorder="1" applyAlignment="1">
      <alignment horizontal="left"/>
    </xf>
    <xf numFmtId="2" fontId="44" fillId="0" borderId="23" xfId="10" applyNumberFormat="1" applyFont="1" applyBorder="1" applyAlignment="1">
      <alignment horizontal="left"/>
    </xf>
    <xf numFmtId="10" fontId="44" fillId="0" borderId="23" xfId="10" applyNumberFormat="1" applyFont="1" applyBorder="1" applyAlignment="1">
      <alignment horizontal="left"/>
    </xf>
    <xf numFmtId="179" fontId="44" fillId="0" borderId="23" xfId="10" applyNumberFormat="1" applyFont="1" applyBorder="1" applyAlignment="1">
      <alignment horizontal="left"/>
    </xf>
    <xf numFmtId="0" fontId="44" fillId="0" borderId="23" xfId="10" applyFont="1" applyBorder="1" applyAlignment="1">
      <alignment horizontal="center"/>
    </xf>
    <xf numFmtId="0" fontId="44" fillId="0" borderId="23" xfId="10" applyFont="1" applyBorder="1"/>
    <xf numFmtId="10" fontId="45" fillId="0" borderId="24" xfId="9" applyNumberFormat="1" applyFont="1" applyBorder="1" applyAlignment="1">
      <alignment horizontal="left"/>
    </xf>
    <xf numFmtId="10" fontId="45" fillId="0" borderId="24" xfId="9" applyNumberFormat="1" applyFont="1" applyFill="1" applyBorder="1" applyAlignment="1">
      <alignment horizontal="left"/>
    </xf>
    <xf numFmtId="2" fontId="46" fillId="0" borderId="24" xfId="10" applyNumberFormat="1" applyFont="1" applyBorder="1" applyAlignment="1">
      <alignment horizontal="left"/>
    </xf>
    <xf numFmtId="10" fontId="46" fillId="0" borderId="24" xfId="10" applyNumberFormat="1" applyFont="1" applyBorder="1" applyAlignment="1">
      <alignment horizontal="left"/>
    </xf>
    <xf numFmtId="179" fontId="46" fillId="0" borderId="24" xfId="10" applyNumberFormat="1" applyFont="1" applyBorder="1" applyAlignment="1">
      <alignment horizontal="left"/>
    </xf>
    <xf numFmtId="0" fontId="46" fillId="0" borderId="24" xfId="10" applyFont="1" applyBorder="1" applyAlignment="1">
      <alignment horizontal="center"/>
    </xf>
    <xf numFmtId="0" fontId="46" fillId="0" borderId="24" xfId="10" applyFont="1" applyBorder="1"/>
    <xf numFmtId="10" fontId="45" fillId="0" borderId="18" xfId="9" applyNumberFormat="1" applyFont="1" applyBorder="1" applyAlignment="1">
      <alignment horizontal="left"/>
    </xf>
    <xf numFmtId="10" fontId="45" fillId="0" borderId="18" xfId="9" applyNumberFormat="1" applyFont="1" applyFill="1" applyBorder="1" applyAlignment="1">
      <alignment horizontal="left"/>
    </xf>
    <xf numFmtId="2" fontId="46" fillId="0" borderId="18" xfId="10" applyNumberFormat="1" applyFont="1" applyBorder="1" applyAlignment="1">
      <alignment horizontal="left"/>
    </xf>
    <xf numFmtId="10" fontId="46" fillId="0" borderId="18" xfId="10" applyNumberFormat="1" applyFont="1" applyBorder="1" applyAlignment="1">
      <alignment horizontal="left"/>
    </xf>
    <xf numFmtId="179" fontId="46" fillId="0" borderId="18" xfId="10" applyNumberFormat="1" applyFont="1" applyBorder="1" applyAlignment="1">
      <alignment horizontal="left"/>
    </xf>
    <xf numFmtId="0" fontId="46" fillId="0" borderId="18" xfId="10" applyFont="1" applyBorder="1" applyAlignment="1">
      <alignment horizontal="center"/>
    </xf>
    <xf numFmtId="0" fontId="46" fillId="0" borderId="18" xfId="10" applyFont="1" applyBorder="1"/>
    <xf numFmtId="0" fontId="47" fillId="15" borderId="0" xfId="10" applyFont="1" applyFill="1" applyAlignment="1">
      <alignment horizontal="left" wrapText="1"/>
    </xf>
    <xf numFmtId="0" fontId="47" fillId="15" borderId="0" xfId="8" applyFont="1" applyFill="1" applyAlignment="1">
      <alignment horizontal="left" wrapText="1"/>
    </xf>
    <xf numFmtId="0" fontId="48" fillId="0" borderId="0" xfId="8" applyFont="1"/>
    <xf numFmtId="43" fontId="14" fillId="0" borderId="0" xfId="2" applyNumberFormat="1" applyFont="1" applyBorder="1" applyAlignment="1" applyProtection="1">
      <alignment horizontal="center"/>
    </xf>
    <xf numFmtId="43" fontId="4" fillId="4" borderId="0" xfId="5" applyNumberFormat="1" applyFont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37" fillId="15" borderId="21" xfId="7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8" fontId="3" fillId="0" borderId="0" xfId="0" applyNumberFormat="1" applyFont="1" applyAlignment="1">
      <alignment horizontal="center"/>
    </xf>
    <xf numFmtId="0" fontId="9" fillId="0" borderId="0" xfId="0" applyFont="1" applyFill="1"/>
    <xf numFmtId="0" fontId="9" fillId="9" borderId="0" xfId="0" applyFont="1" applyFill="1" applyAlignment="1" applyProtection="1">
      <alignment horizontal="left"/>
      <protection locked="0"/>
    </xf>
    <xf numFmtId="172" fontId="49" fillId="9" borderId="0" xfId="0" applyNumberFormat="1" applyFont="1" applyFill="1" applyAlignment="1">
      <alignment horizontal="center"/>
    </xf>
    <xf numFmtId="173" fontId="9" fillId="9" borderId="0" xfId="0" applyNumberFormat="1" applyFont="1" applyFill="1" applyAlignment="1">
      <alignment horizontal="center"/>
    </xf>
    <xf numFmtId="10" fontId="9" fillId="9" borderId="0" xfId="6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Alignment="1"/>
    <xf numFmtId="0" fontId="0" fillId="0" borderId="0" xfId="0" applyAlignment="1"/>
  </cellXfs>
  <cellStyles count="11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Normal 2" xfId="7" xr:uid="{00000000-0005-0000-0000-000006000000}"/>
    <cellStyle name="Normal 2 2" xfId="10" xr:uid="{DD088766-4076-47D5-A892-7E1D93063C94}"/>
    <cellStyle name="Normal 3" xfId="8" xr:uid="{FAB69B0A-C55A-4CC3-869A-ACC2E5F56B9F}"/>
    <cellStyle name="Percent" xfId="6" builtinId="5"/>
    <cellStyle name="Percent 2" xfId="9" xr:uid="{2A86E1D6-0F43-4042-9053-F0B2DB05AD8D}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3300"/>
      <color rgb="FF3333FF"/>
      <color rgb="FF0275D8"/>
      <color rgb="FF000066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sh\Downloads\Phone%20Link\Asian%20Paints.xlsx" TargetMode="External"/><Relationship Id="rId1" Type="http://schemas.openxmlformats.org/officeDocument/2006/relationships/externalLinkPath" Target="Asian%20Pai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sc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undgrEBIndia.xls" TargetMode="External"/><Relationship Id="rId1" Type="http://schemas.openxmlformats.org/officeDocument/2006/relationships/externalLinkPath" Target="/Users/pc/Downloads/fundgrEBInd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Cash Flow Statement"/>
      <sheetName val="Data Sheet (2)"/>
      <sheetName val="Ratio Analysis"/>
      <sheetName val="HistoricalFS"/>
      <sheetName val="Balance Sheet"/>
      <sheetName val="Cash Flow"/>
      <sheetName val="Customization"/>
      <sheetName val="Forecasting"/>
      <sheetName val="DCF&gt;"/>
      <sheetName val="WACC"/>
      <sheetName val="Data&gt;"/>
      <sheetName val="Beta"/>
      <sheetName val="Beta - Comps"/>
      <sheetName val="Intrinic Growth"/>
      <sheetName val="Raw FS"/>
      <sheetName val="Data Room"/>
      <sheetName val="Data Sheet"/>
      <sheetName val="Comps Valu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/>
          </cell>
        </row>
      </sheetData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 &amp; Loss"/>
      <sheetName val="Quarters"/>
      <sheetName val="Cash Flow Statement"/>
      <sheetName val="Data Sheet"/>
      <sheetName val="HistoricalFS"/>
      <sheetName val="Balance Sheet"/>
      <sheetName val="Ratio Analysis"/>
      <sheetName val="Cash Flow"/>
      <sheetName val="Forecasting"/>
      <sheetName val="DCF&gt;"/>
      <sheetName val="WACC"/>
      <sheetName val="Data&gt;"/>
      <sheetName val="Beta"/>
      <sheetName val="Beta - Comps"/>
      <sheetName val="RM"/>
      <sheetName val="Intrinic Growth"/>
      <sheetName val="Data Room&gt;"/>
      <sheetName val="Data Sheet (2)"/>
      <sheetName val="Raw FS"/>
      <sheetName val="Sheet1"/>
    </sheetNames>
    <sheetDataSet>
      <sheetData sheetId="0" refreshError="1"/>
      <sheetData sheetId="1" refreshError="1"/>
      <sheetData sheetId="2" refreshError="1"/>
      <sheetData sheetId="3">
        <row r="35">
          <cell r="B35">
            <v>1941.6000000000001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K2">
            <v>45352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riables &amp; FAQ"/>
      <sheetName val="Industry Averages"/>
    </sheetNames>
    <sheetDataSet>
      <sheetData sheetId="0"/>
      <sheetData sheetId="1">
        <row r="9">
          <cell r="A9" t="str">
            <v>Advertising</v>
          </cell>
          <cell r="B9">
            <v>13</v>
          </cell>
          <cell r="C9">
            <v>0.5481964403891354</v>
          </cell>
          <cell r="D9">
            <v>1.0688904870530047</v>
          </cell>
          <cell r="E9">
            <v>0.5859619601682664</v>
          </cell>
        </row>
        <row r="10">
          <cell r="A10" t="str">
            <v>Aerospace/Defense</v>
          </cell>
          <cell r="B10">
            <v>13</v>
          </cell>
          <cell r="C10">
            <v>0.32757262775191348</v>
          </cell>
          <cell r="D10">
            <v>0.10374535866880351</v>
          </cell>
          <cell r="E10">
            <v>3.398413975620472E-2</v>
          </cell>
        </row>
        <row r="11">
          <cell r="A11" t="str">
            <v>Air Transport</v>
          </cell>
          <cell r="B11">
            <v>6</v>
          </cell>
          <cell r="C11">
            <v>9.4355938161953916E-3</v>
          </cell>
          <cell r="D11">
            <v>-63.388464512121203</v>
          </cell>
          <cell r="E11">
            <v>-0.59810780376869188</v>
          </cell>
        </row>
        <row r="12">
          <cell r="A12" t="str">
            <v>Apparel</v>
          </cell>
          <cell r="B12">
            <v>323</v>
          </cell>
          <cell r="C12">
            <v>0.10388355683297126</v>
          </cell>
          <cell r="D12">
            <v>0.91596690132646497</v>
          </cell>
          <cell r="E12">
            <v>9.5153899651068408E-2</v>
          </cell>
        </row>
        <row r="13">
          <cell r="A13" t="str">
            <v>Auto &amp; Truck</v>
          </cell>
          <cell r="B13">
            <v>12</v>
          </cell>
          <cell r="C13">
            <v>6.2256581950835124E-2</v>
          </cell>
          <cell r="D13">
            <v>-0.56249703944561291</v>
          </cell>
          <cell r="E13">
            <v>-3.5019143033347938E-2</v>
          </cell>
        </row>
        <row r="14">
          <cell r="A14" t="str">
            <v>Auto Parts</v>
          </cell>
          <cell r="B14">
            <v>107</v>
          </cell>
          <cell r="C14">
            <v>0.10468095423115484</v>
          </cell>
          <cell r="D14">
            <v>0.56606925401020902</v>
          </cell>
          <cell r="E14">
            <v>5.9256669670706655E-2</v>
          </cell>
        </row>
        <row r="15">
          <cell r="A15" t="str">
            <v>Bank (Money Center)</v>
          </cell>
          <cell r="B15">
            <v>32</v>
          </cell>
          <cell r="C15">
            <v>1.2337163217722785E-4</v>
          </cell>
          <cell r="D15">
            <v>95.33594666973957</v>
          </cell>
          <cell r="E15">
            <v>1.176175134580692E-2</v>
          </cell>
        </row>
        <row r="16">
          <cell r="A16" t="str">
            <v>Banks (Regional)</v>
          </cell>
          <cell r="B16">
            <v>5</v>
          </cell>
          <cell r="C16">
            <v>1.5031497250924336E-3</v>
          </cell>
          <cell r="D16">
            <v>14.611621092579158</v>
          </cell>
          <cell r="E16">
            <v>2.1963454228465167E-2</v>
          </cell>
        </row>
        <row r="17">
          <cell r="A17" t="str">
            <v>Beverage (Alcoholic)</v>
          </cell>
          <cell r="B17">
            <v>19</v>
          </cell>
          <cell r="C17">
            <v>0.17381666670255763</v>
          </cell>
          <cell r="D17">
            <v>0.24779292770549396</v>
          </cell>
          <cell r="E17">
            <v>4.3070540726236804E-2</v>
          </cell>
        </row>
        <row r="18">
          <cell r="A18" t="str">
            <v>Beverage (Soft)</v>
          </cell>
          <cell r="B18">
            <v>5</v>
          </cell>
          <cell r="C18">
            <v>0.30811573142810772</v>
          </cell>
          <cell r="D18">
            <v>-0.33803035048388758</v>
          </cell>
          <cell r="E18">
            <v>-0.10415246868424263</v>
          </cell>
        </row>
        <row r="19">
          <cell r="A19" t="str">
            <v>Broadcasting</v>
          </cell>
          <cell r="B19">
            <v>17</v>
          </cell>
          <cell r="C19">
            <v>0.16837757333734121</v>
          </cell>
          <cell r="D19">
            <v>1.034445825626654</v>
          </cell>
          <cell r="E19">
            <v>0.17417747786795842</v>
          </cell>
        </row>
        <row r="20">
          <cell r="A20" t="str">
            <v>Brokerage &amp; Investment Banking</v>
          </cell>
          <cell r="B20">
            <v>174</v>
          </cell>
          <cell r="C20">
            <v>1.9606827671580264E-3</v>
          </cell>
          <cell r="D20">
            <v>5.7275406547151411</v>
          </cell>
          <cell r="E20">
            <v>1.1229890259896977E-2</v>
          </cell>
        </row>
        <row r="21">
          <cell r="A21" t="str">
            <v>Building Materials</v>
          </cell>
          <cell r="B21">
            <v>48</v>
          </cell>
          <cell r="C21">
            <v>0.12764745181169843</v>
          </cell>
          <cell r="D21">
            <v>1.3441071637796804</v>
          </cell>
          <cell r="E21">
            <v>0.1715718544183254</v>
          </cell>
        </row>
        <row r="22">
          <cell r="A22" t="str">
            <v>Business &amp; Consumer Services</v>
          </cell>
          <cell r="B22">
            <v>58</v>
          </cell>
          <cell r="C22">
            <v>0.32829293910402418</v>
          </cell>
          <cell r="D22">
            <v>0.41066112391739112</v>
          </cell>
          <cell r="E22">
            <v>0.13481714734660222</v>
          </cell>
        </row>
        <row r="23">
          <cell r="A23" t="str">
            <v>Cable TV</v>
          </cell>
          <cell r="B23">
            <v>8</v>
          </cell>
          <cell r="C23">
            <v>5.7708734855127036E-2</v>
          </cell>
          <cell r="D23">
            <v>-6.1109338190461444E-2</v>
          </cell>
          <cell r="E23">
            <v>-3.5265425948056281E-3</v>
          </cell>
        </row>
        <row r="24">
          <cell r="A24" t="str">
            <v>Chemical (Basic)</v>
          </cell>
          <cell r="B24">
            <v>128</v>
          </cell>
          <cell r="C24">
            <v>0.15954216904347984</v>
          </cell>
          <cell r="D24">
            <v>0.74643329367882461</v>
          </cell>
          <cell r="E24">
            <v>0.11908758671978847</v>
          </cell>
        </row>
        <row r="25">
          <cell r="A25" t="str">
            <v>Chemical (Diversified)</v>
          </cell>
          <cell r="B25">
            <v>10</v>
          </cell>
          <cell r="C25">
            <v>0.19416394175951318</v>
          </cell>
          <cell r="D25">
            <v>1.1401458666663713</v>
          </cell>
          <cell r="E25">
            <v>0.221375215652759</v>
          </cell>
        </row>
        <row r="26">
          <cell r="A26" t="str">
            <v>Chemical (Specialty)</v>
          </cell>
          <cell r="B26">
            <v>167</v>
          </cell>
          <cell r="C26">
            <v>0.19880313878490141</v>
          </cell>
          <cell r="D26">
            <v>1.0439432416321388</v>
          </cell>
          <cell r="E26">
            <v>0.20753919314975397</v>
          </cell>
        </row>
        <row r="27">
          <cell r="A27" t="str">
            <v>Coal &amp; Related Energy</v>
          </cell>
          <cell r="B27">
            <v>2</v>
          </cell>
          <cell r="C27">
            <v>0.71837339712575421</v>
          </cell>
          <cell r="D27">
            <v>0.41353881262033443</v>
          </cell>
          <cell r="E27">
            <v>0.29707528166542035</v>
          </cell>
        </row>
        <row r="28">
          <cell r="A28" t="str">
            <v>Computer Services</v>
          </cell>
          <cell r="B28">
            <v>132</v>
          </cell>
          <cell r="C28">
            <v>0.34660583553728053</v>
          </cell>
          <cell r="D28">
            <v>0.40001646110603395</v>
          </cell>
          <cell r="E28">
            <v>0.13864803973032297</v>
          </cell>
        </row>
        <row r="29">
          <cell r="A29" t="str">
            <v>Computers/Peripherals</v>
          </cell>
          <cell r="B29">
            <v>6</v>
          </cell>
          <cell r="C29">
            <v>7.3694701090308817E-2</v>
          </cell>
          <cell r="D29">
            <v>1.0856706093494659</v>
          </cell>
          <cell r="E29">
            <v>8.0008171038542325E-2</v>
          </cell>
        </row>
        <row r="30">
          <cell r="A30" t="str">
            <v>Construction Supplies</v>
          </cell>
          <cell r="B30">
            <v>92</v>
          </cell>
          <cell r="C30">
            <v>8.4197292708314359E-2</v>
          </cell>
          <cell r="D30">
            <v>0.63262552870081923</v>
          </cell>
          <cell r="E30">
            <v>5.3265356814775004E-2</v>
          </cell>
        </row>
        <row r="31">
          <cell r="A31" t="str">
            <v>Diversified</v>
          </cell>
          <cell r="B31">
            <v>13</v>
          </cell>
          <cell r="C31">
            <v>4.6292250889799005E-2</v>
          </cell>
          <cell r="D31">
            <v>0.4658713714491578</v>
          </cell>
          <cell r="E31">
            <v>2.1566234409499157E-2</v>
          </cell>
        </row>
        <row r="32">
          <cell r="A32" t="str">
            <v>Drugs (Biotechnology)</v>
          </cell>
          <cell r="B32">
            <v>8</v>
          </cell>
          <cell r="C32">
            <v>7.1127434674824125E-3</v>
          </cell>
          <cell r="D32">
            <v>0.78430757039309884</v>
          </cell>
          <cell r="E32">
            <v>5.5785785478105164E-3</v>
          </cell>
        </row>
        <row r="33">
          <cell r="A33" t="str">
            <v>Drugs (Pharmaceutical)</v>
          </cell>
          <cell r="B33">
            <v>156</v>
          </cell>
          <cell r="C33">
            <v>0.10918096599071117</v>
          </cell>
          <cell r="D33">
            <v>0.50322141597600012</v>
          </cell>
          <cell r="E33">
            <v>5.4942200303473188E-2</v>
          </cell>
        </row>
        <row r="34">
          <cell r="A34" t="str">
            <v>Education</v>
          </cell>
          <cell r="B34">
            <v>26</v>
          </cell>
          <cell r="C34">
            <v>-4.4265499648040384E-4</v>
          </cell>
          <cell r="D34" t="str">
            <v>NA</v>
          </cell>
          <cell r="E34" t="str">
            <v>NA</v>
          </cell>
        </row>
        <row r="35">
          <cell r="A35" t="str">
            <v>Electrical Equipment</v>
          </cell>
          <cell r="B35">
            <v>102</v>
          </cell>
          <cell r="C35">
            <v>8.1961759076178392E-2</v>
          </cell>
          <cell r="D35">
            <v>0.66835194622801919</v>
          </cell>
          <cell r="E35">
            <v>5.4779301194835844E-2</v>
          </cell>
        </row>
        <row r="36">
          <cell r="A36" t="str">
            <v>Electronics (Consumer &amp; Office)</v>
          </cell>
          <cell r="B36">
            <v>8</v>
          </cell>
          <cell r="C36">
            <v>0.18315465983616155</v>
          </cell>
          <cell r="D36">
            <v>1.7809276807530692</v>
          </cell>
          <cell r="E36">
            <v>0.32618520356113251</v>
          </cell>
        </row>
        <row r="37">
          <cell r="A37" t="str">
            <v>Electronics (General)</v>
          </cell>
          <cell r="B37">
            <v>27</v>
          </cell>
          <cell r="C37">
            <v>0.18003386840290664</v>
          </cell>
          <cell r="D37">
            <v>1.5063476318378461</v>
          </cell>
          <cell r="E37">
            <v>0.27119359131932486</v>
          </cell>
        </row>
        <row r="38">
          <cell r="A38" t="str">
            <v>Engineering/Construction</v>
          </cell>
          <cell r="B38">
            <v>144</v>
          </cell>
          <cell r="C38">
            <v>7.575925611051422E-2</v>
          </cell>
          <cell r="D38">
            <v>0.64237266221006528</v>
          </cell>
          <cell r="E38">
            <v>4.8665675034765175E-2</v>
          </cell>
        </row>
        <row r="39">
          <cell r="A39" t="str">
            <v>Entertainment</v>
          </cell>
          <cell r="B39">
            <v>60</v>
          </cell>
          <cell r="C39">
            <v>4.8154167015314088E-2</v>
          </cell>
          <cell r="D39">
            <v>0.13714125017733084</v>
          </cell>
          <cell r="E39">
            <v>6.6039226657281618E-3</v>
          </cell>
        </row>
        <row r="40">
          <cell r="A40" t="str">
            <v>Environmental &amp; Waste Services</v>
          </cell>
          <cell r="B40">
            <v>10</v>
          </cell>
          <cell r="C40">
            <v>0.83833105454766255</v>
          </cell>
          <cell r="D40">
            <v>1.006117767994249</v>
          </cell>
          <cell r="E40">
            <v>0.84345976944175927</v>
          </cell>
        </row>
        <row r="41">
          <cell r="A41" t="str">
            <v>Farming/Agriculture</v>
          </cell>
          <cell r="B41">
            <v>57</v>
          </cell>
          <cell r="C41">
            <v>9.3950548573033893E-2</v>
          </cell>
          <cell r="D41">
            <v>0.43828774850654295</v>
          </cell>
          <cell r="E41">
            <v>4.1177374405029624E-2</v>
          </cell>
        </row>
        <row r="42">
          <cell r="A42" t="str">
            <v>Financial Svcs. (Non-bank &amp; Insurance)</v>
          </cell>
          <cell r="B42">
            <v>254</v>
          </cell>
          <cell r="C42">
            <v>6.7123619413060462E-3</v>
          </cell>
          <cell r="D42">
            <v>0.24313309520786455</v>
          </cell>
          <cell r="E42">
            <v>1.6319973349452094E-3</v>
          </cell>
        </row>
        <row r="43">
          <cell r="A43" t="str">
            <v>Food Processing</v>
          </cell>
          <cell r="B43">
            <v>185</v>
          </cell>
          <cell r="C43">
            <v>0.13447533438704362</v>
          </cell>
          <cell r="D43">
            <v>0.40733985303797321</v>
          </cell>
          <cell r="E43">
            <v>5.4777162946450651E-2</v>
          </cell>
        </row>
        <row r="44">
          <cell r="A44" t="str">
            <v>Food Wholesalers</v>
          </cell>
          <cell r="B44">
            <v>32</v>
          </cell>
          <cell r="C44">
            <v>4.9477152626834789E-2</v>
          </cell>
          <cell r="D44">
            <v>-2.6033413336889013</v>
          </cell>
          <cell r="E44">
            <v>-0.12880591650667342</v>
          </cell>
        </row>
        <row r="45">
          <cell r="A45" t="str">
            <v>Furn/Home Furnishings</v>
          </cell>
          <cell r="B45">
            <v>38</v>
          </cell>
          <cell r="C45">
            <v>0.14085458661753514</v>
          </cell>
          <cell r="D45">
            <v>1.1398352147209652</v>
          </cell>
          <cell r="E45">
            <v>0.16055101798163096</v>
          </cell>
        </row>
        <row r="46">
          <cell r="A46" t="str">
            <v>Green &amp; Renewable Energy</v>
          </cell>
          <cell r="B46">
            <v>18</v>
          </cell>
          <cell r="C46">
            <v>6.280103442734887E-2</v>
          </cell>
          <cell r="D46">
            <v>1.9161914314730939</v>
          </cell>
          <cell r="E46">
            <v>0.12033880405733269</v>
          </cell>
        </row>
        <row r="47">
          <cell r="A47" t="str">
            <v>Healthcare Products</v>
          </cell>
          <cell r="B47">
            <v>13</v>
          </cell>
          <cell r="C47">
            <v>9.8987765742727538E-2</v>
          </cell>
          <cell r="D47">
            <v>1.3246637864868804</v>
          </cell>
          <cell r="E47">
            <v>0.13112550858463776</v>
          </cell>
        </row>
        <row r="48">
          <cell r="A48" t="str">
            <v>Healthcare Support Services</v>
          </cell>
          <cell r="B48">
            <v>30</v>
          </cell>
          <cell r="C48">
            <v>0.33640326513740809</v>
          </cell>
          <cell r="D48">
            <v>1.667038978369614</v>
          </cell>
          <cell r="E48">
            <v>0.5607973554348672</v>
          </cell>
        </row>
        <row r="49">
          <cell r="A49" t="str">
            <v>Heathcare Information and Technology</v>
          </cell>
          <cell r="B49">
            <v>14</v>
          </cell>
          <cell r="C49">
            <v>0.16053382318406825</v>
          </cell>
          <cell r="D49">
            <v>0.42935080078534632</v>
          </cell>
          <cell r="E49">
            <v>6.8925325537212895E-2</v>
          </cell>
        </row>
        <row r="50">
          <cell r="A50" t="str">
            <v>Homebuilding</v>
          </cell>
          <cell r="B50">
            <v>1</v>
          </cell>
          <cell r="C50">
            <v>1.9351717464925013E-2</v>
          </cell>
          <cell r="D50">
            <v>-4.5449999999999999</v>
          </cell>
          <cell r="E50">
            <v>-8.7953555878084178E-2</v>
          </cell>
        </row>
        <row r="51">
          <cell r="A51" t="str">
            <v>Hospitals/Healthcare Facilities</v>
          </cell>
          <cell r="B51">
            <v>24</v>
          </cell>
          <cell r="C51">
            <v>0.16937347750385306</v>
          </cell>
          <cell r="D51">
            <v>0.36507853871185425</v>
          </cell>
          <cell r="E51">
            <v>6.18346216636518E-2</v>
          </cell>
        </row>
        <row r="52">
          <cell r="A52" t="str">
            <v>Hotel/Gaming</v>
          </cell>
          <cell r="B52">
            <v>57</v>
          </cell>
          <cell r="C52">
            <v>5.2289718750837939E-2</v>
          </cell>
          <cell r="D52">
            <v>-0.32336280770495851</v>
          </cell>
          <cell r="E52">
            <v>-1.6908550269373573E-2</v>
          </cell>
        </row>
        <row r="53">
          <cell r="A53" t="str">
            <v>Household Products</v>
          </cell>
          <cell r="B53">
            <v>36</v>
          </cell>
          <cell r="C53">
            <v>0.31665482696145375</v>
          </cell>
          <cell r="D53">
            <v>0.15515145241323383</v>
          </cell>
          <cell r="E53">
            <v>4.9129456316730782E-2</v>
          </cell>
        </row>
        <row r="54">
          <cell r="A54" t="str">
            <v>Information Services</v>
          </cell>
          <cell r="B54">
            <v>24</v>
          </cell>
          <cell r="C54">
            <v>-7.5610892662758599E-3</v>
          </cell>
          <cell r="D54" t="str">
            <v>NA</v>
          </cell>
          <cell r="E54" t="str">
            <v>NA</v>
          </cell>
        </row>
        <row r="55">
          <cell r="A55" t="str">
            <v>Insurance (General)</v>
          </cell>
          <cell r="B55">
            <v>2</v>
          </cell>
          <cell r="C55">
            <v>-0.74265306122448982</v>
          </cell>
          <cell r="D55" t="str">
            <v>NA</v>
          </cell>
          <cell r="E55" t="str">
            <v>NA</v>
          </cell>
        </row>
        <row r="56">
          <cell r="A56" t="str">
            <v>Insurance (Life)</v>
          </cell>
          <cell r="B56">
            <v>7</v>
          </cell>
          <cell r="C56">
            <v>0.48503918606217</v>
          </cell>
          <cell r="D56">
            <v>1.0776730504031691</v>
          </cell>
          <cell r="E56">
            <v>0.52271365920868906</v>
          </cell>
        </row>
        <row r="57">
          <cell r="A57" t="str">
            <v>Insurance (Prop/Cas.)</v>
          </cell>
          <cell r="B57">
            <v>2</v>
          </cell>
          <cell r="C57">
            <v>8.8956498322610267E-2</v>
          </cell>
          <cell r="D57">
            <v>2.3687101478835789E-2</v>
          </cell>
          <cell r="E57">
            <v>2.1071216029695549E-3</v>
          </cell>
        </row>
        <row r="58">
          <cell r="A58" t="str">
            <v>Investments &amp; Asset Management</v>
          </cell>
          <cell r="B58">
            <v>96</v>
          </cell>
          <cell r="C58">
            <v>5.1542131316036174E-2</v>
          </cell>
          <cell r="D58">
            <v>-0.17828198421375291</v>
          </cell>
          <cell r="E58">
            <v>-9.1890334416287415E-3</v>
          </cell>
        </row>
        <row r="59">
          <cell r="A59" t="str">
            <v>Machinery</v>
          </cell>
          <cell r="B59">
            <v>149</v>
          </cell>
          <cell r="C59">
            <v>0.1225804883727552</v>
          </cell>
          <cell r="D59">
            <v>0.46595877840159922</v>
          </cell>
          <cell r="E59">
            <v>5.711745461804045E-2</v>
          </cell>
        </row>
        <row r="60">
          <cell r="A60" t="str">
            <v>Metals &amp; Mining</v>
          </cell>
          <cell r="B60">
            <v>39</v>
          </cell>
          <cell r="C60">
            <v>0.21046688920661849</v>
          </cell>
          <cell r="D60">
            <v>0.22562602282707303</v>
          </cell>
          <cell r="E60">
            <v>4.7486807148475557E-2</v>
          </cell>
        </row>
        <row r="61">
          <cell r="A61" t="str">
            <v>Office Equipment &amp; Services</v>
          </cell>
          <cell r="B61">
            <v>13</v>
          </cell>
          <cell r="C61">
            <v>0.12559802166988535</v>
          </cell>
          <cell r="D61">
            <v>0.75326490938605206</v>
          </cell>
          <cell r="E61">
            <v>9.4608582412233591E-2</v>
          </cell>
        </row>
        <row r="62">
          <cell r="A62" t="str">
            <v>Oil/Gas (Integrated)</v>
          </cell>
          <cell r="B62">
            <v>1</v>
          </cell>
          <cell r="C62">
            <v>0.1098848595789933</v>
          </cell>
          <cell r="D62">
            <v>0.35866953954765568</v>
          </cell>
          <cell r="E62">
            <v>3.9412351988456329E-2</v>
          </cell>
        </row>
        <row r="63">
          <cell r="A63" t="str">
            <v>Oil/Gas (Production and Exploration)</v>
          </cell>
          <cell r="B63">
            <v>6</v>
          </cell>
          <cell r="C63">
            <v>0.20978430327175271</v>
          </cell>
          <cell r="D63">
            <v>0.6485171790246389</v>
          </cell>
          <cell r="E63">
            <v>0.1360487245614464</v>
          </cell>
        </row>
        <row r="64">
          <cell r="A64" t="str">
            <v>Oil/Gas Distribution</v>
          </cell>
          <cell r="B64">
            <v>11</v>
          </cell>
          <cell r="C64">
            <v>0.23549888380661438</v>
          </cell>
          <cell r="D64">
            <v>0.21689389969830022</v>
          </cell>
          <cell r="E64">
            <v>5.1078271283413475E-2</v>
          </cell>
        </row>
        <row r="65">
          <cell r="A65" t="str">
            <v>Oilfield Svcs/Equip.</v>
          </cell>
          <cell r="B65">
            <v>22</v>
          </cell>
          <cell r="C65">
            <v>6.6068807295048201E-2</v>
          </cell>
          <cell r="D65">
            <v>2.1740987584722715</v>
          </cell>
          <cell r="E65">
            <v>0.14364011191390805</v>
          </cell>
        </row>
        <row r="66">
          <cell r="A66" t="str">
            <v>Packaging &amp; Container</v>
          </cell>
          <cell r="B66">
            <v>79</v>
          </cell>
          <cell r="C66">
            <v>9.5540606616498963E-2</v>
          </cell>
          <cell r="D66">
            <v>1.3528022752537048</v>
          </cell>
          <cell r="E66">
            <v>0.12924755000991897</v>
          </cell>
        </row>
        <row r="67">
          <cell r="A67" t="str">
            <v>Paper/Forest Products</v>
          </cell>
          <cell r="B67">
            <v>50</v>
          </cell>
          <cell r="C67">
            <v>0.13374994533427095</v>
          </cell>
          <cell r="D67">
            <v>0.43220992638850314</v>
          </cell>
          <cell r="E67">
            <v>5.7808054027391566E-2</v>
          </cell>
        </row>
        <row r="68">
          <cell r="A68" t="str">
            <v>Power</v>
          </cell>
          <cell r="B68">
            <v>30</v>
          </cell>
          <cell r="C68">
            <v>8.2696670363050673E-2</v>
          </cell>
          <cell r="D68">
            <v>0.6322700593381404</v>
          </cell>
          <cell r="E68">
            <v>5.2286628677512687E-2</v>
          </cell>
        </row>
        <row r="69">
          <cell r="A69" t="str">
            <v>Precious Metals</v>
          </cell>
          <cell r="B69">
            <v>1</v>
          </cell>
          <cell r="C69">
            <v>-5.301080802882141E-2</v>
          </cell>
          <cell r="D69" t="str">
            <v>NA</v>
          </cell>
          <cell r="E69" t="str">
            <v>NA</v>
          </cell>
        </row>
        <row r="70">
          <cell r="A70" t="str">
            <v>Publishing &amp; Newspapers</v>
          </cell>
          <cell r="B70">
            <v>25</v>
          </cell>
          <cell r="C70">
            <v>6.4218423869389196E-2</v>
          </cell>
          <cell r="D70">
            <v>-3.2501892284095488E-2</v>
          </cell>
          <cell r="E70">
            <v>-2.0872202952572742E-3</v>
          </cell>
        </row>
        <row r="71">
          <cell r="A71" t="str">
            <v>R.E.I.T.</v>
          </cell>
          <cell r="B71">
            <v>4</v>
          </cell>
          <cell r="C71">
            <v>4.9187493346518604E-2</v>
          </cell>
          <cell r="D71">
            <v>-0.10685055156666216</v>
          </cell>
          <cell r="E71">
            <v>-5.255710794257038E-3</v>
          </cell>
        </row>
        <row r="72">
          <cell r="A72" t="str">
            <v>Real Estate (Development)</v>
          </cell>
          <cell r="B72">
            <v>137</v>
          </cell>
          <cell r="C72">
            <v>6.3861936512702833E-2</v>
          </cell>
          <cell r="D72">
            <v>0.72178315612017108</v>
          </cell>
          <cell r="E72">
            <v>4.6094470092084644E-2</v>
          </cell>
        </row>
        <row r="73">
          <cell r="A73" t="str">
            <v>Real Estate (General/Diversified)</v>
          </cell>
          <cell r="B73">
            <v>15</v>
          </cell>
          <cell r="C73">
            <v>3.6929998901734373E-2</v>
          </cell>
          <cell r="D73">
            <v>-0.14936515695097619</v>
          </cell>
          <cell r="E73">
            <v>-5.5160550821569329E-3</v>
          </cell>
        </row>
        <row r="74">
          <cell r="A74" t="str">
            <v>Real Estate (Operations &amp; Services)</v>
          </cell>
          <cell r="B74">
            <v>30</v>
          </cell>
          <cell r="C74">
            <v>9.1777448388906585E-2</v>
          </cell>
          <cell r="D74">
            <v>-0.3569986867135469</v>
          </cell>
          <cell r="E74">
            <v>-3.2764428544759978E-2</v>
          </cell>
        </row>
        <row r="75">
          <cell r="A75" t="str">
            <v>Recreation</v>
          </cell>
          <cell r="B75">
            <v>11</v>
          </cell>
          <cell r="C75">
            <v>7.3415578016866628E-2</v>
          </cell>
          <cell r="D75">
            <v>-0.65787781065201723</v>
          </cell>
          <cell r="E75">
            <v>-4.8298479733488581E-2</v>
          </cell>
        </row>
        <row r="76">
          <cell r="A76" t="str">
            <v>Reinsurance</v>
          </cell>
          <cell r="B76">
            <v>1</v>
          </cell>
          <cell r="C76">
            <v>9.1727675389693633E-2</v>
          </cell>
          <cell r="D76">
            <v>3.4129116353550874E-3</v>
          </cell>
          <cell r="E76">
            <v>3.1305845062155988E-4</v>
          </cell>
        </row>
        <row r="77">
          <cell r="A77" t="str">
            <v>Restaurant/Dining</v>
          </cell>
          <cell r="B77">
            <v>13</v>
          </cell>
          <cell r="C77">
            <v>9.0956170319139482E-2</v>
          </cell>
          <cell r="D77">
            <v>0.98617973819658045</v>
          </cell>
          <cell r="E77">
            <v>8.9699132232692561E-2</v>
          </cell>
        </row>
        <row r="78">
          <cell r="A78" t="str">
            <v>Retail (Automotive)</v>
          </cell>
          <cell r="B78">
            <v>4</v>
          </cell>
          <cell r="C78">
            <v>6.4365407710470612E-2</v>
          </cell>
          <cell r="D78">
            <v>1.7932131286483788</v>
          </cell>
          <cell r="E78">
            <v>0.11542089413722149</v>
          </cell>
        </row>
        <row r="79">
          <cell r="A79" t="str">
            <v>Retail (Building Supply)</v>
          </cell>
          <cell r="B79">
            <v>2</v>
          </cell>
          <cell r="C79">
            <v>3.9370986195435213E-2</v>
          </cell>
          <cell r="D79">
            <v>-1.7995437643397778</v>
          </cell>
          <cell r="E79">
            <v>-7.0849812703902906E-2</v>
          </cell>
        </row>
        <row r="80">
          <cell r="A80" t="str">
            <v>Retail (Distributors)</v>
          </cell>
          <cell r="B80">
            <v>239</v>
          </cell>
          <cell r="C80">
            <v>6.8689261905288748E-2</v>
          </cell>
          <cell r="D80">
            <v>1.9151495352569474</v>
          </cell>
          <cell r="E80">
            <v>0.13155020801505649</v>
          </cell>
        </row>
        <row r="81">
          <cell r="A81" t="str">
            <v>Retail (General)</v>
          </cell>
          <cell r="B81">
            <v>5</v>
          </cell>
          <cell r="C81">
            <v>-0.12605658632200917</v>
          </cell>
          <cell r="D81" t="str">
            <v>NA</v>
          </cell>
          <cell r="E81" t="str">
            <v>NA</v>
          </cell>
        </row>
        <row r="82">
          <cell r="A82" t="str">
            <v>Retail (Grocery and Food)</v>
          </cell>
          <cell r="B82">
            <v>5</v>
          </cell>
          <cell r="C82">
            <v>0.19057485838656057</v>
          </cell>
          <cell r="D82">
            <v>1.1102348044084014</v>
          </cell>
          <cell r="E82">
            <v>0.21158284062596186</v>
          </cell>
        </row>
        <row r="83">
          <cell r="A83" t="str">
            <v>Retail (Online)</v>
          </cell>
          <cell r="B83">
            <v>13</v>
          </cell>
          <cell r="C83">
            <v>-0.10306384077234169</v>
          </cell>
          <cell r="D83" t="str">
            <v>NA</v>
          </cell>
          <cell r="E83" t="str">
            <v>NA</v>
          </cell>
        </row>
        <row r="84">
          <cell r="A84" t="str">
            <v>Retail (Special Lines)</v>
          </cell>
          <cell r="B84">
            <v>28</v>
          </cell>
          <cell r="C84">
            <v>4.8689052892431646E-2</v>
          </cell>
          <cell r="D84">
            <v>1.417208206218072</v>
          </cell>
          <cell r="E84">
            <v>6.9002525312139878E-2</v>
          </cell>
        </row>
        <row r="85">
          <cell r="A85" t="str">
            <v>Rubber&amp; Tires</v>
          </cell>
          <cell r="B85">
            <v>16</v>
          </cell>
          <cell r="C85">
            <v>5.9135143065335551E-2</v>
          </cell>
          <cell r="D85">
            <v>1.7097166082735096</v>
          </cell>
          <cell r="E85">
            <v>0.10110433623143425</v>
          </cell>
        </row>
        <row r="86">
          <cell r="A86" t="str">
            <v>Semiconductor</v>
          </cell>
          <cell r="B86">
            <v>8</v>
          </cell>
          <cell r="C86">
            <v>1.8926200126029642E-2</v>
          </cell>
          <cell r="D86">
            <v>8.3739406014669324</v>
          </cell>
          <cell r="E86">
            <v>0.15848687566684819</v>
          </cell>
        </row>
        <row r="87">
          <cell r="A87" t="str">
            <v>Semiconductor Equip</v>
          </cell>
          <cell r="B87">
            <v>1</v>
          </cell>
          <cell r="C87">
            <v>0.17067050953161006</v>
          </cell>
          <cell r="D87">
            <v>3.7305189660419686</v>
          </cell>
          <cell r="E87">
            <v>0.63668957275171789</v>
          </cell>
        </row>
        <row r="88">
          <cell r="A88" t="str">
            <v>Shipbuilding &amp; Marine</v>
          </cell>
          <cell r="B88">
            <v>20</v>
          </cell>
          <cell r="C88">
            <v>0.10065339468144859</v>
          </cell>
          <cell r="D88">
            <v>0.53399783294381487</v>
          </cell>
          <cell r="E88">
            <v>5.3748694638332047E-2</v>
          </cell>
        </row>
        <row r="89">
          <cell r="A89" t="str">
            <v>Shoe</v>
          </cell>
          <cell r="B89">
            <v>12</v>
          </cell>
          <cell r="C89">
            <v>0.15648092232285932</v>
          </cell>
          <cell r="D89">
            <v>0.72860315716744573</v>
          </cell>
          <cell r="E89">
            <v>0.11401249404090913</v>
          </cell>
        </row>
        <row r="90">
          <cell r="A90" t="str">
            <v>Software (Entertainment)</v>
          </cell>
          <cell r="B90">
            <v>7</v>
          </cell>
          <cell r="C90">
            <v>5.9984733530836193E-2</v>
          </cell>
          <cell r="D90">
            <v>0.40206530841180615</v>
          </cell>
          <cell r="E90">
            <v>2.4117780387075665E-2</v>
          </cell>
        </row>
        <row r="91">
          <cell r="A91" t="str">
            <v>Software (Internet)</v>
          </cell>
          <cell r="B91">
            <v>7</v>
          </cell>
          <cell r="C91">
            <v>0.56789025146568062</v>
          </cell>
          <cell r="D91">
            <v>-6.4910136117351636E-2</v>
          </cell>
          <cell r="E91">
            <v>-3.6861833522354379E-2</v>
          </cell>
        </row>
        <row r="92">
          <cell r="A92" t="str">
            <v>Software (System &amp; Application)</v>
          </cell>
          <cell r="B92">
            <v>74</v>
          </cell>
          <cell r="C92">
            <v>0.25609235400320413</v>
          </cell>
          <cell r="D92">
            <v>0.64765322082496157</v>
          </cell>
          <cell r="E92">
            <v>0.16585903789882139</v>
          </cell>
        </row>
        <row r="93">
          <cell r="A93" t="str">
            <v>Steel</v>
          </cell>
          <cell r="B93">
            <v>157</v>
          </cell>
          <cell r="C93">
            <v>0.14882106776599549</v>
          </cell>
          <cell r="D93">
            <v>0.70318179051250562</v>
          </cell>
          <cell r="E93">
            <v>0.10464826489767565</v>
          </cell>
        </row>
        <row r="94">
          <cell r="A94" t="str">
            <v>Telecom (Wireless)</v>
          </cell>
          <cell r="B94">
            <v>3</v>
          </cell>
          <cell r="C94">
            <v>5.1824329356923132E-2</v>
          </cell>
          <cell r="D94">
            <v>-2.3517457986135066</v>
          </cell>
          <cell r="E94">
            <v>-0.12187764883110659</v>
          </cell>
        </row>
        <row r="95">
          <cell r="A95" t="str">
            <v>Telecom. Equipment</v>
          </cell>
          <cell r="B95">
            <v>20</v>
          </cell>
          <cell r="C95">
            <v>1.450058269482798E-2</v>
          </cell>
          <cell r="D95">
            <v>28.45881005219238</v>
          </cell>
          <cell r="E95">
            <v>0.41266932855821736</v>
          </cell>
        </row>
        <row r="96">
          <cell r="A96" t="str">
            <v>Telecom. Services</v>
          </cell>
          <cell r="B96">
            <v>13</v>
          </cell>
          <cell r="C96">
            <v>0.32090346766296463</v>
          </cell>
          <cell r="D96">
            <v>6.8645420617679684E-2</v>
          </cell>
          <cell r="E96">
            <v>2.2028553515396176E-2</v>
          </cell>
        </row>
        <row r="97">
          <cell r="A97" t="str">
            <v>Tobacco</v>
          </cell>
          <cell r="B97">
            <v>5</v>
          </cell>
          <cell r="C97">
            <v>0.26418872028879609</v>
          </cell>
          <cell r="D97">
            <v>0.13033908033352262</v>
          </cell>
          <cell r="E97">
            <v>3.4434114836931928E-2</v>
          </cell>
        </row>
        <row r="98">
          <cell r="A98" t="str">
            <v>Transportation</v>
          </cell>
          <cell r="B98">
            <v>38</v>
          </cell>
          <cell r="C98">
            <v>7.0164053490356385E-2</v>
          </cell>
          <cell r="D98">
            <v>0.35104671237328089</v>
          </cell>
          <cell r="E98">
            <v>2.4630860304572632E-2</v>
          </cell>
        </row>
        <row r="99">
          <cell r="A99" t="str">
            <v>Transportation (Railroads)</v>
          </cell>
          <cell r="B99">
            <v>1</v>
          </cell>
          <cell r="C99">
            <v>0.10595896968298314</v>
          </cell>
          <cell r="D99">
            <v>4.8611039557436616E-3</v>
          </cell>
          <cell r="E99">
            <v>5.1507756667247204E-4</v>
          </cell>
        </row>
        <row r="100">
          <cell r="A100" t="str">
            <v>Trucking</v>
          </cell>
          <cell r="B100">
            <v>12</v>
          </cell>
          <cell r="C100">
            <v>0.15991983580506577</v>
          </cell>
          <cell r="D100">
            <v>0.62135436003497624</v>
          </cell>
          <cell r="E100">
            <v>9.9366887233555121E-2</v>
          </cell>
        </row>
        <row r="101">
          <cell r="A101" t="str">
            <v>Utility (General)</v>
          </cell>
          <cell r="B101">
            <v>0</v>
          </cell>
          <cell r="C101" t="str">
            <v>NA</v>
          </cell>
          <cell r="D101" t="str">
            <v>NA</v>
          </cell>
          <cell r="E101" t="str">
            <v>NA</v>
          </cell>
        </row>
        <row r="102">
          <cell r="A102" t="str">
            <v>Utility (Water)</v>
          </cell>
          <cell r="B102">
            <v>1</v>
          </cell>
          <cell r="C102">
            <v>6.9675444864296276E-2</v>
          </cell>
          <cell r="D102">
            <v>2.2068538367665012</v>
          </cell>
          <cell r="E102">
            <v>0.15376352282718506</v>
          </cell>
        </row>
        <row r="103">
          <cell r="A103" t="str">
            <v>Total Market</v>
          </cell>
          <cell r="B103">
            <v>4149</v>
          </cell>
          <cell r="C103">
            <v>6.9675444864296276E-2</v>
          </cell>
          <cell r="D103">
            <v>0.65584879328164536</v>
          </cell>
          <cell r="E103">
            <v>4.5696556435610526E-2</v>
          </cell>
        </row>
        <row r="104">
          <cell r="A104" t="str">
            <v>Total Market (without financials)</v>
          </cell>
          <cell r="B104">
            <v>3577</v>
          </cell>
          <cell r="C104">
            <v>0.1108387439979267</v>
          </cell>
          <cell r="D104">
            <v>0.63841266876545721</v>
          </cell>
          <cell r="E104">
            <v>7.0760858358327683E-2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creener.in/exce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AP5" activePane="bottomRight" state="frozen"/>
      <selection activeCell="I2" sqref="I2"/>
      <selection pane="topRight" activeCell="I2" sqref="I2"/>
      <selection pane="bottomLeft" activeCell="I2" sqref="I2"/>
      <selection pane="bottomRight" activeCell="AP14" sqref="AP14"/>
    </sheetView>
  </sheetViews>
  <sheetFormatPr defaultColWidth="8.88671875" defaultRowHeight="14.4"/>
  <cols>
    <col min="1" max="1" width="20.6640625" customWidth="1"/>
    <col min="2" max="6" width="13.44140625" customWidth="1"/>
    <col min="7" max="7" width="14.886718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>
      <c r="A1" s="2" t="str">
        <f>'Data Sheet'!B1</f>
        <v>AVENUE SUPERMARTS LTD</v>
      </c>
      <c r="H1" t="str">
        <f>UPDATE</f>
        <v/>
      </c>
      <c r="J1" s="3"/>
      <c r="K1" s="3"/>
      <c r="M1" s="2" t="s">
        <v>1</v>
      </c>
    </row>
    <row r="3" spans="1:14" s="2" customFormat="1">
      <c r="A3" s="9" t="s">
        <v>2</v>
      </c>
      <c r="B3" s="10">
        <f>'Data Sheet'!B16</f>
        <v>42094</v>
      </c>
      <c r="C3" s="10">
        <f>'Data Sheet'!C16</f>
        <v>42460</v>
      </c>
      <c r="D3" s="10">
        <f>'Data Sheet'!D16</f>
        <v>42825</v>
      </c>
      <c r="E3" s="10">
        <f>'Data Sheet'!E16</f>
        <v>43190</v>
      </c>
      <c r="F3" s="10">
        <f>'Data Sheet'!F16</f>
        <v>43555</v>
      </c>
      <c r="G3" s="10">
        <f>'Data Sheet'!G16</f>
        <v>43921</v>
      </c>
      <c r="H3" s="10">
        <f>'Data Sheet'!H16</f>
        <v>44286</v>
      </c>
      <c r="I3" s="10">
        <f>'Data Sheet'!I16</f>
        <v>44651</v>
      </c>
      <c r="J3" s="10">
        <f>'Data Sheet'!J16</f>
        <v>45016</v>
      </c>
      <c r="K3" s="10">
        <f>'Data Sheet'!K16</f>
        <v>45382</v>
      </c>
      <c r="L3" s="11" t="s">
        <v>3</v>
      </c>
      <c r="M3" s="11" t="s">
        <v>4</v>
      </c>
      <c r="N3" s="11" t="s">
        <v>5</v>
      </c>
    </row>
    <row r="4" spans="1:14" s="2" customFormat="1">
      <c r="A4" s="2" t="s">
        <v>6</v>
      </c>
      <c r="B4" s="1">
        <f>'Data Sheet'!B17</f>
        <v>6439.43</v>
      </c>
      <c r="C4" s="1">
        <f>'Data Sheet'!C17</f>
        <v>8583.76</v>
      </c>
      <c r="D4" s="1">
        <f>'Data Sheet'!D17</f>
        <v>11897.7</v>
      </c>
      <c r="E4" s="1">
        <f>'Data Sheet'!E17</f>
        <v>15033.2</v>
      </c>
      <c r="F4" s="1">
        <f>'Data Sheet'!F17</f>
        <v>20004.52</v>
      </c>
      <c r="G4" s="1">
        <f>'Data Sheet'!G17</f>
        <v>24870.2</v>
      </c>
      <c r="H4" s="1">
        <f>'Data Sheet'!H17</f>
        <v>24143.06</v>
      </c>
      <c r="I4" s="1">
        <f>'Data Sheet'!I17</f>
        <v>30976.27</v>
      </c>
      <c r="J4" s="1">
        <f>'Data Sheet'!J17</f>
        <v>42839.56</v>
      </c>
      <c r="K4" s="1">
        <f>'Data Sheet'!K17</f>
        <v>50788.83</v>
      </c>
      <c r="L4" s="1">
        <f>SUM(Quarters!H4:K4)</f>
        <v>57212.740000000005</v>
      </c>
      <c r="M4" s="1">
        <f>$K4+M23*K4</f>
        <v>65076.89746774971</v>
      </c>
      <c r="N4" s="1">
        <f>$K4+N23*L4</f>
        <v>61405.174278508006</v>
      </c>
    </row>
    <row r="5" spans="1:14">
      <c r="A5" t="s">
        <v>7</v>
      </c>
      <c r="B5" s="6">
        <f>SUM('Data Sheet'!B18,'Data Sheet'!B20:B24, -1*'Data Sheet'!B19)</f>
        <v>5983.170000000001</v>
      </c>
      <c r="C5" s="6">
        <f>SUM('Data Sheet'!C18,'Data Sheet'!C20:C24, -1*'Data Sheet'!C19)</f>
        <v>7919.2999999999993</v>
      </c>
      <c r="D5" s="6">
        <f>SUM('Data Sheet'!D18,'Data Sheet'!D20:D24, -1*'Data Sheet'!D19)</f>
        <v>10928.52</v>
      </c>
      <c r="E5" s="6">
        <f>SUM('Data Sheet'!E18,'Data Sheet'!E20:E24, -1*'Data Sheet'!E19)</f>
        <v>13680.34</v>
      </c>
      <c r="F5" s="6">
        <f>SUM('Data Sheet'!F18,'Data Sheet'!F20:F24, -1*'Data Sheet'!F19)</f>
        <v>18371.21</v>
      </c>
      <c r="G5" s="6">
        <f>SUM('Data Sheet'!G18,'Data Sheet'!G20:G24, -1*'Data Sheet'!G19)</f>
        <v>22741.89</v>
      </c>
      <c r="H5" s="6">
        <f>SUM('Data Sheet'!H18,'Data Sheet'!H20:H24, -1*'Data Sheet'!H19)</f>
        <v>22398.230000000003</v>
      </c>
      <c r="I5" s="6">
        <f>SUM('Data Sheet'!I18,'Data Sheet'!I20:I24, -1*'Data Sheet'!I19)</f>
        <v>28473.919999999998</v>
      </c>
      <c r="J5" s="6">
        <f>SUM('Data Sheet'!J18,'Data Sheet'!J20:J24, -1*'Data Sheet'!J19)</f>
        <v>39200.79</v>
      </c>
      <c r="K5" s="6">
        <f>SUM('Data Sheet'!K18,'Data Sheet'!K20:K24, -1*'Data Sheet'!K19)</f>
        <v>46683.189999999995</v>
      </c>
      <c r="L5" s="6">
        <f>SUM(Quarters!H5:K5)</f>
        <v>52736.84</v>
      </c>
      <c r="M5" s="6">
        <f>M4-M6</f>
        <v>59725.353232593181</v>
      </c>
      <c r="N5" s="6">
        <f>N4-N6</f>
        <v>56601.289347403959</v>
      </c>
    </row>
    <row r="6" spans="1:14" s="2" customFormat="1">
      <c r="A6" s="2" t="s">
        <v>8</v>
      </c>
      <c r="B6" s="1">
        <f>B4-B5</f>
        <v>456.25999999999931</v>
      </c>
      <c r="C6" s="1">
        <f t="shared" ref="C6:K6" si="0">C4-C5</f>
        <v>664.46000000000095</v>
      </c>
      <c r="D6" s="1">
        <f t="shared" si="0"/>
        <v>969.18000000000029</v>
      </c>
      <c r="E6" s="1">
        <f t="shared" si="0"/>
        <v>1352.8600000000006</v>
      </c>
      <c r="F6" s="1">
        <f t="shared" si="0"/>
        <v>1633.3100000000013</v>
      </c>
      <c r="G6" s="1">
        <f t="shared" si="0"/>
        <v>2128.3100000000013</v>
      </c>
      <c r="H6" s="1">
        <f t="shared" si="0"/>
        <v>1744.8299999999981</v>
      </c>
      <c r="I6" s="1">
        <f t="shared" si="0"/>
        <v>2502.3500000000022</v>
      </c>
      <c r="J6" s="1">
        <f t="shared" si="0"/>
        <v>3638.7699999999968</v>
      </c>
      <c r="K6" s="1">
        <f t="shared" si="0"/>
        <v>4105.6400000000067</v>
      </c>
      <c r="L6" s="1">
        <f>SUM(Quarters!H6:K6)</f>
        <v>4475.8999999999996</v>
      </c>
      <c r="M6" s="1">
        <f>M4*M24</f>
        <v>5351.5442351565289</v>
      </c>
      <c r="N6" s="1">
        <f>N4*N24</f>
        <v>4803.8849311040503</v>
      </c>
    </row>
    <row r="7" spans="1:14">
      <c r="A7" t="s">
        <v>9</v>
      </c>
      <c r="B7" s="6">
        <f>'Data Sheet'!B25</f>
        <v>20.27</v>
      </c>
      <c r="C7" s="6">
        <f>'Data Sheet'!C25</f>
        <v>17.02</v>
      </c>
      <c r="D7" s="6">
        <f>'Data Sheet'!D25</f>
        <v>27.7</v>
      </c>
      <c r="E7" s="6">
        <f>'Data Sheet'!E25</f>
        <v>87.75</v>
      </c>
      <c r="F7" s="6">
        <f>'Data Sheet'!F25</f>
        <v>48.33</v>
      </c>
      <c r="G7" s="6">
        <f>'Data Sheet'!G25</f>
        <v>59.99</v>
      </c>
      <c r="H7" s="6">
        <f>'Data Sheet'!H25</f>
        <v>194.43</v>
      </c>
      <c r="I7" s="6">
        <f>'Data Sheet'!I25</f>
        <v>113.64</v>
      </c>
      <c r="J7" s="6">
        <f>'Data Sheet'!J25</f>
        <v>127.6</v>
      </c>
      <c r="K7" s="6">
        <f>'Data Sheet'!K25</f>
        <v>144.58000000000001</v>
      </c>
      <c r="L7" s="6">
        <f>SUM(Quarters!H7:K7)</f>
        <v>137.13</v>
      </c>
      <c r="M7" s="6">
        <v>0</v>
      </c>
      <c r="N7" s="6">
        <v>0</v>
      </c>
    </row>
    <row r="8" spans="1:14">
      <c r="A8" t="s">
        <v>10</v>
      </c>
      <c r="B8" s="6">
        <f>'Data Sheet'!B26</f>
        <v>81.540000000000006</v>
      </c>
      <c r="C8" s="6">
        <f>'Data Sheet'!C26</f>
        <v>98.43</v>
      </c>
      <c r="D8" s="6">
        <f>'Data Sheet'!D26</f>
        <v>127.82</v>
      </c>
      <c r="E8" s="6">
        <f>'Data Sheet'!E26</f>
        <v>159</v>
      </c>
      <c r="F8" s="6">
        <f>'Data Sheet'!F26</f>
        <v>212.49</v>
      </c>
      <c r="G8" s="6">
        <f>'Data Sheet'!G26</f>
        <v>374.41</v>
      </c>
      <c r="H8" s="6">
        <f>'Data Sheet'!H26</f>
        <v>414.16</v>
      </c>
      <c r="I8" s="6">
        <f>'Data Sheet'!I26</f>
        <v>498.08</v>
      </c>
      <c r="J8" s="6">
        <f>'Data Sheet'!J26</f>
        <v>638.87</v>
      </c>
      <c r="K8" s="6">
        <f>'Data Sheet'!K26</f>
        <v>730.76</v>
      </c>
      <c r="L8" s="6">
        <f>SUM(Quarters!H8:K8)</f>
        <v>833.55</v>
      </c>
      <c r="M8" s="6">
        <f>+$L8</f>
        <v>833.55</v>
      </c>
      <c r="N8" s="6">
        <f>+$L8</f>
        <v>833.55</v>
      </c>
    </row>
    <row r="9" spans="1:14">
      <c r="A9" t="s">
        <v>11</v>
      </c>
      <c r="B9" s="6">
        <f>'Data Sheet'!B27</f>
        <v>72.36</v>
      </c>
      <c r="C9" s="6">
        <f>'Data Sheet'!C27</f>
        <v>91.34</v>
      </c>
      <c r="D9" s="6">
        <f>'Data Sheet'!D27</f>
        <v>121.98</v>
      </c>
      <c r="E9" s="6">
        <f>'Data Sheet'!E27</f>
        <v>59.54</v>
      </c>
      <c r="F9" s="6">
        <f>'Data Sheet'!F27</f>
        <v>47.21</v>
      </c>
      <c r="G9" s="6">
        <f>'Data Sheet'!G27</f>
        <v>69.12</v>
      </c>
      <c r="H9" s="6">
        <f>'Data Sheet'!H27</f>
        <v>41.65</v>
      </c>
      <c r="I9" s="6">
        <f>'Data Sheet'!I27</f>
        <v>53.79</v>
      </c>
      <c r="J9" s="6">
        <f>'Data Sheet'!J27</f>
        <v>67.41</v>
      </c>
      <c r="K9" s="6">
        <f>'Data Sheet'!K27</f>
        <v>58.13</v>
      </c>
      <c r="L9" s="6">
        <f>SUM(Quarters!H9:K9)</f>
        <v>63.910000000000004</v>
      </c>
      <c r="M9" s="6">
        <f>+$L9</f>
        <v>63.910000000000004</v>
      </c>
      <c r="N9" s="6">
        <f>+$L9</f>
        <v>63.910000000000004</v>
      </c>
    </row>
    <row r="10" spans="1:14">
      <c r="A10" t="s">
        <v>12</v>
      </c>
      <c r="B10" s="6">
        <f>'Data Sheet'!B28</f>
        <v>322.63</v>
      </c>
      <c r="C10" s="6">
        <f>'Data Sheet'!C28</f>
        <v>491.71</v>
      </c>
      <c r="D10" s="6">
        <f>'Data Sheet'!D28</f>
        <v>747.08</v>
      </c>
      <c r="E10" s="6">
        <f>'Data Sheet'!E28</f>
        <v>1222.07</v>
      </c>
      <c r="F10" s="6">
        <f>'Data Sheet'!F28</f>
        <v>1421.94</v>
      </c>
      <c r="G10" s="6">
        <f>'Data Sheet'!G28</f>
        <v>1744.77</v>
      </c>
      <c r="H10" s="6">
        <f>'Data Sheet'!H28</f>
        <v>1483.45</v>
      </c>
      <c r="I10" s="6">
        <f>'Data Sheet'!I28</f>
        <v>2064.12</v>
      </c>
      <c r="J10" s="6">
        <f>'Data Sheet'!J28</f>
        <v>3060.09</v>
      </c>
      <c r="K10" s="6">
        <f>'Data Sheet'!K28</f>
        <v>3461.33</v>
      </c>
      <c r="L10" s="6">
        <f>SUM(Quarters!H10:K10)</f>
        <v>3715.5700000000006</v>
      </c>
      <c r="M10" s="6">
        <f>M6+M7-SUM(M8:M9)</f>
        <v>4454.0842351565288</v>
      </c>
      <c r="N10" s="6">
        <f>N6+N7-SUM(N8:N9)</f>
        <v>3906.4249311040503</v>
      </c>
    </row>
    <row r="11" spans="1:14">
      <c r="A11" t="s">
        <v>13</v>
      </c>
      <c r="B11" s="6">
        <f>'Data Sheet'!B29</f>
        <v>110.92</v>
      </c>
      <c r="C11" s="6">
        <f>'Data Sheet'!C29</f>
        <v>171.47</v>
      </c>
      <c r="D11" s="6">
        <f>'Data Sheet'!D29</f>
        <v>268.27999999999997</v>
      </c>
      <c r="E11" s="6">
        <f>'Data Sheet'!E29</f>
        <v>415.79</v>
      </c>
      <c r="F11" s="6">
        <f>'Data Sheet'!F29</f>
        <v>519.48</v>
      </c>
      <c r="G11" s="6">
        <f>'Data Sheet'!G29</f>
        <v>443.79</v>
      </c>
      <c r="H11" s="6">
        <f>'Data Sheet'!H29</f>
        <v>384.02</v>
      </c>
      <c r="I11" s="6">
        <f>'Data Sheet'!I29</f>
        <v>571.72</v>
      </c>
      <c r="J11" s="6">
        <f>'Data Sheet'!J29</f>
        <v>681.75</v>
      </c>
      <c r="K11" s="6">
        <f>'Data Sheet'!K29</f>
        <v>925.72</v>
      </c>
      <c r="L11" s="6">
        <f>SUM(Quarters!H11:K11)</f>
        <v>995.77</v>
      </c>
      <c r="M11" s="7">
        <f>IF($L10&gt;0,$L11/$L10,0)</f>
        <v>0.26799925717992118</v>
      </c>
      <c r="N11" s="7">
        <f>IF($L10&gt;0,$L11/$L10,0)</f>
        <v>0.26799925717992118</v>
      </c>
    </row>
    <row r="12" spans="1:14" s="2" customFormat="1">
      <c r="A12" s="2" t="s">
        <v>14</v>
      </c>
      <c r="B12" s="1">
        <f>'Data Sheet'!B30</f>
        <v>211.67</v>
      </c>
      <c r="C12" s="1">
        <f>'Data Sheet'!C30</f>
        <v>320.24</v>
      </c>
      <c r="D12" s="1">
        <f>'Data Sheet'!D30</f>
        <v>478.75</v>
      </c>
      <c r="E12" s="1">
        <f>'Data Sheet'!E30</f>
        <v>806.26</v>
      </c>
      <c r="F12" s="1">
        <f>'Data Sheet'!F30</f>
        <v>902.54</v>
      </c>
      <c r="G12" s="1">
        <f>'Data Sheet'!G30</f>
        <v>1301.08</v>
      </c>
      <c r="H12" s="1">
        <f>'Data Sheet'!H30</f>
        <v>1099.49</v>
      </c>
      <c r="I12" s="1">
        <f>'Data Sheet'!I30</f>
        <v>1492.55</v>
      </c>
      <c r="J12" s="1">
        <f>'Data Sheet'!J30</f>
        <v>2378.5100000000002</v>
      </c>
      <c r="K12" s="1">
        <f>'Data Sheet'!K30</f>
        <v>2536.17</v>
      </c>
      <c r="L12" s="1">
        <f>SUM(Quarters!H12:K12)</f>
        <v>2720.37</v>
      </c>
      <c r="M12" s="1">
        <f>M10-M11*M10</f>
        <v>3260.3929687177815</v>
      </c>
      <c r="N12" s="1">
        <f>N10-N11*N10</f>
        <v>2859.5059513390397</v>
      </c>
    </row>
    <row r="13" spans="1:14">
      <c r="A13" t="s">
        <v>48</v>
      </c>
      <c r="B13" s="6">
        <f>IF('Data Sheet'!B93&gt;0,B12/'Data Sheet'!B93,0)</f>
        <v>3.7697239536954585</v>
      </c>
      <c r="C13" s="6">
        <f>IF('Data Sheet'!C93&gt;0,C12/'Data Sheet'!C93,0)</f>
        <v>5.7032947462154944</v>
      </c>
      <c r="D13" s="6">
        <f>IF('Data Sheet'!D93&gt;0,D12/'Data Sheet'!D93,0)</f>
        <v>7.6710463066816219</v>
      </c>
      <c r="E13" s="6">
        <f>IF('Data Sheet'!E93&gt;0,E12/'Data Sheet'!E93,0)</f>
        <v>12.918763018746997</v>
      </c>
      <c r="F13" s="6">
        <f>IF('Data Sheet'!F93&gt;0,F12/'Data Sheet'!F93,0)</f>
        <v>14.461464508892806</v>
      </c>
      <c r="G13" s="6">
        <f>IF('Data Sheet'!G93&gt;0,G12/'Data Sheet'!G93,0)</f>
        <v>20.084594010497067</v>
      </c>
      <c r="H13" s="6">
        <f>IF('Data Sheet'!H93&gt;0,H12/'Data Sheet'!H93,0)</f>
        <v>16.972676752083977</v>
      </c>
      <c r="I13" s="6">
        <f>IF('Data Sheet'!I93&gt;0,I12/'Data Sheet'!I93,0)</f>
        <v>23.040290213028712</v>
      </c>
      <c r="J13" s="6">
        <f>IF('Data Sheet'!J93&gt;0,J12/'Data Sheet'!J93,0)</f>
        <v>36.688415856856395</v>
      </c>
      <c r="K13" s="6">
        <f>IF('Data Sheet'!K93&gt;0,K12/'Data Sheet'!K93,0)</f>
        <v>38.976025818349477</v>
      </c>
      <c r="L13" s="6">
        <f>IF('Data Sheet'!$B6&gt;0,'Profit &amp; Loss'!L12/'Data Sheet'!$B6,0)</f>
        <v>41.804698306654828</v>
      </c>
      <c r="M13" s="6">
        <f>IF('Data Sheet'!$B6&gt;0,'Profit &amp; Loss'!M12/'Data Sheet'!$B6,0)</f>
        <v>50.103384619880956</v>
      </c>
      <c r="N13" s="6">
        <f>IF('Data Sheet'!$B6&gt;0,'Profit &amp; Loss'!N12/'Data Sheet'!$B6,0)</f>
        <v>43.942839981992364</v>
      </c>
    </row>
    <row r="14" spans="1:14">
      <c r="A14" t="s">
        <v>16</v>
      </c>
      <c r="B14" s="6" t="str">
        <f>IF(B15&gt;0,B15/B13,"")</f>
        <v/>
      </c>
      <c r="C14" s="6" t="str">
        <f t="shared" ref="C14:K14" si="1">IF(C15&gt;0,C15/C13,"")</f>
        <v/>
      </c>
      <c r="D14" s="6">
        <f t="shared" si="1"/>
        <v>83.150325848563966</v>
      </c>
      <c r="E14" s="6">
        <f t="shared" si="1"/>
        <v>102.54851784784063</v>
      </c>
      <c r="F14" s="6">
        <f t="shared" si="1"/>
        <v>101.72552019855074</v>
      </c>
      <c r="G14" s="6">
        <f t="shared" si="1"/>
        <v>108.91432502228918</v>
      </c>
      <c r="H14" s="6">
        <f t="shared" si="1"/>
        <v>168.45015325287179</v>
      </c>
      <c r="I14" s="6">
        <f t="shared" si="1"/>
        <v>173.75432179826473</v>
      </c>
      <c r="J14" s="6">
        <f t="shared" si="1"/>
        <v>92.700922636440467</v>
      </c>
      <c r="K14" s="6">
        <f t="shared" si="1"/>
        <v>116.1124025597653</v>
      </c>
      <c r="L14" s="6">
        <f>IF(L13&gt;0,L15/L13,0)</f>
        <v>91.776765660553551</v>
      </c>
      <c r="M14" s="6">
        <f>M25</f>
        <v>118.58610316375602</v>
      </c>
      <c r="N14" s="6">
        <f>N25</f>
        <v>91.776765660553551</v>
      </c>
    </row>
    <row r="15" spans="1:14" s="2" customFormat="1">
      <c r="A15" s="2" t="s">
        <v>49</v>
      </c>
      <c r="B15" s="1">
        <f>'Data Sheet'!B90</f>
        <v>0</v>
      </c>
      <c r="C15" s="1">
        <f>'Data Sheet'!C90</f>
        <v>0</v>
      </c>
      <c r="D15" s="1">
        <f>'Data Sheet'!D90</f>
        <v>637.85</v>
      </c>
      <c r="E15" s="1">
        <f>'Data Sheet'!E90</f>
        <v>1324.8</v>
      </c>
      <c r="F15" s="1">
        <f>'Data Sheet'!F90</f>
        <v>1471.1</v>
      </c>
      <c r="G15" s="1">
        <f>'Data Sheet'!G90</f>
        <v>2187.5</v>
      </c>
      <c r="H15" s="1">
        <f>'Data Sheet'!H90</f>
        <v>2859.05</v>
      </c>
      <c r="I15" s="1">
        <f>'Data Sheet'!I90</f>
        <v>4003.35</v>
      </c>
      <c r="J15" s="1">
        <f>'Data Sheet'!J90</f>
        <v>3401.05</v>
      </c>
      <c r="K15" s="1">
        <f>'Data Sheet'!K90</f>
        <v>4525.6000000000004</v>
      </c>
      <c r="L15" s="1">
        <f>'Data Sheet'!B8</f>
        <v>3836.7</v>
      </c>
      <c r="M15" s="32">
        <f>M13*M14</f>
        <v>5941.5651373865494</v>
      </c>
      <c r="N15" s="33">
        <f>N13*N14</f>
        <v>4032.9317274865166</v>
      </c>
    </row>
    <row r="17" spans="1:14" s="2" customFormat="1">
      <c r="A17" s="2" t="s">
        <v>15</v>
      </c>
    </row>
    <row r="18" spans="1:14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>
      <c r="A19" t="s">
        <v>18</v>
      </c>
      <c r="B19" s="5">
        <f>IF(B6&gt;0,B6/B4,0)</f>
        <v>7.0854097334701868E-2</v>
      </c>
      <c r="C19" s="5">
        <f t="shared" ref="C19:K19" si="2">IF(C6&gt;0,C6/C4,0)</f>
        <v>7.7408967631900347E-2</v>
      </c>
      <c r="D19" s="5">
        <f t="shared" si="2"/>
        <v>8.1459441740840688E-2</v>
      </c>
      <c r="E19" s="5">
        <f t="shared" si="2"/>
        <v>8.9991485512066663E-2</v>
      </c>
      <c r="F19" s="5">
        <f t="shared" si="2"/>
        <v>8.1647047767204675E-2</v>
      </c>
      <c r="G19" s="5">
        <f t="shared" si="2"/>
        <v>8.5576714300649018E-2</v>
      </c>
      <c r="H19" s="5">
        <f t="shared" si="2"/>
        <v>7.2270457845857075E-2</v>
      </c>
      <c r="I19" s="5">
        <f t="shared" si="2"/>
        <v>8.0782805676732614E-2</v>
      </c>
      <c r="J19" s="5">
        <f t="shared" si="2"/>
        <v>8.4939481171141737E-2</v>
      </c>
      <c r="K19" s="5">
        <f t="shared" si="2"/>
        <v>8.0837459732779948E-2</v>
      </c>
      <c r="L19" s="5">
        <f>IF(L6&gt;0,L6/L4,0)</f>
        <v>7.8232575471826715E-2</v>
      </c>
    </row>
    <row r="20" spans="1:1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>
      <c r="A22" s="9"/>
      <c r="B22" s="10"/>
      <c r="C22" s="10"/>
      <c r="D22" s="10"/>
      <c r="E22" s="10"/>
      <c r="F22" s="10"/>
      <c r="G22" s="10" t="s">
        <v>19</v>
      </c>
      <c r="H22" s="10" t="s">
        <v>56</v>
      </c>
      <c r="I22" s="10" t="s">
        <v>57</v>
      </c>
      <c r="J22" s="10" t="s">
        <v>58</v>
      </c>
      <c r="K22" s="10" t="s">
        <v>59</v>
      </c>
      <c r="L22" s="11" t="s">
        <v>60</v>
      </c>
      <c r="M22" s="11" t="s">
        <v>20</v>
      </c>
      <c r="N22" s="11" t="s">
        <v>21</v>
      </c>
    </row>
    <row r="23" spans="1:14" s="2" customFormat="1">
      <c r="A23"/>
      <c r="B23"/>
      <c r="C23"/>
      <c r="D23"/>
      <c r="E23"/>
      <c r="F23"/>
      <c r="G23" t="s">
        <v>22</v>
      </c>
      <c r="H23" s="5">
        <f>IF(B4=0,"",POWER($K4/B4,1/9)-1)</f>
        <v>0.25793402621780914</v>
      </c>
      <c r="I23" s="5">
        <f>IF(D4=0,"",POWER($K4/D4,1/7)-1)</f>
        <v>0.23039228471421391</v>
      </c>
      <c r="J23" s="5">
        <f>IF(F4=0,"",POWER($K4/F4,1/5)-1)</f>
        <v>0.20483621928533635</v>
      </c>
      <c r="K23" s="5">
        <f>IF(H4=0,"",POWER($K4/H4, 1/3)-1)</f>
        <v>0.28132302846412705</v>
      </c>
      <c r="L23" s="5">
        <f>IF(ISERROR(MAX(IF(J4=0,"",(K4-J4)/J4),IF(K4=0,"",(L4-K4)/K4))),"",MAX(IF(J4=0,"",(K4-J4)/J4),IF(K4=0,"",(L4-K4)/K4)))</f>
        <v>0.18555909537819726</v>
      </c>
      <c r="M23" s="14">
        <f>MAX(K23:L23)</f>
        <v>0.28132302846412705</v>
      </c>
      <c r="N23" s="14">
        <f>MIN(H23:L23)</f>
        <v>0.18555909537819726</v>
      </c>
    </row>
    <row r="24" spans="1:14">
      <c r="G24" t="s">
        <v>18</v>
      </c>
      <c r="H24" s="5">
        <f>IF(SUM(B4:$K$4)=0,"",SUMPRODUCT(B19:$K$19,B4:$K$4)/SUM(B4:$K$4))</f>
        <v>8.1485069841210456E-2</v>
      </c>
      <c r="I24" s="5">
        <f>IF(SUM(E4:$K$4)=0,"",SUMPRODUCT(E19:$K$19,E4:$K$4)/SUM(E4:$K$4))</f>
        <v>8.1982303473800214E-2</v>
      </c>
      <c r="J24" s="5">
        <f>IF(SUM(G4:$K$4)=0,"",SUMPRODUCT(G19:$K$19,G4:$K$4)/SUM(G4:$K$4))</f>
        <v>8.1327434403084695E-2</v>
      </c>
      <c r="K24" s="5">
        <f>IF(SUM(I4:$K$4)=0, "", SUMPRODUCT(I19:$K$19,I4:$K$4)/SUM(I4:$K$4))</f>
        <v>8.2234163634008595E-2</v>
      </c>
      <c r="L24" s="5">
        <f>L19</f>
        <v>7.8232575471826715E-2</v>
      </c>
      <c r="M24" s="14">
        <f>MAX(K24:L24)</f>
        <v>8.2234163634008595E-2</v>
      </c>
      <c r="N24" s="14">
        <f>MIN(H24:L24)</f>
        <v>7.8232575471826715E-2</v>
      </c>
    </row>
    <row r="25" spans="1:14">
      <c r="G25" t="s">
        <v>23</v>
      </c>
      <c r="H25" s="6">
        <f>IF(ISERROR(AVERAGEIF(B14:$L14,"&gt;0")),"",AVERAGEIF(B14:$L14,"&gt;0"))</f>
        <v>115.4592505361267</v>
      </c>
      <c r="I25" s="6">
        <f>IF(ISERROR(AVERAGEIF(E14:$L14,"&gt;0")),"",AVERAGEIF(E14:$L14,"&gt;0"))</f>
        <v>119.49786612207205</v>
      </c>
      <c r="J25" s="6">
        <f>IF(ISERROR(AVERAGEIF(G14:$L14,"&gt;0")),"",AVERAGEIF(G14:$L14,"&gt;0"))</f>
        <v>125.28481515503086</v>
      </c>
      <c r="K25" s="6">
        <f>IF(ISERROR(AVERAGEIF(I14:$L14,"&gt;0")),"",AVERAGEIF(I14:$L14,"&gt;0"))</f>
        <v>118.58610316375602</v>
      </c>
      <c r="L25" s="6">
        <f>L14</f>
        <v>91.776765660553551</v>
      </c>
      <c r="M25" s="1">
        <f>MAX(K25:L25)</f>
        <v>118.58610316375602</v>
      </c>
      <c r="N25" s="1">
        <f>MIN(H25:L25)</f>
        <v>91.776765660553551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13" activePane="bottomRight" state="frozen"/>
      <selection pane="topRight" activeCell="B1" sqref="B1"/>
      <selection pane="bottomLeft" activeCell="A4" sqref="A4"/>
      <selection pane="bottomRight" activeCell="D12" sqref="D12"/>
    </sheetView>
  </sheetViews>
  <sheetFormatPr defaultColWidth="8.88671875" defaultRowHeight="14.4"/>
  <cols>
    <col min="1" max="1" width="20.6640625" customWidth="1"/>
    <col min="2" max="11" width="13.44140625" bestFit="1" customWidth="1"/>
  </cols>
  <sheetData>
    <row r="1" spans="1:11" s="2" customFormat="1">
      <c r="A1" s="2" t="str">
        <f>'Profit &amp; Loss'!A1</f>
        <v>AVENUE SUPERMARTS LTD</v>
      </c>
      <c r="E1" t="str">
        <f>UPDATE</f>
        <v/>
      </c>
      <c r="J1" s="2" t="s">
        <v>1</v>
      </c>
    </row>
    <row r="3" spans="1:11" s="2" customFormat="1">
      <c r="A3" s="9" t="s">
        <v>2</v>
      </c>
      <c r="B3" s="10">
        <f>'Data Sheet'!B41</f>
        <v>44834</v>
      </c>
      <c r="C3" s="10">
        <f>'Data Sheet'!C41</f>
        <v>44926</v>
      </c>
      <c r="D3" s="10">
        <f>'Data Sheet'!D41</f>
        <v>45016</v>
      </c>
      <c r="E3" s="10">
        <f>'Data Sheet'!E41</f>
        <v>45107</v>
      </c>
      <c r="F3" s="10">
        <f>'Data Sheet'!F41</f>
        <v>45199</v>
      </c>
      <c r="G3" s="10">
        <f>'Data Sheet'!G41</f>
        <v>45291</v>
      </c>
      <c r="H3" s="10">
        <f>'Data Sheet'!H41</f>
        <v>45382</v>
      </c>
      <c r="I3" s="10">
        <f>'Data Sheet'!I41</f>
        <v>45473</v>
      </c>
      <c r="J3" s="10">
        <f>'Data Sheet'!J41</f>
        <v>45565</v>
      </c>
      <c r="K3" s="10">
        <f>'Data Sheet'!K41</f>
        <v>45657</v>
      </c>
    </row>
    <row r="4" spans="1:11" s="2" customFormat="1">
      <c r="A4" s="2" t="s">
        <v>6</v>
      </c>
      <c r="B4" s="1">
        <f>'Data Sheet'!B42</f>
        <v>10638.33</v>
      </c>
      <c r="C4" s="1">
        <f>'Data Sheet'!C42</f>
        <v>11569.05</v>
      </c>
      <c r="D4" s="1">
        <f>'Data Sheet'!D42</f>
        <v>10594.11</v>
      </c>
      <c r="E4" s="1">
        <f>'Data Sheet'!E42</f>
        <v>11865.44</v>
      </c>
      <c r="F4" s="1">
        <f>'Data Sheet'!F42</f>
        <v>12624.37</v>
      </c>
      <c r="G4" s="1">
        <f>'Data Sheet'!G42</f>
        <v>13572.47</v>
      </c>
      <c r="H4" s="1">
        <f>'Data Sheet'!H42</f>
        <v>12726.55</v>
      </c>
      <c r="I4" s="1">
        <f>'Data Sheet'!I42</f>
        <v>14069.14</v>
      </c>
      <c r="J4" s="1">
        <f>'Data Sheet'!J42</f>
        <v>14444.5</v>
      </c>
      <c r="K4" s="1">
        <f>'Data Sheet'!K42</f>
        <v>15972.55</v>
      </c>
    </row>
    <row r="5" spans="1:11">
      <c r="A5" t="s">
        <v>7</v>
      </c>
      <c r="B5" s="6">
        <f>'Data Sheet'!B43</f>
        <v>9746.31</v>
      </c>
      <c r="C5" s="6">
        <f>'Data Sheet'!C43</f>
        <v>10603.79</v>
      </c>
      <c r="D5" s="6">
        <f>'Data Sheet'!D43</f>
        <v>9822.6</v>
      </c>
      <c r="E5" s="6">
        <f>'Data Sheet'!E43</f>
        <v>10830.17</v>
      </c>
      <c r="F5" s="6">
        <f>'Data Sheet'!F43</f>
        <v>11619.4</v>
      </c>
      <c r="G5" s="6">
        <f>'Data Sheet'!G43</f>
        <v>12452.58</v>
      </c>
      <c r="H5" s="6">
        <f>'Data Sheet'!H43</f>
        <v>11782.91</v>
      </c>
      <c r="I5" s="6">
        <f>'Data Sheet'!I43</f>
        <v>12847.89</v>
      </c>
      <c r="J5" s="6">
        <f>'Data Sheet'!J43</f>
        <v>13350.73</v>
      </c>
      <c r="K5" s="6">
        <f>'Data Sheet'!K43</f>
        <v>14755.31</v>
      </c>
    </row>
    <row r="6" spans="1:11" s="2" customFormat="1">
      <c r="A6" s="2" t="s">
        <v>8</v>
      </c>
      <c r="B6" s="1">
        <f>'Data Sheet'!B50</f>
        <v>892.02</v>
      </c>
      <c r="C6" s="1">
        <f>'Data Sheet'!C50</f>
        <v>965.26</v>
      </c>
      <c r="D6" s="1">
        <f>'Data Sheet'!D50</f>
        <v>771.51</v>
      </c>
      <c r="E6" s="1">
        <f>'Data Sheet'!E50</f>
        <v>1035.27</v>
      </c>
      <c r="F6" s="1">
        <f>'Data Sheet'!F50</f>
        <v>1004.97</v>
      </c>
      <c r="G6" s="1">
        <f>'Data Sheet'!G50</f>
        <v>1119.8900000000001</v>
      </c>
      <c r="H6" s="1">
        <f>'Data Sheet'!H50</f>
        <v>943.64</v>
      </c>
      <c r="I6" s="1">
        <f>'Data Sheet'!I50</f>
        <v>1221.25</v>
      </c>
      <c r="J6" s="1">
        <f>'Data Sheet'!J50</f>
        <v>1093.77</v>
      </c>
      <c r="K6" s="1">
        <f>'Data Sheet'!K50</f>
        <v>1217.24</v>
      </c>
    </row>
    <row r="7" spans="1:11">
      <c r="A7" t="s">
        <v>9</v>
      </c>
      <c r="B7" s="6">
        <f>'Data Sheet'!B44</f>
        <v>35.57</v>
      </c>
      <c r="C7" s="6">
        <f>'Data Sheet'!C44</f>
        <v>31.56</v>
      </c>
      <c r="D7" s="6">
        <f>'Data Sheet'!D44</f>
        <v>33.07</v>
      </c>
      <c r="E7" s="6">
        <f>'Data Sheet'!E44</f>
        <v>38.74</v>
      </c>
      <c r="F7" s="6">
        <f>'Data Sheet'!F44</f>
        <v>36.92</v>
      </c>
      <c r="G7" s="6">
        <f>'Data Sheet'!G44</f>
        <v>32.92</v>
      </c>
      <c r="H7" s="6">
        <f>'Data Sheet'!H44</f>
        <v>37.869999999999997</v>
      </c>
      <c r="I7" s="6">
        <f>'Data Sheet'!I44</f>
        <v>41.6</v>
      </c>
      <c r="J7" s="6">
        <f>'Data Sheet'!J44</f>
        <v>33.520000000000003</v>
      </c>
      <c r="K7" s="6">
        <f>'Data Sheet'!K44</f>
        <v>24.14</v>
      </c>
    </row>
    <row r="8" spans="1:11">
      <c r="A8" t="s">
        <v>10</v>
      </c>
      <c r="B8" s="6">
        <f>'Data Sheet'!B45</f>
        <v>161.96</v>
      </c>
      <c r="C8" s="6">
        <f>'Data Sheet'!C45</f>
        <v>168.09</v>
      </c>
      <c r="D8" s="6">
        <f>'Data Sheet'!D45</f>
        <v>164.08</v>
      </c>
      <c r="E8" s="6">
        <f>'Data Sheet'!E45</f>
        <v>162.18</v>
      </c>
      <c r="F8" s="6">
        <f>'Data Sheet'!F45</f>
        <v>174.36</v>
      </c>
      <c r="G8" s="6">
        <f>'Data Sheet'!G45</f>
        <v>189.33</v>
      </c>
      <c r="H8" s="6">
        <f>'Data Sheet'!H45</f>
        <v>204.89</v>
      </c>
      <c r="I8" s="6">
        <f>'Data Sheet'!I45</f>
        <v>192.76</v>
      </c>
      <c r="J8" s="6">
        <f>'Data Sheet'!J45</f>
        <v>207.78</v>
      </c>
      <c r="K8" s="6">
        <f>'Data Sheet'!K45</f>
        <v>228.12</v>
      </c>
    </row>
    <row r="9" spans="1:11">
      <c r="A9" t="s">
        <v>11</v>
      </c>
      <c r="B9" s="6">
        <f>'Data Sheet'!B46</f>
        <v>17.68</v>
      </c>
      <c r="C9" s="6">
        <f>'Data Sheet'!C46</f>
        <v>16.98</v>
      </c>
      <c r="D9" s="6">
        <f>'Data Sheet'!D46</f>
        <v>15.53</v>
      </c>
      <c r="E9" s="6">
        <f>'Data Sheet'!E46</f>
        <v>14.57</v>
      </c>
      <c r="F9" s="6">
        <f>'Data Sheet'!F46</f>
        <v>15.59</v>
      </c>
      <c r="G9" s="6">
        <f>'Data Sheet'!G46</f>
        <v>14.55</v>
      </c>
      <c r="H9" s="6">
        <f>'Data Sheet'!H46</f>
        <v>13.42</v>
      </c>
      <c r="I9" s="6">
        <f>'Data Sheet'!I46</f>
        <v>15.96</v>
      </c>
      <c r="J9" s="6">
        <f>'Data Sheet'!J46</f>
        <v>16.32</v>
      </c>
      <c r="K9" s="6">
        <f>'Data Sheet'!K46</f>
        <v>18.21</v>
      </c>
    </row>
    <row r="10" spans="1:11">
      <c r="A10" t="s">
        <v>12</v>
      </c>
      <c r="B10" s="6">
        <f>'Data Sheet'!B47</f>
        <v>747.95</v>
      </c>
      <c r="C10" s="6">
        <f>'Data Sheet'!C47</f>
        <v>811.75</v>
      </c>
      <c r="D10" s="6">
        <f>'Data Sheet'!D47</f>
        <v>624.97</v>
      </c>
      <c r="E10" s="6">
        <f>'Data Sheet'!E47</f>
        <v>897.26</v>
      </c>
      <c r="F10" s="6">
        <f>'Data Sheet'!F47</f>
        <v>851.94</v>
      </c>
      <c r="G10" s="6">
        <f>'Data Sheet'!G47</f>
        <v>948.93</v>
      </c>
      <c r="H10" s="6">
        <f>'Data Sheet'!H47</f>
        <v>763.2</v>
      </c>
      <c r="I10" s="6">
        <f>'Data Sheet'!I47</f>
        <v>1054.1300000000001</v>
      </c>
      <c r="J10" s="6">
        <f>'Data Sheet'!J47</f>
        <v>903.19</v>
      </c>
      <c r="K10" s="6">
        <f>'Data Sheet'!K47</f>
        <v>995.05</v>
      </c>
    </row>
    <row r="11" spans="1:11">
      <c r="A11" t="s">
        <v>13</v>
      </c>
      <c r="B11" s="6">
        <f>'Data Sheet'!B48</f>
        <v>62.24</v>
      </c>
      <c r="C11" s="6">
        <f>'Data Sheet'!C48</f>
        <v>222.11</v>
      </c>
      <c r="D11" s="6">
        <f>'Data Sheet'!D48</f>
        <v>164.87</v>
      </c>
      <c r="E11" s="6">
        <f>'Data Sheet'!E48</f>
        <v>238.55</v>
      </c>
      <c r="F11" s="6">
        <f>'Data Sheet'!F48</f>
        <v>228.59</v>
      </c>
      <c r="G11" s="6">
        <f>'Data Sheet'!G48</f>
        <v>258.52</v>
      </c>
      <c r="H11" s="6">
        <f>'Data Sheet'!H48</f>
        <v>200.06</v>
      </c>
      <c r="I11" s="6">
        <f>'Data Sheet'!I48</f>
        <v>280.45</v>
      </c>
      <c r="J11" s="6">
        <f>'Data Sheet'!J48</f>
        <v>243.75</v>
      </c>
      <c r="K11" s="6">
        <f>'Data Sheet'!K48</f>
        <v>271.51</v>
      </c>
    </row>
    <row r="12" spans="1:11" s="2" customFormat="1">
      <c r="A12" s="2" t="s">
        <v>14</v>
      </c>
      <c r="B12" s="1">
        <f>'Data Sheet'!B49</f>
        <v>685.77</v>
      </c>
      <c r="C12" s="1">
        <f>'Data Sheet'!C49</f>
        <v>589.67999999999995</v>
      </c>
      <c r="D12" s="1">
        <f>'Data Sheet'!D49</f>
        <v>460.13</v>
      </c>
      <c r="E12" s="1">
        <f>'Data Sheet'!E49</f>
        <v>658.75</v>
      </c>
      <c r="F12" s="1">
        <f>'Data Sheet'!F49</f>
        <v>623.55999999999995</v>
      </c>
      <c r="G12" s="1">
        <f>'Data Sheet'!G49</f>
        <v>690.61</v>
      </c>
      <c r="H12" s="1">
        <f>'Data Sheet'!H49</f>
        <v>563.25</v>
      </c>
      <c r="I12" s="1">
        <f>'Data Sheet'!I49</f>
        <v>773.82</v>
      </c>
      <c r="J12" s="1">
        <f>'Data Sheet'!J49</f>
        <v>659.58</v>
      </c>
      <c r="K12" s="1">
        <f>'Data Sheet'!K49</f>
        <v>723.72</v>
      </c>
    </row>
    <row r="14" spans="1:11" s="2" customFormat="1">
      <c r="A14" s="2" t="s">
        <v>18</v>
      </c>
      <c r="B14" s="8">
        <f>IF(B4&gt;0,B6/B4,"")</f>
        <v>8.3849626774127148E-2</v>
      </c>
      <c r="C14" s="8">
        <f t="shared" ref="C14:K14" si="0">IF(C4&gt;0,C6/C4,"")</f>
        <v>8.3434681326470195E-2</v>
      </c>
      <c r="D14" s="8">
        <f t="shared" si="0"/>
        <v>7.2824427913246129E-2</v>
      </c>
      <c r="E14" s="8">
        <f t="shared" si="0"/>
        <v>8.7250873123963374E-2</v>
      </c>
      <c r="F14" s="8">
        <f t="shared" si="0"/>
        <v>7.9605556554505297E-2</v>
      </c>
      <c r="G14" s="8">
        <f t="shared" si="0"/>
        <v>8.2511878825298576E-2</v>
      </c>
      <c r="H14" s="8">
        <f t="shared" si="0"/>
        <v>7.4147353367566227E-2</v>
      </c>
      <c r="I14" s="8">
        <f t="shared" si="0"/>
        <v>8.6803457780646159E-2</v>
      </c>
      <c r="J14" s="8">
        <f t="shared" si="0"/>
        <v>7.5722247222126074E-2</v>
      </c>
      <c r="K14" s="8">
        <f t="shared" si="0"/>
        <v>7.6208244769933417E-2</v>
      </c>
    </row>
    <row r="22" s="18" customFormat="1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3"/>
  <sheetViews>
    <sheetView showGridLines="0" zoomScale="110" zoomScaleNormal="110" workbookViewId="0">
      <selection activeCell="E34" sqref="E34"/>
    </sheetView>
  </sheetViews>
  <sheetFormatPr defaultRowHeight="14.4"/>
  <cols>
    <col min="2" max="2" width="13.88671875" customWidth="1"/>
    <col min="3" max="3" width="14.5546875" customWidth="1"/>
    <col min="4" max="4" width="12.6640625" customWidth="1"/>
  </cols>
  <sheetData>
    <row r="2" spans="2:14">
      <c r="C2" s="36">
        <v>41334</v>
      </c>
      <c r="D2" s="36">
        <v>41699</v>
      </c>
      <c r="E2" s="36">
        <v>42064</v>
      </c>
      <c r="F2" s="36">
        <v>42430</v>
      </c>
      <c r="G2" s="36">
        <v>42795</v>
      </c>
      <c r="H2" s="36">
        <v>43160</v>
      </c>
      <c r="I2" s="36">
        <v>43525</v>
      </c>
      <c r="J2" s="36">
        <v>43891</v>
      </c>
      <c r="K2" s="36">
        <v>44256</v>
      </c>
      <c r="L2" s="36">
        <v>44621</v>
      </c>
      <c r="M2" s="36">
        <v>44986</v>
      </c>
      <c r="N2" s="36">
        <v>45352</v>
      </c>
    </row>
    <row r="3" spans="2:14">
      <c r="B3" t="s">
        <v>117</v>
      </c>
      <c r="C3" s="37">
        <v>22163</v>
      </c>
      <c r="D3" s="37">
        <v>36151</v>
      </c>
      <c r="E3" s="37">
        <v>35531</v>
      </c>
      <c r="F3" s="37">
        <v>37900</v>
      </c>
      <c r="G3" s="37">
        <v>30199</v>
      </c>
      <c r="H3" s="37">
        <v>23857</v>
      </c>
      <c r="I3" s="37">
        <v>18891</v>
      </c>
      <c r="J3" s="37">
        <v>26633</v>
      </c>
      <c r="K3" s="37">
        <v>29001</v>
      </c>
      <c r="L3" s="37">
        <v>14283</v>
      </c>
      <c r="M3" s="37">
        <v>35388</v>
      </c>
      <c r="N3" s="37">
        <v>67915</v>
      </c>
    </row>
    <row r="4" spans="2:14">
      <c r="B4" t="s">
        <v>118</v>
      </c>
      <c r="C4" s="37">
        <v>24406</v>
      </c>
      <c r="D4" s="37">
        <v>36303</v>
      </c>
      <c r="E4" s="37">
        <v>43397</v>
      </c>
      <c r="F4" s="37">
        <v>38626</v>
      </c>
      <c r="G4" s="37">
        <v>28840</v>
      </c>
      <c r="H4" s="37">
        <v>33312</v>
      </c>
      <c r="I4" s="37">
        <v>28771</v>
      </c>
      <c r="J4" s="37">
        <v>23352</v>
      </c>
      <c r="K4" s="37">
        <v>31198</v>
      </c>
      <c r="L4" s="37">
        <v>26943</v>
      </c>
      <c r="M4" s="37">
        <v>41694</v>
      </c>
      <c r="N4" s="37">
        <v>65106</v>
      </c>
    </row>
    <row r="5" spans="2:14">
      <c r="B5" t="s">
        <v>69</v>
      </c>
      <c r="C5" s="37">
        <v>-5177</v>
      </c>
      <c r="D5">
        <v>445</v>
      </c>
      <c r="E5" s="37">
        <v>-3179</v>
      </c>
      <c r="F5" s="37">
        <v>-2223</v>
      </c>
      <c r="G5" s="37">
        <v>-4152</v>
      </c>
      <c r="H5" s="37">
        <v>-10688</v>
      </c>
      <c r="I5" s="37">
        <v>-9109</v>
      </c>
      <c r="J5" s="37">
        <v>9950</v>
      </c>
      <c r="K5" s="37">
        <v>-5505</v>
      </c>
      <c r="L5">
        <v>185</v>
      </c>
      <c r="M5" s="37">
        <v>-2213</v>
      </c>
      <c r="N5" s="37">
        <v>-1875</v>
      </c>
    </row>
    <row r="6" spans="2:14">
      <c r="B6" t="s">
        <v>45</v>
      </c>
      <c r="C6" s="37">
        <v>-2656</v>
      </c>
      <c r="D6" s="37">
        <v>-2853</v>
      </c>
      <c r="E6" s="37">
        <v>-3692</v>
      </c>
      <c r="F6" s="37">
        <v>-5743</v>
      </c>
      <c r="G6" s="37">
        <v>-6621</v>
      </c>
      <c r="H6" s="37">
        <v>-3560</v>
      </c>
      <c r="I6" s="37">
        <v>2069</v>
      </c>
      <c r="J6" s="37">
        <v>2326</v>
      </c>
      <c r="K6" s="37">
        <v>3814</v>
      </c>
      <c r="L6">
        <v>472</v>
      </c>
      <c r="M6" s="37">
        <v>-5665</v>
      </c>
      <c r="N6" s="37">
        <v>-7265</v>
      </c>
    </row>
    <row r="7" spans="2:14">
      <c r="B7" t="s">
        <v>119</v>
      </c>
      <c r="C7" s="37">
        <v>8132</v>
      </c>
      <c r="D7" s="37">
        <v>4694</v>
      </c>
      <c r="E7" s="37">
        <v>3598</v>
      </c>
      <c r="F7" s="37">
        <v>3947</v>
      </c>
      <c r="G7" s="37">
        <v>9301</v>
      </c>
      <c r="H7" s="37">
        <v>7320</v>
      </c>
      <c r="I7" s="37">
        <v>-4692</v>
      </c>
      <c r="J7" s="37">
        <v>-8085</v>
      </c>
      <c r="K7" s="37">
        <v>5748</v>
      </c>
      <c r="L7" s="37">
        <v>-7012</v>
      </c>
      <c r="M7" s="37">
        <v>6945</v>
      </c>
      <c r="N7" s="37">
        <v>13706</v>
      </c>
    </row>
    <row r="8" spans="2:14">
      <c r="B8" t="s">
        <v>120</v>
      </c>
      <c r="C8">
        <v>0</v>
      </c>
      <c r="D8">
        <v>0</v>
      </c>
      <c r="E8">
        <v>0</v>
      </c>
      <c r="F8">
        <v>-520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>
      <c r="B9" t="s">
        <v>121</v>
      </c>
      <c r="C9">
        <v>-303</v>
      </c>
      <c r="D9" s="37">
        <v>1870</v>
      </c>
      <c r="E9">
        <v>-398</v>
      </c>
      <c r="F9" s="37">
        <v>5852</v>
      </c>
      <c r="G9" s="37">
        <v>4727</v>
      </c>
      <c r="H9">
        <v>494</v>
      </c>
      <c r="I9" s="37">
        <v>4512</v>
      </c>
      <c r="J9">
        <v>875</v>
      </c>
      <c r="K9" s="37">
        <v>-4150</v>
      </c>
      <c r="L9" s="37">
        <v>-4396</v>
      </c>
      <c r="M9" s="37">
        <v>-2194</v>
      </c>
      <c r="N9" s="37">
        <v>2760</v>
      </c>
    </row>
    <row r="10" spans="2:14">
      <c r="B10" t="s">
        <v>122</v>
      </c>
      <c r="C10">
        <v>-3</v>
      </c>
      <c r="D10" s="37">
        <v>4157</v>
      </c>
      <c r="E10" s="37">
        <v>-3672</v>
      </c>
      <c r="F10" s="37">
        <v>1313</v>
      </c>
      <c r="G10" s="37">
        <v>3254</v>
      </c>
      <c r="H10" s="37">
        <v>-6434</v>
      </c>
      <c r="I10" s="37">
        <v>-7221</v>
      </c>
      <c r="J10" s="37">
        <v>5065</v>
      </c>
      <c r="K10">
        <v>-93</v>
      </c>
      <c r="L10" s="37">
        <v>-10750</v>
      </c>
      <c r="M10" s="37">
        <v>-3127</v>
      </c>
      <c r="N10" s="37">
        <v>7325</v>
      </c>
    </row>
    <row r="11" spans="2:14">
      <c r="B11" t="s">
        <v>123</v>
      </c>
      <c r="C11" s="37">
        <v>-2240</v>
      </c>
      <c r="D11" s="37">
        <v>-4308</v>
      </c>
      <c r="E11" s="37">
        <v>-4194</v>
      </c>
      <c r="F11" s="37">
        <v>-2040</v>
      </c>
      <c r="G11" s="37">
        <v>-1895</v>
      </c>
      <c r="H11" s="37">
        <v>-3021</v>
      </c>
      <c r="I11" s="37">
        <v>-2659</v>
      </c>
      <c r="J11" s="37">
        <v>-1785</v>
      </c>
      <c r="K11" s="37">
        <v>-2105</v>
      </c>
      <c r="L11" s="37">
        <v>-1910</v>
      </c>
      <c r="M11" s="37">
        <v>-3179</v>
      </c>
      <c r="N11" s="37">
        <v>-4516</v>
      </c>
    </row>
    <row r="12" spans="2:14">
      <c r="B12" t="s">
        <v>124</v>
      </c>
      <c r="C12" s="37">
        <v>-22969</v>
      </c>
      <c r="D12" s="37">
        <v>-27991</v>
      </c>
      <c r="E12" s="37">
        <v>-36232</v>
      </c>
      <c r="F12" s="37">
        <v>-36694</v>
      </c>
      <c r="G12" s="37">
        <v>-39571</v>
      </c>
      <c r="H12" s="37">
        <v>-25139</v>
      </c>
      <c r="I12" s="37">
        <v>-20878</v>
      </c>
      <c r="J12" s="37">
        <v>-33115</v>
      </c>
      <c r="K12" s="37">
        <v>-25672</v>
      </c>
      <c r="L12" s="37">
        <v>-4444</v>
      </c>
      <c r="M12" s="37">
        <v>-15417</v>
      </c>
      <c r="N12" s="37">
        <v>-22782</v>
      </c>
    </row>
    <row r="13" spans="2:14">
      <c r="B13" t="s">
        <v>125</v>
      </c>
      <c r="C13" s="37">
        <v>-18863</v>
      </c>
      <c r="D13" s="37">
        <v>-26975</v>
      </c>
      <c r="E13" s="37">
        <v>-31962</v>
      </c>
      <c r="F13" s="37">
        <v>-31503</v>
      </c>
      <c r="G13" s="37">
        <v>-16072</v>
      </c>
      <c r="H13" s="37">
        <v>-35079</v>
      </c>
      <c r="I13" s="37">
        <v>-35304</v>
      </c>
      <c r="J13" s="37">
        <v>-29702</v>
      </c>
      <c r="K13" s="37">
        <v>-20205</v>
      </c>
      <c r="L13" s="37">
        <v>-15168</v>
      </c>
      <c r="M13" s="37">
        <v>-19230</v>
      </c>
      <c r="N13" s="37">
        <v>-31414</v>
      </c>
    </row>
    <row r="14" spans="2:14">
      <c r="B14" t="s">
        <v>126</v>
      </c>
      <c r="C14">
        <v>37</v>
      </c>
      <c r="D14">
        <v>50</v>
      </c>
      <c r="E14">
        <v>74</v>
      </c>
      <c r="F14">
        <v>59</v>
      </c>
      <c r="G14">
        <v>53</v>
      </c>
      <c r="H14">
        <v>30</v>
      </c>
      <c r="I14">
        <v>67</v>
      </c>
      <c r="J14">
        <v>171</v>
      </c>
      <c r="K14">
        <v>351</v>
      </c>
      <c r="L14">
        <v>230</v>
      </c>
      <c r="M14">
        <v>285</v>
      </c>
      <c r="N14">
        <v>231</v>
      </c>
    </row>
    <row r="15" spans="2:14">
      <c r="B15" t="s">
        <v>127</v>
      </c>
      <c r="C15">
        <v>73</v>
      </c>
      <c r="D15">
        <v>-429</v>
      </c>
      <c r="E15" s="37">
        <v>-5461</v>
      </c>
      <c r="F15" s="37">
        <v>-4728</v>
      </c>
      <c r="G15">
        <v>-6</v>
      </c>
      <c r="H15">
        <v>-329</v>
      </c>
      <c r="I15">
        <v>-130</v>
      </c>
      <c r="J15" s="37">
        <v>-1439</v>
      </c>
      <c r="K15" s="37">
        <v>-7530</v>
      </c>
      <c r="L15" s="37">
        <v>-3008</v>
      </c>
      <c r="M15">
        <v>-50</v>
      </c>
      <c r="N15">
        <v>-74</v>
      </c>
    </row>
    <row r="16" spans="2:14">
      <c r="B16" t="s">
        <v>128</v>
      </c>
      <c r="C16">
        <v>34</v>
      </c>
      <c r="D16">
        <v>4</v>
      </c>
      <c r="E16">
        <v>42</v>
      </c>
      <c r="F16">
        <v>89</v>
      </c>
      <c r="G16" s="37">
        <v>1965</v>
      </c>
      <c r="H16" s="37">
        <v>2381</v>
      </c>
      <c r="I16" s="37">
        <v>5644</v>
      </c>
      <c r="J16">
        <v>21</v>
      </c>
      <c r="K16">
        <v>226</v>
      </c>
      <c r="L16">
        <v>104</v>
      </c>
      <c r="M16" s="37">
        <v>6895</v>
      </c>
      <c r="N16" s="37">
        <v>10820</v>
      </c>
    </row>
    <row r="17" spans="2:14">
      <c r="B17" t="s">
        <v>129</v>
      </c>
      <c r="C17">
        <v>713</v>
      </c>
      <c r="D17">
        <v>653</v>
      </c>
      <c r="E17">
        <v>698</v>
      </c>
      <c r="F17">
        <v>731</v>
      </c>
      <c r="G17">
        <v>638</v>
      </c>
      <c r="H17">
        <v>690</v>
      </c>
      <c r="I17">
        <v>761</v>
      </c>
      <c r="J17" s="37">
        <v>1104</v>
      </c>
      <c r="K17">
        <v>428</v>
      </c>
      <c r="L17">
        <v>653</v>
      </c>
      <c r="M17">
        <v>973</v>
      </c>
      <c r="N17" s="37">
        <v>2493</v>
      </c>
    </row>
    <row r="18" spans="2:14">
      <c r="B18" t="s">
        <v>130</v>
      </c>
      <c r="C18">
        <v>95</v>
      </c>
      <c r="D18">
        <v>40</v>
      </c>
      <c r="E18">
        <v>80</v>
      </c>
      <c r="F18">
        <v>58</v>
      </c>
      <c r="G18">
        <v>620</v>
      </c>
      <c r="H18" s="37">
        <v>1797</v>
      </c>
      <c r="I18">
        <v>232</v>
      </c>
      <c r="J18">
        <v>21</v>
      </c>
      <c r="K18">
        <v>18</v>
      </c>
      <c r="L18">
        <v>32</v>
      </c>
      <c r="M18">
        <v>46</v>
      </c>
      <c r="N18">
        <v>47</v>
      </c>
    </row>
    <row r="19" spans="2:14">
      <c r="B19" t="s">
        <v>131</v>
      </c>
      <c r="C19">
        <v>0</v>
      </c>
      <c r="D19">
        <v>0</v>
      </c>
      <c r="E19">
        <v>-160</v>
      </c>
      <c r="F19">
        <v>0</v>
      </c>
      <c r="G19">
        <v>-107</v>
      </c>
      <c r="H19">
        <v>-4</v>
      </c>
      <c r="I19">
        <v>-9</v>
      </c>
      <c r="J19">
        <v>-606</v>
      </c>
      <c r="K19">
        <v>-10</v>
      </c>
      <c r="L19">
        <v>0</v>
      </c>
      <c r="M19">
        <v>0</v>
      </c>
      <c r="N19">
        <v>-150</v>
      </c>
    </row>
    <row r="20" spans="2:14">
      <c r="B20" t="s">
        <v>132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533</v>
      </c>
      <c r="J20">
        <v>0</v>
      </c>
      <c r="K20">
        <v>0</v>
      </c>
      <c r="L20">
        <v>0</v>
      </c>
      <c r="M20">
        <v>19</v>
      </c>
      <c r="N20">
        <v>108</v>
      </c>
    </row>
    <row r="21" spans="2:14">
      <c r="B21" t="s">
        <v>133</v>
      </c>
      <c r="C21">
        <v>0</v>
      </c>
      <c r="D21">
        <v>-185</v>
      </c>
      <c r="E21">
        <v>0</v>
      </c>
      <c r="F21">
        <v>-111</v>
      </c>
      <c r="G21">
        <v>0</v>
      </c>
      <c r="H21">
        <v>0</v>
      </c>
      <c r="I21">
        <v>-8</v>
      </c>
      <c r="J21">
        <v>-27</v>
      </c>
      <c r="K21">
        <v>0</v>
      </c>
      <c r="L21">
        <v>-98</v>
      </c>
      <c r="M21">
        <v>0</v>
      </c>
      <c r="N21">
        <v>0</v>
      </c>
    </row>
    <row r="22" spans="2:14">
      <c r="B22" t="s">
        <v>134</v>
      </c>
      <c r="C22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-24</v>
      </c>
    </row>
    <row r="23" spans="2:14">
      <c r="B23" t="s">
        <v>135</v>
      </c>
      <c r="C23" s="37">
        <v>-5103</v>
      </c>
      <c r="D23" s="37">
        <v>-1149</v>
      </c>
      <c r="E23">
        <v>456</v>
      </c>
      <c r="F23" s="37">
        <v>-1289</v>
      </c>
      <c r="G23" s="37">
        <v>-26663</v>
      </c>
      <c r="H23" s="37">
        <v>5360</v>
      </c>
      <c r="I23" s="37">
        <v>7335</v>
      </c>
      <c r="J23" s="37">
        <v>-2659</v>
      </c>
      <c r="K23" s="37">
        <v>1051</v>
      </c>
      <c r="L23" s="37">
        <v>12813</v>
      </c>
      <c r="M23" s="37">
        <v>-4357</v>
      </c>
      <c r="N23" s="37">
        <v>-4817</v>
      </c>
    </row>
    <row r="24" spans="2:14">
      <c r="B24" t="s">
        <v>136</v>
      </c>
      <c r="C24" s="37">
        <v>-1692</v>
      </c>
      <c r="D24" s="37">
        <v>-3883</v>
      </c>
      <c r="E24" s="37">
        <v>5201</v>
      </c>
      <c r="F24" s="37">
        <v>-3795</v>
      </c>
      <c r="G24" s="37">
        <v>6205</v>
      </c>
      <c r="H24" s="37">
        <v>2012</v>
      </c>
      <c r="I24" s="37">
        <v>8830</v>
      </c>
      <c r="J24" s="37">
        <v>3390</v>
      </c>
      <c r="K24" s="37">
        <v>9904</v>
      </c>
      <c r="L24" s="37">
        <v>-3380</v>
      </c>
      <c r="M24" s="37">
        <v>-26243</v>
      </c>
      <c r="N24" s="37">
        <v>-37006</v>
      </c>
    </row>
    <row r="25" spans="2:14">
      <c r="B25" t="s">
        <v>137</v>
      </c>
      <c r="C25">
        <v>1</v>
      </c>
      <c r="D25">
        <v>0</v>
      </c>
      <c r="E25">
        <v>0</v>
      </c>
      <c r="F25" s="37">
        <v>7433</v>
      </c>
      <c r="G25">
        <v>5</v>
      </c>
      <c r="H25">
        <v>0</v>
      </c>
      <c r="I25">
        <v>0</v>
      </c>
      <c r="J25" s="37">
        <v>3889</v>
      </c>
      <c r="K25" s="37">
        <v>2603</v>
      </c>
      <c r="L25">
        <v>19</v>
      </c>
      <c r="M25">
        <v>20</v>
      </c>
      <c r="N25">
        <v>82</v>
      </c>
    </row>
    <row r="26" spans="2:14">
      <c r="B26" t="s">
        <v>138</v>
      </c>
      <c r="C26">
        <v>-97</v>
      </c>
      <c r="D26">
        <v>-658</v>
      </c>
      <c r="E26">
        <v>-744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>
      <c r="B27" t="s">
        <v>139</v>
      </c>
      <c r="C27" s="37">
        <v>27863</v>
      </c>
      <c r="D27" s="37">
        <v>33258</v>
      </c>
      <c r="E27" s="37">
        <v>36363</v>
      </c>
      <c r="F27" s="37">
        <v>19519</v>
      </c>
      <c r="G27" s="37">
        <v>33390</v>
      </c>
      <c r="H27" s="37">
        <v>37482</v>
      </c>
      <c r="I27" s="37">
        <v>51128</v>
      </c>
      <c r="J27" s="37">
        <v>38297</v>
      </c>
      <c r="K27" s="37">
        <v>46641</v>
      </c>
      <c r="L27" s="37">
        <v>46578</v>
      </c>
      <c r="M27" s="37">
        <v>43934</v>
      </c>
      <c r="N27" s="37">
        <v>18747</v>
      </c>
    </row>
    <row r="28" spans="2:14">
      <c r="B28" t="s">
        <v>140</v>
      </c>
      <c r="C28" s="37">
        <v>-20395</v>
      </c>
      <c r="D28" s="37">
        <v>-29141</v>
      </c>
      <c r="E28" s="37">
        <v>-23332</v>
      </c>
      <c r="F28" s="37">
        <v>-24924</v>
      </c>
      <c r="G28" s="37">
        <v>-21732</v>
      </c>
      <c r="H28" s="37">
        <v>-29964</v>
      </c>
      <c r="I28" s="37">
        <v>-35198</v>
      </c>
      <c r="J28" s="37">
        <v>-29847</v>
      </c>
      <c r="K28" s="37">
        <v>-29709</v>
      </c>
      <c r="L28" s="37">
        <v>-42816</v>
      </c>
      <c r="M28" s="37">
        <v>-62557</v>
      </c>
      <c r="N28" s="37">
        <v>-47332</v>
      </c>
    </row>
    <row r="29" spans="2:14">
      <c r="B29" t="s">
        <v>141</v>
      </c>
      <c r="C29" s="37">
        <v>-4666</v>
      </c>
      <c r="D29" s="37">
        <v>-6171</v>
      </c>
      <c r="E29" s="37">
        <v>-6307</v>
      </c>
      <c r="F29" s="37">
        <v>-5716</v>
      </c>
      <c r="G29" s="37">
        <v>-5336</v>
      </c>
      <c r="H29" s="37">
        <v>-5411</v>
      </c>
      <c r="I29" s="37">
        <v>-7005</v>
      </c>
      <c r="J29" s="37">
        <v>-7518</v>
      </c>
      <c r="K29" s="37">
        <v>-8123</v>
      </c>
      <c r="L29" s="37">
        <v>-9251</v>
      </c>
      <c r="M29" s="37">
        <v>-9336</v>
      </c>
      <c r="N29" s="37">
        <v>-9332</v>
      </c>
    </row>
    <row r="30" spans="2:14">
      <c r="B30" t="s">
        <v>142</v>
      </c>
      <c r="C30" s="37">
        <v>-1551</v>
      </c>
      <c r="D30">
        <v>-722</v>
      </c>
      <c r="E30">
        <v>-720</v>
      </c>
      <c r="F30">
        <v>-108</v>
      </c>
      <c r="G30">
        <v>-121</v>
      </c>
      <c r="H30">
        <v>-96</v>
      </c>
      <c r="I30">
        <v>-95</v>
      </c>
      <c r="J30">
        <v>-57</v>
      </c>
      <c r="K30">
        <v>-30</v>
      </c>
      <c r="L30">
        <v>-100</v>
      </c>
      <c r="M30">
        <v>-141</v>
      </c>
      <c r="N30" s="37">
        <v>-1059</v>
      </c>
    </row>
    <row r="31" spans="2:14">
      <c r="B31" t="s">
        <v>143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7">
        <v>-1346</v>
      </c>
      <c r="K31" s="37">
        <v>-1477</v>
      </c>
      <c r="L31" s="37">
        <v>-1559</v>
      </c>
      <c r="M31" s="37">
        <v>-1517</v>
      </c>
      <c r="N31" s="37">
        <v>-1924</v>
      </c>
    </row>
    <row r="32" spans="2:14">
      <c r="B32" t="s">
        <v>144</v>
      </c>
      <c r="C32" s="37">
        <v>-2849</v>
      </c>
      <c r="D32">
        <v>-450</v>
      </c>
      <c r="E32">
        <v>-57</v>
      </c>
      <c r="F32">
        <v>0</v>
      </c>
      <c r="G32">
        <v>0</v>
      </c>
      <c r="H32">
        <v>0</v>
      </c>
      <c r="I32">
        <v>0</v>
      </c>
      <c r="J32">
        <v>-29</v>
      </c>
      <c r="K32">
        <v>0</v>
      </c>
      <c r="L32" s="37">
        <v>3750</v>
      </c>
      <c r="M32" s="37">
        <v>3355</v>
      </c>
      <c r="N32" s="37">
        <v>3812</v>
      </c>
    </row>
    <row r="33" spans="2:14">
      <c r="B33" t="s">
        <v>35</v>
      </c>
      <c r="C33" s="37">
        <v>-2499</v>
      </c>
      <c r="D33" s="37">
        <v>4277</v>
      </c>
      <c r="E33" s="37">
        <v>4500</v>
      </c>
      <c r="F33" s="37">
        <v>-2589</v>
      </c>
      <c r="G33" s="37">
        <v>-3167</v>
      </c>
      <c r="H33">
        <v>730</v>
      </c>
      <c r="I33" s="37">
        <v>6843</v>
      </c>
      <c r="J33" s="37">
        <v>-3092</v>
      </c>
      <c r="K33" s="37">
        <v>13232</v>
      </c>
      <c r="L33" s="37">
        <v>6459</v>
      </c>
      <c r="M33" s="37">
        <v>-6272</v>
      </c>
      <c r="N33" s="37">
        <v>8128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16"/>
  <sheetViews>
    <sheetView showGridLines="0" zoomScale="75" zoomScaleNormal="70" workbookViewId="0">
      <selection activeCell="D5" sqref="D5 D8"/>
    </sheetView>
  </sheetViews>
  <sheetFormatPr defaultRowHeight="14.4"/>
  <cols>
    <col min="1" max="1" width="1.6640625" customWidth="1"/>
    <col min="2" max="2" width="25.6640625" customWidth="1"/>
    <col min="3" max="3" width="16.6640625" customWidth="1"/>
    <col min="4" max="4" width="18.33203125" customWidth="1"/>
    <col min="5" max="5" width="16.88671875" customWidth="1"/>
    <col min="6" max="6" width="17" customWidth="1"/>
    <col min="7" max="7" width="17.5546875" customWidth="1"/>
    <col min="8" max="8" width="17.6640625" customWidth="1"/>
    <col min="9" max="9" width="18.5546875" customWidth="1"/>
    <col min="10" max="10" width="19.33203125" customWidth="1"/>
    <col min="11" max="11" width="17.33203125" customWidth="1"/>
    <col min="12" max="12" width="16.44140625" customWidth="1"/>
    <col min="13" max="13" width="13.88671875" customWidth="1"/>
  </cols>
  <sheetData>
    <row r="2" spans="1:13">
      <c r="B2" s="281" t="str">
        <f>"Historical Financail Statement - " &amp; 'Data Sheet'!B1</f>
        <v>Historical Financail Statement - AVENUE SUPERMARTS LTD</v>
      </c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</row>
    <row r="3" spans="1:13">
      <c r="B3" s="174" t="s">
        <v>81</v>
      </c>
      <c r="C3" s="175">
        <f>'Data Sheet'!B56</f>
        <v>42094</v>
      </c>
      <c r="D3" s="175">
        <f>'Data Sheet'!C56</f>
        <v>42460</v>
      </c>
      <c r="E3" s="175">
        <f>'Data Sheet'!D56</f>
        <v>42825</v>
      </c>
      <c r="F3" s="175">
        <f>'Data Sheet'!E56</f>
        <v>43190</v>
      </c>
      <c r="G3" s="175">
        <f>'Data Sheet'!F56</f>
        <v>43555</v>
      </c>
      <c r="H3" s="175">
        <f>'Data Sheet'!G56</f>
        <v>43921</v>
      </c>
      <c r="I3" s="175">
        <f>'Data Sheet'!H56</f>
        <v>44286</v>
      </c>
      <c r="J3" s="175">
        <f>'Data Sheet'!I56</f>
        <v>44651</v>
      </c>
      <c r="K3" s="175">
        <f>'Data Sheet'!J56</f>
        <v>45016</v>
      </c>
      <c r="L3" s="175">
        <f>'Data Sheet'!K56</f>
        <v>45382</v>
      </c>
      <c r="M3" s="177" t="s">
        <v>82</v>
      </c>
    </row>
    <row r="4" spans="1:13">
      <c r="A4" t="s">
        <v>84</v>
      </c>
      <c r="B4" s="29" t="s">
        <v>83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B5" s="20" t="s">
        <v>6</v>
      </c>
      <c r="C5" s="23">
        <f>IFERROR('Data Sheet'!B17,0)</f>
        <v>6439.43</v>
      </c>
      <c r="D5" s="23">
        <f>IFERROR('Data Sheet'!C17,0)</f>
        <v>8583.76</v>
      </c>
      <c r="E5" s="23">
        <f>IFERROR('Data Sheet'!D17,0)</f>
        <v>11897.7</v>
      </c>
      <c r="F5" s="23">
        <f>IFERROR('Data Sheet'!E17,0)</f>
        <v>15033.2</v>
      </c>
      <c r="G5" s="23">
        <f>IFERROR('Data Sheet'!F17,0)</f>
        <v>20004.52</v>
      </c>
      <c r="H5" s="23">
        <f>IFERROR('Data Sheet'!G17,0)</f>
        <v>24870.2</v>
      </c>
      <c r="I5" s="23">
        <f>IFERROR('Data Sheet'!H17,0)</f>
        <v>24143.06</v>
      </c>
      <c r="J5" s="23">
        <f>IFERROR('Data Sheet'!I17,0)</f>
        <v>30976.27</v>
      </c>
      <c r="K5" s="23">
        <f>IFERROR('Data Sheet'!J17,0)</f>
        <v>42839.56</v>
      </c>
      <c r="L5" s="23">
        <f>IFERROR('Data Sheet'!K17,0)</f>
        <v>50788.83</v>
      </c>
      <c r="M5" s="23">
        <f>IFERROR(SUM('Data Sheet'!H42:K42),0)</f>
        <v>57212.740000000005</v>
      </c>
    </row>
    <row r="6" spans="1:13">
      <c r="B6" s="24" t="s">
        <v>88</v>
      </c>
      <c r="C6" s="34" t="s">
        <v>85</v>
      </c>
      <c r="D6" s="35">
        <f>D5/C5-1</f>
        <v>0.33299997049428276</v>
      </c>
      <c r="E6" s="35">
        <f t="shared" ref="E6:M6" si="0">E5/D5-1</f>
        <v>0.38607090598991589</v>
      </c>
      <c r="F6" s="35">
        <f t="shared" si="0"/>
        <v>0.26353833093791246</v>
      </c>
      <c r="G6" s="35">
        <f t="shared" si="0"/>
        <v>0.33068940744485542</v>
      </c>
      <c r="H6" s="35">
        <f t="shared" si="0"/>
        <v>0.24322903023916598</v>
      </c>
      <c r="I6" s="35">
        <f t="shared" si="0"/>
        <v>-2.9237400583831175E-2</v>
      </c>
      <c r="J6" s="35">
        <f t="shared" si="0"/>
        <v>0.28302998874210639</v>
      </c>
      <c r="K6" s="35">
        <f t="shared" si="0"/>
        <v>0.38297993915987938</v>
      </c>
      <c r="L6" s="35">
        <f t="shared" si="0"/>
        <v>0.18555909537819737</v>
      </c>
      <c r="M6" s="35">
        <f t="shared" si="0"/>
        <v>0.12648273252209208</v>
      </c>
    </row>
    <row r="8" spans="1:13">
      <c r="B8" t="s">
        <v>86</v>
      </c>
      <c r="C8" s="21">
        <f>IFERROR(SUM('Data Sheet'!B18,'Data Sheet'!B20:B22)-1*'Data Sheet'!B19,0)</f>
        <v>5835.9300000000012</v>
      </c>
      <c r="D8" s="21">
        <f>IFERROR(SUM('Data Sheet'!C18,'Data Sheet'!C20:C22)-1*'Data Sheet'!C19,0)</f>
        <v>7773.1799999999994</v>
      </c>
      <c r="E8" s="21">
        <f>IFERROR(SUM('Data Sheet'!D18,'Data Sheet'!D20:D22)-1*'Data Sheet'!D19,0)</f>
        <v>10706.01</v>
      </c>
      <c r="F8" s="21">
        <f>IFERROR(SUM('Data Sheet'!E18,'Data Sheet'!E20:E22)-1*'Data Sheet'!E19,0)</f>
        <v>13413.76</v>
      </c>
      <c r="G8" s="21">
        <f>IFERROR(SUM('Data Sheet'!F18,'Data Sheet'!F20:F22)-1*'Data Sheet'!F19,0)</f>
        <v>18009.53</v>
      </c>
      <c r="H8" s="21">
        <f>IFERROR(SUM('Data Sheet'!G18,'Data Sheet'!G20:G22)-1*'Data Sheet'!G19,0)</f>
        <v>22394.27</v>
      </c>
      <c r="I8" s="21">
        <f>IFERROR(SUM('Data Sheet'!H18,'Data Sheet'!H20:H22)-1*'Data Sheet'!H19,0)</f>
        <v>22012.890000000003</v>
      </c>
      <c r="J8" s="21">
        <f>IFERROR(SUM('Data Sheet'!I18,'Data Sheet'!I20:I22)-1*'Data Sheet'!I19,0)</f>
        <v>28028.46</v>
      </c>
      <c r="K8" s="21">
        <f>IFERROR(SUM('Data Sheet'!J18,'Data Sheet'!J20:J22)-1*'Data Sheet'!J19,0)</f>
        <v>38563.29</v>
      </c>
      <c r="L8" s="21">
        <f>IFERROR(SUM('Data Sheet'!K18,'Data Sheet'!K20:K22)-1*'Data Sheet'!K19,0)</f>
        <v>45882.38</v>
      </c>
      <c r="M8" s="23">
        <f>IFERROR(SUM('Data Sheet'!L18,'Data Sheet'!L20:L22)-1*'Data Sheet'!L19,0)</f>
        <v>0</v>
      </c>
    </row>
    <row r="9" spans="1:13">
      <c r="B9" s="24" t="s">
        <v>87</v>
      </c>
      <c r="C9" s="27">
        <f>C8/C5</f>
        <v>0.90628052482906107</v>
      </c>
      <c r="D9" s="27">
        <f t="shared" ref="D9:M9" si="1">D8/D5</f>
        <v>0.90556818923175852</v>
      </c>
      <c r="E9" s="27">
        <f t="shared" si="1"/>
        <v>0.89983862427191807</v>
      </c>
      <c r="F9" s="27">
        <f t="shared" si="1"/>
        <v>0.89227576297794209</v>
      </c>
      <c r="G9" s="27">
        <f t="shared" si="1"/>
        <v>0.9002730382933456</v>
      </c>
      <c r="H9" s="27">
        <f t="shared" si="1"/>
        <v>0.90044591519167516</v>
      </c>
      <c r="I9" s="27">
        <f t="shared" si="1"/>
        <v>0.91176884785938495</v>
      </c>
      <c r="J9" s="27">
        <f t="shared" si="1"/>
        <v>0.90483650872103061</v>
      </c>
      <c r="K9" s="27">
        <f t="shared" si="1"/>
        <v>0.90017941360742271</v>
      </c>
      <c r="L9" s="27">
        <f t="shared" si="1"/>
        <v>0.90339509691402609</v>
      </c>
      <c r="M9" s="28">
        <f t="shared" si="1"/>
        <v>0</v>
      </c>
    </row>
    <row r="11" spans="1:13">
      <c r="B11" s="38" t="s">
        <v>89</v>
      </c>
      <c r="C11" s="40">
        <f>C5-C8</f>
        <v>603.49999999999909</v>
      </c>
      <c r="D11" s="40">
        <f t="shared" ref="D11:M11" si="2">D5-D8</f>
        <v>810.58000000000084</v>
      </c>
      <c r="E11" s="40">
        <f t="shared" si="2"/>
        <v>1191.6900000000005</v>
      </c>
      <c r="F11" s="40">
        <f t="shared" si="2"/>
        <v>1619.4400000000005</v>
      </c>
      <c r="G11" s="40">
        <f t="shared" si="2"/>
        <v>1994.9900000000016</v>
      </c>
      <c r="H11" s="40">
        <f t="shared" si="2"/>
        <v>2475.9300000000003</v>
      </c>
      <c r="I11" s="40">
        <f t="shared" si="2"/>
        <v>2130.1699999999983</v>
      </c>
      <c r="J11" s="40">
        <f t="shared" si="2"/>
        <v>2947.8100000000013</v>
      </c>
      <c r="K11" s="40">
        <f t="shared" si="2"/>
        <v>4276.2699999999968</v>
      </c>
      <c r="L11" s="40">
        <f t="shared" si="2"/>
        <v>4906.4500000000044</v>
      </c>
      <c r="M11" s="40">
        <f t="shared" si="2"/>
        <v>57212.740000000005</v>
      </c>
    </row>
    <row r="12" spans="1:13">
      <c r="B12" s="25" t="s">
        <v>97</v>
      </c>
      <c r="C12" s="27">
        <f>C11/C5</f>
        <v>9.3719475170938898E-2</v>
      </c>
      <c r="D12" s="27">
        <f t="shared" ref="D12:M12" si="3">D11/D5</f>
        <v>9.4431810768241517E-2</v>
      </c>
      <c r="E12" s="27">
        <f t="shared" si="3"/>
        <v>0.10016137572808194</v>
      </c>
      <c r="F12" s="27">
        <f t="shared" si="3"/>
        <v>0.10772423702205787</v>
      </c>
      <c r="G12" s="27">
        <f t="shared" si="3"/>
        <v>9.9726961706654377E-2</v>
      </c>
      <c r="H12" s="27">
        <f t="shared" si="3"/>
        <v>9.9554084808324825E-2</v>
      </c>
      <c r="I12" s="27">
        <f t="shared" si="3"/>
        <v>8.8231152140615068E-2</v>
      </c>
      <c r="J12" s="27">
        <f t="shared" si="3"/>
        <v>9.5163491278969392E-2</v>
      </c>
      <c r="K12" s="27">
        <f t="shared" si="3"/>
        <v>9.9820586392577265E-2</v>
      </c>
      <c r="L12" s="27">
        <f t="shared" si="3"/>
        <v>9.6604903085973914E-2</v>
      </c>
      <c r="M12" s="27">
        <f t="shared" si="3"/>
        <v>1</v>
      </c>
    </row>
    <row r="14" spans="1:13">
      <c r="B14" t="s">
        <v>90</v>
      </c>
      <c r="C14">
        <f>IFERROR(SUM('Data Sheet'!B23:B24),0)</f>
        <v>147.23999999999995</v>
      </c>
      <c r="D14">
        <f>IFERROR(SUM('Data Sheet'!C23:C24),0)</f>
        <v>146.12</v>
      </c>
      <c r="E14">
        <f>IFERROR(SUM('Data Sheet'!D23:D24),0)</f>
        <v>222.51</v>
      </c>
      <c r="F14">
        <f>IFERROR(SUM('Data Sheet'!E23:E24),0)</f>
        <v>266.58000000000004</v>
      </c>
      <c r="G14">
        <f>IFERROR(SUM('Data Sheet'!F23:F24),0)</f>
        <v>361.68</v>
      </c>
      <c r="H14">
        <f>IFERROR(SUM('Data Sheet'!G23:G24),0)</f>
        <v>347.62</v>
      </c>
      <c r="I14">
        <f>IFERROR(SUM('Data Sheet'!H23:H24),0)</f>
        <v>385.34</v>
      </c>
      <c r="J14">
        <f>IFERROR(SUM('Data Sheet'!I23:I24),0)</f>
        <v>445.46000000000004</v>
      </c>
      <c r="K14">
        <f>IFERROR(SUM('Data Sheet'!J23:J24),0)</f>
        <v>637.5</v>
      </c>
      <c r="L14">
        <f>IFERROR(SUM('Data Sheet'!K23:K24),0)</f>
        <v>800.81</v>
      </c>
    </row>
    <row r="15" spans="1:13">
      <c r="B15" s="25" t="s">
        <v>91</v>
      </c>
      <c r="C15" s="27">
        <f t="shared" ref="C15:M15" si="4">C14/C5</f>
        <v>2.2865377836237051E-2</v>
      </c>
      <c r="D15" s="27">
        <f t="shared" si="4"/>
        <v>1.7022843136341184E-2</v>
      </c>
      <c r="E15" s="27">
        <f t="shared" si="4"/>
        <v>1.870193398724123E-2</v>
      </c>
      <c r="F15" s="27">
        <f t="shared" si="4"/>
        <v>1.7732751509991221E-2</v>
      </c>
      <c r="G15" s="27">
        <f t="shared" si="4"/>
        <v>1.8079913939449684E-2</v>
      </c>
      <c r="H15" s="27">
        <f t="shared" si="4"/>
        <v>1.3977370507675852E-2</v>
      </c>
      <c r="I15" s="27">
        <f t="shared" si="4"/>
        <v>1.5960694294757993E-2</v>
      </c>
      <c r="J15" s="27">
        <f t="shared" si="4"/>
        <v>1.438068560223681E-2</v>
      </c>
      <c r="K15" s="27">
        <f t="shared" si="4"/>
        <v>1.4881105221435514E-2</v>
      </c>
      <c r="L15" s="27">
        <f t="shared" si="4"/>
        <v>1.5767443353193997E-2</v>
      </c>
      <c r="M15" s="27">
        <f t="shared" si="4"/>
        <v>0</v>
      </c>
    </row>
    <row r="17" spans="2:13">
      <c r="B17" s="38" t="s">
        <v>92</v>
      </c>
      <c r="C17" s="40">
        <f t="shared" ref="C17:L17" si="5">C11-C14</f>
        <v>456.25999999999914</v>
      </c>
      <c r="D17" s="40">
        <f t="shared" si="5"/>
        <v>664.46000000000083</v>
      </c>
      <c r="E17" s="40">
        <f t="shared" si="5"/>
        <v>969.18000000000052</v>
      </c>
      <c r="F17" s="40">
        <f t="shared" si="5"/>
        <v>1352.8600000000006</v>
      </c>
      <c r="G17" s="40">
        <f t="shared" si="5"/>
        <v>1633.3100000000015</v>
      </c>
      <c r="H17" s="40">
        <f t="shared" si="5"/>
        <v>2128.3100000000004</v>
      </c>
      <c r="I17" s="40">
        <f t="shared" si="5"/>
        <v>1744.8299999999983</v>
      </c>
      <c r="J17" s="40">
        <f t="shared" si="5"/>
        <v>2502.3500000000013</v>
      </c>
      <c r="K17" s="40">
        <f t="shared" si="5"/>
        <v>3638.7699999999968</v>
      </c>
      <c r="L17" s="40">
        <f t="shared" si="5"/>
        <v>4105.6400000000049</v>
      </c>
      <c r="M17" s="40">
        <f>IFERROR(SUM('Data Sheet'!H28:K28),0)</f>
        <v>10068.99</v>
      </c>
    </row>
    <row r="18" spans="2:13">
      <c r="B18" s="25" t="s">
        <v>93</v>
      </c>
      <c r="C18" s="27">
        <f t="shared" ref="C18:M18" si="6">C17/C5</f>
        <v>7.0854097334701854E-2</v>
      </c>
      <c r="D18" s="27">
        <f t="shared" si="6"/>
        <v>7.7408967631900333E-2</v>
      </c>
      <c r="E18" s="27">
        <f t="shared" si="6"/>
        <v>8.1459441740840702E-2</v>
      </c>
      <c r="F18" s="27">
        <f t="shared" si="6"/>
        <v>8.9991485512066663E-2</v>
      </c>
      <c r="G18" s="27">
        <f t="shared" si="6"/>
        <v>8.1647047767204689E-2</v>
      </c>
      <c r="H18" s="27">
        <f t="shared" si="6"/>
        <v>8.5576714300648976E-2</v>
      </c>
      <c r="I18" s="27">
        <f t="shared" si="6"/>
        <v>7.2270457845857075E-2</v>
      </c>
      <c r="J18" s="27">
        <f t="shared" si="6"/>
        <v>8.0782805676732586E-2</v>
      </c>
      <c r="K18" s="27">
        <f t="shared" si="6"/>
        <v>8.4939481171141737E-2</v>
      </c>
      <c r="L18" s="27">
        <f t="shared" si="6"/>
        <v>8.083745973277992E-2</v>
      </c>
      <c r="M18" s="27">
        <f t="shared" si="6"/>
        <v>0.1759920954668488</v>
      </c>
    </row>
    <row r="20" spans="2:13">
      <c r="B20" t="s">
        <v>11</v>
      </c>
      <c r="C20" s="26">
        <f>IFERROR('Data Sheet'!B27,0)</f>
        <v>72.36</v>
      </c>
      <c r="D20" s="26">
        <f>IFERROR('Data Sheet'!C27,0)</f>
        <v>91.34</v>
      </c>
      <c r="E20" s="26">
        <f>IFERROR('Data Sheet'!D27,0)</f>
        <v>121.98</v>
      </c>
      <c r="F20" s="26">
        <f>IFERROR('Data Sheet'!E27,0)</f>
        <v>59.54</v>
      </c>
      <c r="G20" s="26">
        <f>IFERROR('Data Sheet'!F27,0)</f>
        <v>47.21</v>
      </c>
      <c r="H20" s="26">
        <f>IFERROR('Data Sheet'!G27,0)</f>
        <v>69.12</v>
      </c>
      <c r="I20" s="26">
        <f>IFERROR('Data Sheet'!H27,0)</f>
        <v>41.65</v>
      </c>
      <c r="J20" s="26">
        <f>IFERROR('Data Sheet'!I27,0)</f>
        <v>53.79</v>
      </c>
      <c r="K20" s="26">
        <f>IFERROR('Data Sheet'!J27,0)</f>
        <v>67.41</v>
      </c>
      <c r="L20" s="26">
        <f>IFERROR('Data Sheet'!K27,0)</f>
        <v>58.13</v>
      </c>
      <c r="M20" s="26">
        <f>IFERROR(SUM('Data Sheet'!H46:L46),0)</f>
        <v>63.910000000000004</v>
      </c>
    </row>
    <row r="21" spans="2:13">
      <c r="B21" s="27" t="s">
        <v>94</v>
      </c>
      <c r="C21" s="27">
        <f t="shared" ref="C21:M21" si="7">C20/C5</f>
        <v>1.1237019425632393E-2</v>
      </c>
      <c r="D21" s="27">
        <f t="shared" si="7"/>
        <v>1.0641024446163452E-2</v>
      </c>
      <c r="E21" s="27">
        <f t="shared" si="7"/>
        <v>1.0252401724703094E-2</v>
      </c>
      <c r="F21" s="27">
        <f t="shared" si="7"/>
        <v>3.9605672777585609E-3</v>
      </c>
      <c r="G21" s="27">
        <f t="shared" si="7"/>
        <v>2.3599666475376565E-3</v>
      </c>
      <c r="H21" s="27">
        <f t="shared" si="7"/>
        <v>2.7792297609186899E-3</v>
      </c>
      <c r="I21" s="27">
        <f t="shared" si="7"/>
        <v>1.7251334337900829E-3</v>
      </c>
      <c r="J21" s="27">
        <f t="shared" si="7"/>
        <v>1.7364905458274996E-3</v>
      </c>
      <c r="K21" s="27">
        <f t="shared" si="7"/>
        <v>1.5735455732972048E-3</v>
      </c>
      <c r="L21" s="27">
        <f t="shared" si="7"/>
        <v>1.1445430028610621E-3</v>
      </c>
      <c r="M21" s="27">
        <f t="shared" si="7"/>
        <v>1.1170588928270172E-3</v>
      </c>
    </row>
    <row r="23" spans="2:13">
      <c r="B23" t="s">
        <v>95</v>
      </c>
      <c r="C23">
        <f>IFERROR('Data Sheet'!B26,0)</f>
        <v>81.540000000000006</v>
      </c>
      <c r="D23">
        <f>IFERROR('Data Sheet'!C26,0)</f>
        <v>98.43</v>
      </c>
      <c r="E23">
        <f>IFERROR('Data Sheet'!D26,0)</f>
        <v>127.82</v>
      </c>
      <c r="F23">
        <f>IFERROR('Data Sheet'!E26,0)</f>
        <v>159</v>
      </c>
      <c r="G23">
        <f>IFERROR('Data Sheet'!F26,0)</f>
        <v>212.49</v>
      </c>
      <c r="H23">
        <f>IFERROR('Data Sheet'!G26,0)</f>
        <v>374.41</v>
      </c>
      <c r="I23">
        <f>IFERROR('Data Sheet'!H26,0)</f>
        <v>414.16</v>
      </c>
      <c r="J23">
        <f>IFERROR('Data Sheet'!I26,0)</f>
        <v>498.08</v>
      </c>
      <c r="K23">
        <f>IFERROR('Data Sheet'!J26,0)</f>
        <v>638.87</v>
      </c>
      <c r="L23">
        <f>IFERROR('Data Sheet'!K26,0)</f>
        <v>730.76</v>
      </c>
      <c r="M23">
        <f>IFERROR(SUM('Data Sheet'!H45:K45),0)</f>
        <v>833.55</v>
      </c>
    </row>
    <row r="24" spans="2:13">
      <c r="B24" s="27" t="s">
        <v>96</v>
      </c>
      <c r="C24" s="27">
        <f t="shared" ref="C24:M24" si="8">C23/C5</f>
        <v>1.26626114423171E-2</v>
      </c>
      <c r="D24" s="27">
        <f t="shared" si="8"/>
        <v>1.1467002805297445E-2</v>
      </c>
      <c r="E24" s="27">
        <f t="shared" si="8"/>
        <v>1.0743252897618866E-2</v>
      </c>
      <c r="F24" s="27">
        <f t="shared" si="8"/>
        <v>1.0576590479738178E-2</v>
      </c>
      <c r="G24" s="27">
        <f t="shared" si="8"/>
        <v>1.062209940553435E-2</v>
      </c>
      <c r="H24" s="27">
        <f t="shared" si="8"/>
        <v>1.5054563292615258E-2</v>
      </c>
      <c r="I24" s="27">
        <f t="shared" si="8"/>
        <v>1.7154412075354161E-2</v>
      </c>
      <c r="J24" s="27">
        <f t="shared" si="8"/>
        <v>1.6079405299605148E-2</v>
      </c>
      <c r="K24" s="27">
        <f t="shared" si="8"/>
        <v>1.4913085008342757E-2</v>
      </c>
      <c r="L24" s="27">
        <f t="shared" si="8"/>
        <v>1.4388203075361254E-2</v>
      </c>
      <c r="M24" s="27">
        <f t="shared" si="8"/>
        <v>1.4569307465435144E-2</v>
      </c>
    </row>
    <row r="26" spans="2:13">
      <c r="B26" s="38" t="s">
        <v>98</v>
      </c>
      <c r="C26" s="39">
        <f>IFERROR(C17-SUM(C23,C20),)</f>
        <v>302.3599999999991</v>
      </c>
      <c r="D26" s="39">
        <f t="shared" ref="D26:M26" si="9">IFERROR(D17-SUM(D23,D20),)</f>
        <v>474.69000000000085</v>
      </c>
      <c r="E26" s="39">
        <f t="shared" si="9"/>
        <v>719.38000000000056</v>
      </c>
      <c r="F26" s="39">
        <f t="shared" si="9"/>
        <v>1134.3200000000006</v>
      </c>
      <c r="G26" s="39">
        <f t="shared" si="9"/>
        <v>1373.6100000000015</v>
      </c>
      <c r="H26" s="39">
        <f t="shared" si="9"/>
        <v>1684.7800000000004</v>
      </c>
      <c r="I26" s="39">
        <f t="shared" si="9"/>
        <v>1289.0199999999984</v>
      </c>
      <c r="J26" s="39">
        <f t="shared" si="9"/>
        <v>1950.4800000000014</v>
      </c>
      <c r="K26" s="39">
        <f t="shared" si="9"/>
        <v>2932.4899999999971</v>
      </c>
      <c r="L26" s="39">
        <f t="shared" si="9"/>
        <v>3316.750000000005</v>
      </c>
      <c r="M26" s="39">
        <f t="shared" si="9"/>
        <v>9171.5300000000007</v>
      </c>
    </row>
    <row r="27" spans="2:13">
      <c r="B27" s="27" t="s">
        <v>99</v>
      </c>
      <c r="C27" s="27">
        <f>C26/C5</f>
        <v>4.6954466466752352E-2</v>
      </c>
      <c r="D27" s="27">
        <f t="shared" ref="D27:M27" si="10">D26/D5</f>
        <v>5.5300940380439437E-2</v>
      </c>
      <c r="E27" s="27">
        <f t="shared" si="10"/>
        <v>6.0463787118518748E-2</v>
      </c>
      <c r="F27" s="27">
        <f t="shared" si="10"/>
        <v>7.5454327754569922E-2</v>
      </c>
      <c r="G27" s="27">
        <f t="shared" si="10"/>
        <v>6.8664981714132683E-2</v>
      </c>
      <c r="H27" s="27">
        <f t="shared" si="10"/>
        <v>6.7742921247115034E-2</v>
      </c>
      <c r="I27" s="27">
        <f t="shared" si="10"/>
        <v>5.3390912336712844E-2</v>
      </c>
      <c r="J27" s="27">
        <f t="shared" si="10"/>
        <v>6.2966909831299933E-2</v>
      </c>
      <c r="K27" s="27">
        <f t="shared" si="10"/>
        <v>6.845285058950179E-2</v>
      </c>
      <c r="L27" s="27">
        <f t="shared" si="10"/>
        <v>6.5304713654557603E-2</v>
      </c>
      <c r="M27" s="27">
        <f t="shared" si="10"/>
        <v>0.16030572910858665</v>
      </c>
    </row>
    <row r="29" spans="2:13">
      <c r="B29" t="s">
        <v>100</v>
      </c>
      <c r="C29">
        <f>IFERROR('Data Sheet'!B29,)</f>
        <v>110.92</v>
      </c>
      <c r="D29">
        <f>IFERROR('Data Sheet'!C29,)</f>
        <v>171.47</v>
      </c>
      <c r="E29">
        <f>IFERROR('Data Sheet'!D29,)</f>
        <v>268.27999999999997</v>
      </c>
      <c r="F29">
        <f>IFERROR('Data Sheet'!E29,)</f>
        <v>415.79</v>
      </c>
      <c r="G29">
        <f>IFERROR('Data Sheet'!F29,)</f>
        <v>519.48</v>
      </c>
      <c r="H29">
        <f>IFERROR('Data Sheet'!G29,)</f>
        <v>443.79</v>
      </c>
      <c r="I29">
        <f>IFERROR('Data Sheet'!H29,)</f>
        <v>384.02</v>
      </c>
      <c r="J29">
        <f>IFERROR('Data Sheet'!I29,)</f>
        <v>571.72</v>
      </c>
      <c r="K29">
        <f>IFERROR('Data Sheet'!J29,)</f>
        <v>681.75</v>
      </c>
      <c r="L29">
        <f>IFERROR('Data Sheet'!K29,)</f>
        <v>925.72</v>
      </c>
      <c r="M29">
        <f>IFERROR(SUM('Data Sheet'!H48:K48),)</f>
        <v>995.77</v>
      </c>
    </row>
    <row r="30" spans="2:13">
      <c r="B30" s="27" t="s">
        <v>101</v>
      </c>
      <c r="C30" s="27">
        <f>C29/C26</f>
        <v>0.36684746659611167</v>
      </c>
      <c r="D30" s="27">
        <f t="shared" ref="D30:M30" si="11">D29/D26</f>
        <v>0.36122522067033158</v>
      </c>
      <c r="E30" s="27">
        <f t="shared" si="11"/>
        <v>0.37293224721287743</v>
      </c>
      <c r="F30" s="27">
        <f t="shared" si="11"/>
        <v>0.36655441145355788</v>
      </c>
      <c r="G30" s="27">
        <f t="shared" si="11"/>
        <v>0.37818594797649946</v>
      </c>
      <c r="H30" s="27">
        <f t="shared" si="11"/>
        <v>0.26341124657225268</v>
      </c>
      <c r="I30" s="27">
        <f t="shared" si="11"/>
        <v>0.29791624645079245</v>
      </c>
      <c r="J30" s="27">
        <f t="shared" si="11"/>
        <v>0.29311759156720379</v>
      </c>
      <c r="K30" s="27">
        <f t="shared" si="11"/>
        <v>0.23248161119049024</v>
      </c>
      <c r="L30" s="27">
        <f t="shared" si="11"/>
        <v>0.27910454511193145</v>
      </c>
      <c r="M30" s="27">
        <f t="shared" si="11"/>
        <v>0.10857185224275556</v>
      </c>
    </row>
    <row r="32" spans="2:13">
      <c r="B32" s="38" t="s">
        <v>102</v>
      </c>
      <c r="C32" s="39">
        <f>C26-C29</f>
        <v>191.43999999999909</v>
      </c>
      <c r="D32" s="39">
        <f t="shared" ref="D32:M32" si="12">D26-D29</f>
        <v>303.22000000000082</v>
      </c>
      <c r="E32" s="39">
        <f t="shared" si="12"/>
        <v>451.10000000000059</v>
      </c>
      <c r="F32" s="39">
        <f t="shared" si="12"/>
        <v>718.53000000000065</v>
      </c>
      <c r="G32" s="39">
        <f t="shared" si="12"/>
        <v>854.13000000000147</v>
      </c>
      <c r="H32" s="39">
        <f t="shared" si="12"/>
        <v>1240.9900000000005</v>
      </c>
      <c r="I32" s="39">
        <f t="shared" si="12"/>
        <v>904.99999999999841</v>
      </c>
      <c r="J32" s="39">
        <f t="shared" si="12"/>
        <v>1378.7600000000014</v>
      </c>
      <c r="K32" s="39">
        <f t="shared" si="12"/>
        <v>2250.7399999999971</v>
      </c>
      <c r="L32" s="39">
        <f t="shared" si="12"/>
        <v>2391.0300000000052</v>
      </c>
      <c r="M32" s="39">
        <f t="shared" si="12"/>
        <v>8175.76</v>
      </c>
    </row>
    <row r="33" spans="1:13">
      <c r="B33" s="27" t="s">
        <v>103</v>
      </c>
      <c r="C33" s="27">
        <f>C32/C5</f>
        <v>2.9729339398052168E-2</v>
      </c>
      <c r="D33" s="27">
        <f t="shared" ref="D33:M33" si="13">D32/D5</f>
        <v>3.5324845988238353E-2</v>
      </c>
      <c r="E33" s="27">
        <f t="shared" si="13"/>
        <v>3.7914891113408518E-2</v>
      </c>
      <c r="F33" s="27">
        <f t="shared" si="13"/>
        <v>4.7796211052869693E-2</v>
      </c>
      <c r="G33" s="27">
        <f t="shared" si="13"/>
        <v>4.2696850511784408E-2</v>
      </c>
      <c r="H33" s="27">
        <f t="shared" si="13"/>
        <v>4.9898673914966524E-2</v>
      </c>
      <c r="I33" s="27">
        <f t="shared" si="13"/>
        <v>3.7484892138776045E-2</v>
      </c>
      <c r="J33" s="27">
        <f t="shared" si="13"/>
        <v>4.4510200873120014E-2</v>
      </c>
      <c r="K33" s="27">
        <f t="shared" si="13"/>
        <v>5.2538821593872513E-2</v>
      </c>
      <c r="L33" s="27">
        <f t="shared" si="13"/>
        <v>4.7077871256337368E-2</v>
      </c>
      <c r="M33" s="27">
        <f t="shared" si="13"/>
        <v>0.14290103917414199</v>
      </c>
    </row>
    <row r="35" spans="1:13">
      <c r="B35" t="s">
        <v>104</v>
      </c>
      <c r="C35" s="26">
        <f>IFERROR('Data Sheet'!B93,)</f>
        <v>56.15</v>
      </c>
      <c r="D35" s="26">
        <f>IFERROR('Data Sheet'!C93,)</f>
        <v>56.15</v>
      </c>
      <c r="E35" s="26">
        <f>IFERROR('Data Sheet'!D93,)</f>
        <v>62.41</v>
      </c>
      <c r="F35" s="26">
        <f>IFERROR('Data Sheet'!E93,)</f>
        <v>62.41</v>
      </c>
      <c r="G35" s="26">
        <f>IFERROR('Data Sheet'!F93,)</f>
        <v>62.41</v>
      </c>
      <c r="H35" s="26">
        <f>IFERROR('Data Sheet'!G93,)</f>
        <v>64.78</v>
      </c>
      <c r="I35" s="26">
        <f>IFERROR('Data Sheet'!H93,)</f>
        <v>64.78</v>
      </c>
      <c r="J35" s="26">
        <f>IFERROR('Data Sheet'!I93,)</f>
        <v>64.78</v>
      </c>
      <c r="K35" s="26">
        <f>IFERROR('Data Sheet'!J93,)</f>
        <v>64.83</v>
      </c>
      <c r="L35" s="26">
        <f>IFERROR('Data Sheet'!K93,)</f>
        <v>65.069999999999993</v>
      </c>
      <c r="M35" s="26">
        <f>IFERROR('Data Sheet'!L93,)</f>
        <v>0</v>
      </c>
    </row>
    <row r="36" spans="1:13"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1:13">
      <c r="B37" t="s">
        <v>105</v>
      </c>
      <c r="C37" s="26">
        <f>IFERROR(C32/C35,0)</f>
        <v>3.4094390026713999</v>
      </c>
      <c r="D37" s="26">
        <f t="shared" ref="D37:M37" si="14">IFERROR(D32/D35,0)</f>
        <v>5.4001780943900419</v>
      </c>
      <c r="E37" s="26">
        <f t="shared" si="14"/>
        <v>7.2280083319980868</v>
      </c>
      <c r="F37" s="26">
        <f t="shared" si="14"/>
        <v>11.513058804678748</v>
      </c>
      <c r="G37" s="26">
        <f t="shared" si="14"/>
        <v>13.685787534049055</v>
      </c>
      <c r="H37" s="26">
        <f t="shared" si="14"/>
        <v>19.156992899042923</v>
      </c>
      <c r="I37" s="26">
        <f t="shared" si="14"/>
        <v>13.970361222599543</v>
      </c>
      <c r="J37" s="26">
        <f t="shared" si="14"/>
        <v>21.283729546156241</v>
      </c>
      <c r="K37" s="26">
        <f t="shared" si="14"/>
        <v>34.717569026685133</v>
      </c>
      <c r="L37" s="26">
        <f t="shared" si="14"/>
        <v>36.745504840940612</v>
      </c>
      <c r="M37" s="26">
        <f t="shared" si="14"/>
        <v>0</v>
      </c>
    </row>
    <row r="38" spans="1:13">
      <c r="B38" s="27" t="s">
        <v>107</v>
      </c>
      <c r="C38" s="27"/>
      <c r="D38" s="27">
        <f>IFERROR(D37/C37-1,0)</f>
        <v>0.58389051399917613</v>
      </c>
      <c r="E38" s="27">
        <f t="shared" ref="E38:M38" si="15">IFERROR(E37/D37-1,0)</f>
        <v>0.33847591795294307</v>
      </c>
      <c r="F38" s="27">
        <f t="shared" si="15"/>
        <v>0.5928397251163815</v>
      </c>
      <c r="G38" s="27">
        <f t="shared" si="15"/>
        <v>0.18871863387750087</v>
      </c>
      <c r="H38" s="27">
        <f t="shared" si="15"/>
        <v>0.39977278263176164</v>
      </c>
      <c r="I38" s="27">
        <f t="shared" si="15"/>
        <v>-0.27074351928702245</v>
      </c>
      <c r="J38" s="27">
        <f t="shared" si="15"/>
        <v>0.52349171270718653</v>
      </c>
      <c r="K38" s="27">
        <f t="shared" si="15"/>
        <v>0.63117882847534079</v>
      </c>
      <c r="L38" s="27">
        <f t="shared" si="15"/>
        <v>5.84123794121858E-2</v>
      </c>
      <c r="M38" s="27">
        <f t="shared" si="15"/>
        <v>-1</v>
      </c>
    </row>
    <row r="40" spans="1:13">
      <c r="B40" t="s">
        <v>106</v>
      </c>
      <c r="C40" s="26">
        <f>IFERROR('Data Sheet'!B31/HistoricalFS!C35,0)</f>
        <v>0</v>
      </c>
      <c r="D40" s="26">
        <f>IFERROR('Data Sheet'!C31/HistoricalFS!D35,0)</f>
        <v>0</v>
      </c>
      <c r="E40" s="26">
        <f>IFERROR('Data Sheet'!D31/HistoricalFS!E35,0)</f>
        <v>0</v>
      </c>
      <c r="F40" s="26">
        <f>IFERROR('Data Sheet'!E31/HistoricalFS!F35,0)</f>
        <v>0</v>
      </c>
      <c r="G40" s="26">
        <f>IFERROR('Data Sheet'!F31/HistoricalFS!G35,0)</f>
        <v>0</v>
      </c>
      <c r="H40" s="26">
        <f>IFERROR('Data Sheet'!G31/HistoricalFS!H35,0)</f>
        <v>0</v>
      </c>
      <c r="I40" s="26">
        <f>IFERROR('Data Sheet'!H31/HistoricalFS!I35,0)</f>
        <v>0</v>
      </c>
      <c r="J40" s="26">
        <f>IFERROR('Data Sheet'!I31/HistoricalFS!J35,0)</f>
        <v>0</v>
      </c>
      <c r="K40" s="26">
        <f>IFERROR('Data Sheet'!J31/HistoricalFS!K35,0)</f>
        <v>0</v>
      </c>
      <c r="L40" s="26">
        <f>IFERROR('Data Sheet'!K31/HistoricalFS!L35,0)</f>
        <v>0</v>
      </c>
      <c r="M40" s="26">
        <f>IFERROR('Data Sheet'!L31/HistoricalFS!M35,0)</f>
        <v>0</v>
      </c>
    </row>
    <row r="41" spans="1:13">
      <c r="B41" s="27" t="s">
        <v>108</v>
      </c>
      <c r="C41" s="27">
        <f>IFERROR(C40/C37,0)</f>
        <v>0</v>
      </c>
      <c r="D41" s="27">
        <f t="shared" ref="D41:M41" si="16">IFERROR(D40/D37,0)</f>
        <v>0</v>
      </c>
      <c r="E41" s="27">
        <f t="shared" si="16"/>
        <v>0</v>
      </c>
      <c r="F41" s="27">
        <f t="shared" si="16"/>
        <v>0</v>
      </c>
      <c r="G41" s="27">
        <f t="shared" si="16"/>
        <v>0</v>
      </c>
      <c r="H41" s="27">
        <f t="shared" si="16"/>
        <v>0</v>
      </c>
      <c r="I41" s="27">
        <f t="shared" si="16"/>
        <v>0</v>
      </c>
      <c r="J41" s="27">
        <f t="shared" si="16"/>
        <v>0</v>
      </c>
      <c r="K41" s="27">
        <f t="shared" si="16"/>
        <v>0</v>
      </c>
      <c r="L41" s="27">
        <f t="shared" si="16"/>
        <v>0</v>
      </c>
      <c r="M41" s="27">
        <f t="shared" si="16"/>
        <v>0</v>
      </c>
    </row>
    <row r="43" spans="1:13">
      <c r="B43" t="s">
        <v>109</v>
      </c>
      <c r="C43" s="22">
        <f>IFERROR(IF(C36&gt;C40,1-C41,0),0)</f>
        <v>0</v>
      </c>
      <c r="D43" s="22">
        <f t="shared" ref="D43:M43" si="17">IFERROR(1-D41,0)</f>
        <v>1</v>
      </c>
      <c r="E43" s="22">
        <f t="shared" si="17"/>
        <v>1</v>
      </c>
      <c r="F43" s="22">
        <f t="shared" si="17"/>
        <v>1</v>
      </c>
      <c r="G43" s="22">
        <f t="shared" si="17"/>
        <v>1</v>
      </c>
      <c r="H43" s="22">
        <f t="shared" si="17"/>
        <v>1</v>
      </c>
      <c r="I43" s="22">
        <f t="shared" si="17"/>
        <v>1</v>
      </c>
      <c r="J43" s="22">
        <f t="shared" si="17"/>
        <v>1</v>
      </c>
      <c r="K43" s="22">
        <f t="shared" si="17"/>
        <v>1</v>
      </c>
      <c r="L43" s="22">
        <f t="shared" si="17"/>
        <v>1</v>
      </c>
      <c r="M43" s="22">
        <f t="shared" si="17"/>
        <v>1</v>
      </c>
    </row>
    <row r="48" spans="1:13">
      <c r="A48" t="s">
        <v>84</v>
      </c>
      <c r="B48" s="29" t="s">
        <v>110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>
      <c r="B49" t="s">
        <v>24</v>
      </c>
      <c r="C49" s="23">
        <f>IFERROR('Data Sheet'!B57,0)</f>
        <v>561.54</v>
      </c>
      <c r="D49" s="23">
        <f>IFERROR('Data Sheet'!C57,0)</f>
        <v>561.54</v>
      </c>
      <c r="E49" s="23">
        <f>IFERROR('Data Sheet'!D57,0)</f>
        <v>624.08000000000004</v>
      </c>
      <c r="F49" s="23">
        <f>IFERROR('Data Sheet'!E57,0)</f>
        <v>624.08000000000004</v>
      </c>
      <c r="G49" s="23">
        <f>IFERROR('Data Sheet'!F57,0)</f>
        <v>624.08000000000004</v>
      </c>
      <c r="H49" s="23">
        <f>IFERROR('Data Sheet'!G57,0)</f>
        <v>647.77</v>
      </c>
      <c r="I49" s="23">
        <f>IFERROR('Data Sheet'!H57,0)</f>
        <v>647.77</v>
      </c>
      <c r="J49" s="23">
        <f>IFERROR('Data Sheet'!I57,0)</f>
        <v>647.77</v>
      </c>
      <c r="K49" s="23">
        <f>IFERROR('Data Sheet'!J57,0)</f>
        <v>648.26</v>
      </c>
      <c r="L49" s="23">
        <f>IFERROR('Data Sheet'!K57,0)</f>
        <v>650.73</v>
      </c>
      <c r="M49" s="286">
        <f>IFERROR('Data Sheet'!L57,0)</f>
        <v>0</v>
      </c>
    </row>
    <row r="50" spans="2:13">
      <c r="B50" t="s">
        <v>25</v>
      </c>
      <c r="C50" s="23">
        <f>IFERROR('Data Sheet'!B58,0)</f>
        <v>637.65</v>
      </c>
      <c r="D50" s="23">
        <f>IFERROR('Data Sheet'!C58,0)</f>
        <v>958.9</v>
      </c>
      <c r="E50" s="23">
        <f>IFERROR('Data Sheet'!D58,0)</f>
        <v>3217.7</v>
      </c>
      <c r="F50" s="23">
        <f>IFERROR('Data Sheet'!E58,0)</f>
        <v>4044.97</v>
      </c>
      <c r="G50" s="23">
        <f>IFERROR('Data Sheet'!F58,0)</f>
        <v>4963.37</v>
      </c>
      <c r="H50" s="23">
        <f>IFERROR('Data Sheet'!G58,0)</f>
        <v>10431.969999999999</v>
      </c>
      <c r="I50" s="23">
        <f>IFERROR('Data Sheet'!H58,0)</f>
        <v>11535.94</v>
      </c>
      <c r="J50" s="23">
        <f>IFERROR('Data Sheet'!I58,0)</f>
        <v>13029.87</v>
      </c>
      <c r="K50" s="23">
        <f>IFERROR('Data Sheet'!J58,0)</f>
        <v>15430.44</v>
      </c>
      <c r="L50" s="23">
        <f>IFERROR('Data Sheet'!K58,0)</f>
        <v>18047.09</v>
      </c>
      <c r="M50" s="286">
        <f>IFERROR('Data Sheet'!L58,0)</f>
        <v>0</v>
      </c>
    </row>
    <row r="51" spans="2:13">
      <c r="B51" t="s">
        <v>62</v>
      </c>
      <c r="C51" s="23">
        <f>IFERROR('Data Sheet'!B59,0)</f>
        <v>904.26</v>
      </c>
      <c r="D51" s="23">
        <f>IFERROR('Data Sheet'!C59,0)</f>
        <v>1192.3399999999999</v>
      </c>
      <c r="E51" s="23">
        <f>IFERROR('Data Sheet'!D59,0)</f>
        <v>1497.32</v>
      </c>
      <c r="F51" s="23">
        <f>IFERROR('Data Sheet'!E59,0)</f>
        <v>439.25</v>
      </c>
      <c r="G51" s="23">
        <f>IFERROR('Data Sheet'!F59,0)</f>
        <v>700.15</v>
      </c>
      <c r="H51" s="23">
        <f>IFERROR('Data Sheet'!G59,0)</f>
        <v>333.19</v>
      </c>
      <c r="I51" s="23">
        <f>IFERROR('Data Sheet'!H59,0)</f>
        <v>392.71</v>
      </c>
      <c r="J51" s="23">
        <f>IFERROR('Data Sheet'!I59,0)</f>
        <v>646.94000000000005</v>
      </c>
      <c r="K51" s="23">
        <f>IFERROR('Data Sheet'!J59,0)</f>
        <v>642.98</v>
      </c>
      <c r="L51" s="23">
        <f>IFERROR('Data Sheet'!K59,0)</f>
        <v>592.16</v>
      </c>
      <c r="M51" s="286">
        <f>IFERROR('Data Sheet'!L59,0)</f>
        <v>0</v>
      </c>
    </row>
    <row r="52" spans="2:13">
      <c r="B52" t="s">
        <v>63</v>
      </c>
      <c r="C52" s="23">
        <f>IFERROR('Data Sheet'!B60,0)</f>
        <v>251.36</v>
      </c>
      <c r="D52" s="23">
        <f>IFERROR('Data Sheet'!C60,0)</f>
        <v>388.78</v>
      </c>
      <c r="E52" s="23">
        <f>IFERROR('Data Sheet'!D60,0)</f>
        <v>480.18</v>
      </c>
      <c r="F52" s="23">
        <f>IFERROR('Data Sheet'!E60,0)</f>
        <v>539.91999999999996</v>
      </c>
      <c r="G52" s="23">
        <f>IFERROR('Data Sheet'!F60,0)</f>
        <v>717.9</v>
      </c>
      <c r="H52" s="23">
        <f>IFERROR('Data Sheet'!G60,0)</f>
        <v>663.23</v>
      </c>
      <c r="I52" s="23">
        <f>IFERROR('Data Sheet'!H60,0)</f>
        <v>1078.6300000000001</v>
      </c>
      <c r="J52" s="23">
        <f>IFERROR('Data Sheet'!I60,0)</f>
        <v>1146.4000000000001</v>
      </c>
      <c r="K52" s="23">
        <f>IFERROR('Data Sheet'!J60,0)</f>
        <v>1382.84</v>
      </c>
      <c r="L52" s="23">
        <f>IFERROR('Data Sheet'!K60,0)</f>
        <v>1882.5</v>
      </c>
      <c r="M52" s="286">
        <f>IFERROR('Data Sheet'!L60,0)</f>
        <v>0</v>
      </c>
    </row>
    <row r="53" spans="2:13" s="2" customFormat="1">
      <c r="B53" s="38" t="s">
        <v>111</v>
      </c>
      <c r="C53" s="39">
        <f>IFERROR('Data Sheet'!B61,0)</f>
        <v>2354.81</v>
      </c>
      <c r="D53" s="39">
        <f>IFERROR('Data Sheet'!C61,0)</f>
        <v>3101.56</v>
      </c>
      <c r="E53" s="39">
        <f>IFERROR('Data Sheet'!D61,0)</f>
        <v>5819.28</v>
      </c>
      <c r="F53" s="39">
        <f>IFERROR('Data Sheet'!E61,0)</f>
        <v>5648.22</v>
      </c>
      <c r="G53" s="39">
        <f>IFERROR('Data Sheet'!F61,0)</f>
        <v>7005.5</v>
      </c>
      <c r="H53" s="39">
        <f>IFERROR('Data Sheet'!G61,0)</f>
        <v>12076.16</v>
      </c>
      <c r="I53" s="39">
        <f>IFERROR('Data Sheet'!H61,0)</f>
        <v>13655.05</v>
      </c>
      <c r="J53" s="39">
        <f>IFERROR('Data Sheet'!I61,0)</f>
        <v>15470.98</v>
      </c>
      <c r="K53" s="39">
        <f>IFERROR('Data Sheet'!J61,0)</f>
        <v>18104.52</v>
      </c>
      <c r="L53" s="39">
        <f>IFERROR('Data Sheet'!K61,0)</f>
        <v>21172.48</v>
      </c>
      <c r="M53" s="287"/>
    </row>
    <row r="54" spans="2:13">
      <c r="B54" s="2"/>
      <c r="M54" s="57"/>
    </row>
    <row r="55" spans="2:13">
      <c r="B55" t="s">
        <v>112</v>
      </c>
      <c r="C55" s="23">
        <f>IFERROR('Data Sheet'!B62,0)</f>
        <v>1528.08</v>
      </c>
      <c r="D55" s="23">
        <f>IFERROR('Data Sheet'!C62,0)</f>
        <v>2093.52</v>
      </c>
      <c r="E55" s="23">
        <f>IFERROR('Data Sheet'!D62,0)</f>
        <v>2577.75</v>
      </c>
      <c r="F55" s="23">
        <f>IFERROR('Data Sheet'!E62,0)</f>
        <v>3399.97</v>
      </c>
      <c r="G55" s="23">
        <f>IFERROR('Data Sheet'!F62,0)</f>
        <v>4400.37</v>
      </c>
      <c r="H55" s="23">
        <f>IFERROR('Data Sheet'!G62,0)</f>
        <v>5948.03</v>
      </c>
      <c r="I55" s="23">
        <f>IFERROR('Data Sheet'!H62,0)</f>
        <v>7008.8</v>
      </c>
      <c r="J55" s="23">
        <f>IFERROR('Data Sheet'!I62,0)</f>
        <v>9260.02</v>
      </c>
      <c r="K55" s="23">
        <f>IFERROR('Data Sheet'!J62,0)</f>
        <v>11340.48</v>
      </c>
      <c r="L55" s="23">
        <f>IFERROR('Data Sheet'!K62,0)</f>
        <v>13415</v>
      </c>
      <c r="M55" s="286">
        <f>IFERROR('Data Sheet'!L63,0)</f>
        <v>0</v>
      </c>
    </row>
    <row r="56" spans="2:13">
      <c r="B56" t="s">
        <v>28</v>
      </c>
      <c r="C56" s="23">
        <f>IFERROR('Data Sheet'!B63,0)</f>
        <v>98.12</v>
      </c>
      <c r="D56" s="23">
        <f>IFERROR('Data Sheet'!C63,0)</f>
        <v>81.69</v>
      </c>
      <c r="E56" s="23">
        <f>IFERROR('Data Sheet'!D63,0)</f>
        <v>152.88999999999999</v>
      </c>
      <c r="F56" s="23">
        <f>IFERROR('Data Sheet'!E63,0)</f>
        <v>147.07</v>
      </c>
      <c r="G56" s="23">
        <f>IFERROR('Data Sheet'!F63,0)</f>
        <v>376.84</v>
      </c>
      <c r="H56" s="23">
        <f>IFERROR('Data Sheet'!G63,0)</f>
        <v>364.4</v>
      </c>
      <c r="I56" s="23">
        <f>IFERROR('Data Sheet'!H63,0)</f>
        <v>1019.59</v>
      </c>
      <c r="J56" s="23">
        <f>IFERROR('Data Sheet'!I63,0)</f>
        <v>1129.3399999999999</v>
      </c>
      <c r="K56" s="23">
        <f>IFERROR('Data Sheet'!J63,0)</f>
        <v>829.16</v>
      </c>
      <c r="L56" s="23">
        <f>IFERROR('Data Sheet'!K63,0)</f>
        <v>935.22</v>
      </c>
      <c r="M56" s="286">
        <f>IFERROR('Data Sheet'!L64,0)</f>
        <v>0</v>
      </c>
    </row>
    <row r="57" spans="2:13">
      <c r="B57" t="s">
        <v>29</v>
      </c>
      <c r="C57" s="23">
        <f>IFERROR('Data Sheet'!B64,0)</f>
        <v>15.23</v>
      </c>
      <c r="D57" s="23">
        <f>IFERROR('Data Sheet'!C64,0)</f>
        <v>29.33</v>
      </c>
      <c r="E57" s="23">
        <f>IFERROR('Data Sheet'!D64,0)</f>
        <v>25.69</v>
      </c>
      <c r="F57" s="23">
        <f>IFERROR('Data Sheet'!E64,0)</f>
        <v>68.180000000000007</v>
      </c>
      <c r="G57" s="23">
        <f>IFERROR('Data Sheet'!F64,0)</f>
        <v>16.53</v>
      </c>
      <c r="H57" s="23">
        <f>IFERROR('Data Sheet'!G64,0)</f>
        <v>14.68</v>
      </c>
      <c r="I57" s="23">
        <f>IFERROR('Data Sheet'!H64,0)</f>
        <v>2.95</v>
      </c>
      <c r="J57" s="23">
        <f>IFERROR('Data Sheet'!I64,0)</f>
        <v>5.94</v>
      </c>
      <c r="K57" s="23">
        <f>IFERROR('Data Sheet'!J64,0)</f>
        <v>202.2</v>
      </c>
      <c r="L57" s="23">
        <f>IFERROR('Data Sheet'!K64,0)</f>
        <v>106.67</v>
      </c>
      <c r="M57" s="286">
        <f>IFERROR('Data Sheet'!L65,0)</f>
        <v>0</v>
      </c>
    </row>
    <row r="58" spans="2:13">
      <c r="B58" t="s">
        <v>64</v>
      </c>
      <c r="C58" s="23">
        <f>IFERROR('Data Sheet'!B65-SUM('Data Sheet'!B67:B69),0)</f>
        <v>128.65999999999997</v>
      </c>
      <c r="D58" s="23">
        <f>IFERROR('Data Sheet'!C65-SUM('Data Sheet'!C67:C69),0)</f>
        <v>181.80999999999995</v>
      </c>
      <c r="E58" s="23">
        <f>IFERROR('Data Sheet'!D65-SUM('Data Sheet'!D67:D69),0)</f>
        <v>209.75999999999976</v>
      </c>
      <c r="F58" s="23">
        <f>IFERROR('Data Sheet'!E65-SUM('Data Sheet'!E67:E69),0)</f>
        <v>275.84999999999991</v>
      </c>
      <c r="G58" s="23">
        <f>IFERROR('Data Sheet'!F65-SUM('Data Sheet'!F67:F69),0)</f>
        <v>319.6700000000003</v>
      </c>
      <c r="H58" s="23">
        <f>IFERROR('Data Sheet'!G65-SUM('Data Sheet'!G67:G69),0)</f>
        <v>3674.2200000000003</v>
      </c>
      <c r="I58" s="23">
        <f>IFERROR('Data Sheet'!H65-SUM('Data Sheet'!H67:H69),0)</f>
        <v>1886.27</v>
      </c>
      <c r="J58" s="23">
        <f>IFERROR('Data Sheet'!I65-SUM('Data Sheet'!I67:I69),0)</f>
        <v>1967.5500000000006</v>
      </c>
      <c r="K58" s="23">
        <f>IFERROR('Data Sheet'!J65-SUM('Data Sheet'!J67:J69),0)</f>
        <v>1018.7100000000009</v>
      </c>
      <c r="L58" s="23">
        <f>IFERROR('Data Sheet'!K65-SUM('Data Sheet'!K67:K69),0)</f>
        <v>1983.7300000000005</v>
      </c>
      <c r="M58" s="286">
        <f>IFERROR('Data Sheet'!L66,0)</f>
        <v>0</v>
      </c>
    </row>
    <row r="59" spans="2:13" s="2" customFormat="1">
      <c r="B59" s="38" t="s">
        <v>113</v>
      </c>
      <c r="C59" s="39">
        <f>IFERROR(SUM(C55:C58),0)</f>
        <v>1770.0899999999997</v>
      </c>
      <c r="D59" s="39">
        <f t="shared" ref="D59:L59" si="18">IFERROR(SUM(D55:D58),0)</f>
        <v>2386.35</v>
      </c>
      <c r="E59" s="39">
        <f t="shared" si="18"/>
        <v>2966.0899999999997</v>
      </c>
      <c r="F59" s="39">
        <f t="shared" si="18"/>
        <v>3891.0699999999997</v>
      </c>
      <c r="G59" s="39">
        <f t="shared" si="18"/>
        <v>5113.41</v>
      </c>
      <c r="H59" s="39">
        <f t="shared" si="18"/>
        <v>10001.33</v>
      </c>
      <c r="I59" s="39">
        <f t="shared" si="18"/>
        <v>9917.61</v>
      </c>
      <c r="J59" s="39">
        <f t="shared" si="18"/>
        <v>12362.850000000002</v>
      </c>
      <c r="K59" s="39">
        <f t="shared" si="18"/>
        <v>13390.550000000001</v>
      </c>
      <c r="L59" s="39">
        <f t="shared" si="18"/>
        <v>16440.62</v>
      </c>
      <c r="M59" s="287"/>
    </row>
    <row r="60" spans="2:13">
      <c r="B60" s="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57"/>
    </row>
    <row r="61" spans="2:13">
      <c r="B61" t="s">
        <v>69</v>
      </c>
      <c r="C61" s="23">
        <f>IFERROR('Data Sheet'!B67,0)</f>
        <v>7.07</v>
      </c>
      <c r="D61" s="23">
        <f>IFERROR('Data Sheet'!C67,0)</f>
        <v>8.42</v>
      </c>
      <c r="E61" s="23">
        <f>IFERROR('Data Sheet'!D67,0)</f>
        <v>21</v>
      </c>
      <c r="F61" s="23">
        <f>IFERROR('Data Sheet'!E67,0)</f>
        <v>33.520000000000003</v>
      </c>
      <c r="G61" s="23">
        <f>IFERROR('Data Sheet'!F67,0)</f>
        <v>64.37</v>
      </c>
      <c r="H61" s="23">
        <f>IFERROR('Data Sheet'!G67,0)</f>
        <v>19.55</v>
      </c>
      <c r="I61" s="23">
        <f>IFERROR('Data Sheet'!H67,0)</f>
        <v>43.58</v>
      </c>
      <c r="J61" s="23">
        <f>IFERROR('Data Sheet'!I67,0)</f>
        <v>66.89</v>
      </c>
      <c r="K61" s="23">
        <f>IFERROR('Data Sheet'!J67,0)</f>
        <v>62.16</v>
      </c>
      <c r="L61" s="23">
        <f>IFERROR('Data Sheet'!K67,0)</f>
        <v>166.37</v>
      </c>
      <c r="M61" s="286">
        <f>IFERROR('Data Sheet'!L69,0)</f>
        <v>0</v>
      </c>
    </row>
    <row r="62" spans="2:13">
      <c r="B62" t="s">
        <v>45</v>
      </c>
      <c r="C62" s="23">
        <f>IFERROR('Data Sheet'!B68,0)</f>
        <v>539.61</v>
      </c>
      <c r="D62" s="23">
        <f>IFERROR('Data Sheet'!C68,0)</f>
        <v>671.69</v>
      </c>
      <c r="E62" s="23">
        <f>IFERROR('Data Sheet'!D68,0)</f>
        <v>947.9</v>
      </c>
      <c r="F62" s="23">
        <f>IFERROR('Data Sheet'!E68,0)</f>
        <v>1163.45</v>
      </c>
      <c r="G62" s="23">
        <f>IFERROR('Data Sheet'!F68,0)</f>
        <v>1608.65</v>
      </c>
      <c r="H62" s="23">
        <f>IFERROR('Data Sheet'!G68,0)</f>
        <v>1947.4</v>
      </c>
      <c r="I62" s="23">
        <f>IFERROR('Data Sheet'!H68,0)</f>
        <v>2248.2800000000002</v>
      </c>
      <c r="J62" s="23">
        <f>IFERROR('Data Sheet'!I68,0)</f>
        <v>2742.66</v>
      </c>
      <c r="K62" s="23">
        <f>IFERROR('Data Sheet'!J68,0)</f>
        <v>3243.48</v>
      </c>
      <c r="L62" s="23">
        <f>IFERROR('Data Sheet'!K68,0)</f>
        <v>3927.31</v>
      </c>
      <c r="M62" s="286">
        <f>IFERROR('Data Sheet'!L70,0)</f>
        <v>0</v>
      </c>
    </row>
    <row r="63" spans="2:13">
      <c r="B63" t="s">
        <v>78</v>
      </c>
      <c r="C63" s="23">
        <f>IFERROR('Data Sheet'!B69,0)</f>
        <v>38.04</v>
      </c>
      <c r="D63" s="23">
        <f>IFERROR('Data Sheet'!C69,0)</f>
        <v>35.1</v>
      </c>
      <c r="E63" s="23">
        <f>IFERROR('Data Sheet'!D69,0)</f>
        <v>1884.29</v>
      </c>
      <c r="F63" s="23">
        <f>IFERROR('Data Sheet'!E69,0)</f>
        <v>560.17999999999995</v>
      </c>
      <c r="G63" s="23">
        <f>IFERROR('Data Sheet'!F69,0)</f>
        <v>219.07</v>
      </c>
      <c r="H63" s="23">
        <f>IFERROR('Data Sheet'!G69,0)</f>
        <v>107.88</v>
      </c>
      <c r="I63" s="23">
        <f>IFERROR('Data Sheet'!H69,0)</f>
        <v>1445.58</v>
      </c>
      <c r="J63" s="23">
        <f>IFERROR('Data Sheet'!I69,0)</f>
        <v>298.58</v>
      </c>
      <c r="K63" s="23">
        <f>IFERROR('Data Sheet'!J69,0)</f>
        <v>1408.33</v>
      </c>
      <c r="L63" s="23">
        <f>IFERROR('Data Sheet'!K69,0)</f>
        <v>638.17999999999995</v>
      </c>
      <c r="M63" s="286">
        <f>IFERROR('Data Sheet'!L71,0)</f>
        <v>0</v>
      </c>
    </row>
    <row r="64" spans="2:13">
      <c r="B64" s="38" t="s">
        <v>114</v>
      </c>
      <c r="C64" s="39">
        <f>IFERROR(SUM(C61:C63),0)</f>
        <v>584.72</v>
      </c>
      <c r="D64" s="39">
        <f t="shared" ref="D64:L64" si="19">IFERROR(SUM(D61:D63),0)</f>
        <v>715.21</v>
      </c>
      <c r="E64" s="39">
        <f t="shared" si="19"/>
        <v>2853.19</v>
      </c>
      <c r="F64" s="39">
        <f t="shared" si="19"/>
        <v>1757.15</v>
      </c>
      <c r="G64" s="39">
        <f t="shared" si="19"/>
        <v>1892.09</v>
      </c>
      <c r="H64" s="39">
        <f t="shared" si="19"/>
        <v>2074.83</v>
      </c>
      <c r="I64" s="39">
        <f t="shared" si="19"/>
        <v>3737.44</v>
      </c>
      <c r="J64" s="39">
        <f t="shared" si="19"/>
        <v>3108.1299999999997</v>
      </c>
      <c r="K64" s="39">
        <f t="shared" si="19"/>
        <v>4713.9699999999993</v>
      </c>
      <c r="L64" s="39">
        <f t="shared" si="19"/>
        <v>4731.8599999999997</v>
      </c>
      <c r="M64" s="286">
        <f>IFERROR('Data Sheet'!L72,0)</f>
        <v>0</v>
      </c>
    </row>
    <row r="65" spans="1:13">
      <c r="B65" s="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87"/>
    </row>
    <row r="66" spans="1:13">
      <c r="B66" s="38" t="s">
        <v>115</v>
      </c>
      <c r="C66" s="39">
        <f>IFERROR(SUM(C64+C59),0)</f>
        <v>2354.8099999999995</v>
      </c>
      <c r="D66" s="39">
        <f t="shared" ref="D66:L66" si="20">IFERROR(SUM(D64,D59),0)</f>
        <v>3101.56</v>
      </c>
      <c r="E66" s="39">
        <f t="shared" si="20"/>
        <v>5819.28</v>
      </c>
      <c r="F66" s="39">
        <f t="shared" si="20"/>
        <v>5648.2199999999993</v>
      </c>
      <c r="G66" s="39">
        <f t="shared" si="20"/>
        <v>7005.5</v>
      </c>
      <c r="H66" s="39">
        <f t="shared" si="20"/>
        <v>12076.16</v>
      </c>
      <c r="I66" s="39">
        <f t="shared" si="20"/>
        <v>13655.050000000001</v>
      </c>
      <c r="J66" s="39">
        <f t="shared" si="20"/>
        <v>15470.980000000001</v>
      </c>
      <c r="K66" s="39">
        <f t="shared" si="20"/>
        <v>18104.52</v>
      </c>
      <c r="L66" s="39">
        <f t="shared" si="20"/>
        <v>21172.48</v>
      </c>
      <c r="M66" s="286">
        <f>IFERROR('Data Sheet'!L74,0)</f>
        <v>0</v>
      </c>
    </row>
    <row r="67" spans="1:13">
      <c r="M67" s="57"/>
    </row>
    <row r="68" spans="1:13">
      <c r="B68" s="2" t="s">
        <v>116</v>
      </c>
      <c r="C68" t="b">
        <f>C66=C53</f>
        <v>1</v>
      </c>
      <c r="D68" t="b">
        <f t="shared" ref="D68:L68" si="21">D66=D53</f>
        <v>1</v>
      </c>
      <c r="E68" t="b">
        <f t="shared" si="21"/>
        <v>1</v>
      </c>
      <c r="F68" t="b">
        <f t="shared" si="21"/>
        <v>1</v>
      </c>
      <c r="G68" t="b">
        <f t="shared" si="21"/>
        <v>1</v>
      </c>
      <c r="H68" t="b">
        <f t="shared" si="21"/>
        <v>1</v>
      </c>
      <c r="I68" t="b">
        <f t="shared" si="21"/>
        <v>1</v>
      </c>
      <c r="J68" t="b">
        <f t="shared" si="21"/>
        <v>1</v>
      </c>
      <c r="K68" t="b">
        <f t="shared" si="21"/>
        <v>1</v>
      </c>
      <c r="L68" t="b">
        <f t="shared" si="21"/>
        <v>1</v>
      </c>
      <c r="M68" s="286">
        <f>IFERROR('Data Sheet'!L76,0)</f>
        <v>0</v>
      </c>
    </row>
    <row r="70" spans="1:13">
      <c r="A70" t="s">
        <v>84</v>
      </c>
      <c r="B70" s="29" t="s">
        <v>145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B71" s="2" t="s">
        <v>146</v>
      </c>
    </row>
    <row r="72" spans="1:13">
      <c r="B72" t="s">
        <v>118</v>
      </c>
      <c r="C72" s="23">
        <f>IFERROR('Cash Flow Statement'!E4,0)</f>
        <v>43397</v>
      </c>
      <c r="D72" s="23">
        <f>IFERROR('Cash Flow Statement'!F4,0)</f>
        <v>38626</v>
      </c>
      <c r="E72" s="23">
        <f>IFERROR('Cash Flow Statement'!G4,0)</f>
        <v>28840</v>
      </c>
      <c r="F72" s="23">
        <f>IFERROR('Cash Flow Statement'!H4,0)</f>
        <v>33312</v>
      </c>
      <c r="G72" s="23">
        <f>IFERROR('Cash Flow Statement'!I4,0)</f>
        <v>28771</v>
      </c>
      <c r="H72" s="23">
        <f>IFERROR('Cash Flow Statement'!J4,0)</f>
        <v>23352</v>
      </c>
      <c r="I72" s="23">
        <f>IFERROR('Cash Flow Statement'!K4,0)</f>
        <v>31198</v>
      </c>
      <c r="J72" s="23">
        <f>IFERROR('Cash Flow Statement'!L4,0)</f>
        <v>26943</v>
      </c>
      <c r="K72" s="23">
        <f>IFERROR('Cash Flow Statement'!M4,0)</f>
        <v>41694</v>
      </c>
      <c r="L72" s="23">
        <f>IFERROR('Cash Flow Statement'!N4,0)</f>
        <v>65106</v>
      </c>
    </row>
    <row r="73" spans="1:13">
      <c r="B73" t="s">
        <v>69</v>
      </c>
      <c r="C73" s="23">
        <f>IFERROR('Cash Flow Statement'!E5,0)</f>
        <v>-3179</v>
      </c>
      <c r="D73" s="23">
        <f>IFERROR('Cash Flow Statement'!F5,0)</f>
        <v>-2223</v>
      </c>
      <c r="E73" s="23">
        <f>IFERROR('Cash Flow Statement'!G5,0)</f>
        <v>-4152</v>
      </c>
      <c r="F73" s="23">
        <f>IFERROR('Cash Flow Statement'!H5,0)</f>
        <v>-10688</v>
      </c>
      <c r="G73" s="23">
        <f>IFERROR('Cash Flow Statement'!I5,0)</f>
        <v>-9109</v>
      </c>
      <c r="H73" s="23">
        <f>IFERROR('Cash Flow Statement'!J5,0)</f>
        <v>9950</v>
      </c>
      <c r="I73" s="23">
        <f>IFERROR('Cash Flow Statement'!K5,0)</f>
        <v>-5505</v>
      </c>
      <c r="J73" s="23">
        <f>IFERROR('Cash Flow Statement'!L5,0)</f>
        <v>185</v>
      </c>
      <c r="K73" s="23">
        <f>IFERROR('Cash Flow Statement'!M5,0)</f>
        <v>-2213</v>
      </c>
      <c r="L73" s="23">
        <f>IFERROR('Cash Flow Statement'!N5,0)</f>
        <v>-1875</v>
      </c>
    </row>
    <row r="74" spans="1:13">
      <c r="B74" t="s">
        <v>45</v>
      </c>
      <c r="C74" s="23">
        <f>IFERROR('Cash Flow Statement'!E6,0)</f>
        <v>-3692</v>
      </c>
      <c r="D74" s="23">
        <f>IFERROR('Cash Flow Statement'!F6,0)</f>
        <v>-5743</v>
      </c>
      <c r="E74" s="23">
        <f>IFERROR('Cash Flow Statement'!G6,0)</f>
        <v>-6621</v>
      </c>
      <c r="F74" s="23">
        <f>IFERROR('Cash Flow Statement'!H6,0)</f>
        <v>-3560</v>
      </c>
      <c r="G74" s="23">
        <f>IFERROR('Cash Flow Statement'!I6,0)</f>
        <v>2069</v>
      </c>
      <c r="H74" s="23">
        <f>IFERROR('Cash Flow Statement'!J6,0)</f>
        <v>2326</v>
      </c>
      <c r="I74" s="23">
        <f>IFERROR('Cash Flow Statement'!K6,0)</f>
        <v>3814</v>
      </c>
      <c r="J74" s="23">
        <f>IFERROR('Cash Flow Statement'!L6,0)</f>
        <v>472</v>
      </c>
      <c r="K74" s="23">
        <f>IFERROR('Cash Flow Statement'!M6,0)</f>
        <v>-5665</v>
      </c>
      <c r="L74" s="23">
        <f>IFERROR('Cash Flow Statement'!N6,0)</f>
        <v>-7265</v>
      </c>
    </row>
    <row r="75" spans="1:13">
      <c r="B75" t="s">
        <v>119</v>
      </c>
      <c r="C75" s="23">
        <f>IFERROR('Cash Flow Statement'!E7,0)</f>
        <v>3598</v>
      </c>
      <c r="D75" s="23">
        <f>IFERROR('Cash Flow Statement'!F7,0)</f>
        <v>3947</v>
      </c>
      <c r="E75" s="23">
        <f>IFERROR('Cash Flow Statement'!G7,0)</f>
        <v>9301</v>
      </c>
      <c r="F75" s="23">
        <f>IFERROR('Cash Flow Statement'!H7,0)</f>
        <v>7320</v>
      </c>
      <c r="G75" s="23">
        <f>IFERROR('Cash Flow Statement'!I7,0)</f>
        <v>-4692</v>
      </c>
      <c r="H75" s="23">
        <f>IFERROR('Cash Flow Statement'!J7,0)</f>
        <v>-8085</v>
      </c>
      <c r="I75" s="23">
        <f>IFERROR('Cash Flow Statement'!K7,0)</f>
        <v>5748</v>
      </c>
      <c r="J75" s="23">
        <f>IFERROR('Cash Flow Statement'!L7,0)</f>
        <v>-7012</v>
      </c>
      <c r="K75" s="23">
        <f>IFERROR('Cash Flow Statement'!M7,0)</f>
        <v>6945</v>
      </c>
      <c r="L75" s="23">
        <f>IFERROR('Cash Flow Statement'!N7,0)</f>
        <v>13706</v>
      </c>
    </row>
    <row r="76" spans="1:13">
      <c r="B76" t="s">
        <v>120</v>
      </c>
      <c r="C76" s="23">
        <f>IFERROR('Cash Flow Statement'!E8,0)</f>
        <v>0</v>
      </c>
      <c r="D76" s="23">
        <f>IFERROR('Cash Flow Statement'!F8,0)</f>
        <v>-520</v>
      </c>
      <c r="E76" s="23">
        <f>IFERROR('Cash Flow Statement'!G8,0)</f>
        <v>0</v>
      </c>
      <c r="F76" s="23">
        <f>IFERROR('Cash Flow Statement'!H8,0)</f>
        <v>0</v>
      </c>
      <c r="G76" s="23">
        <f>IFERROR('Cash Flow Statement'!I8,0)</f>
        <v>0</v>
      </c>
      <c r="H76" s="23">
        <f>IFERROR('Cash Flow Statement'!J8,0)</f>
        <v>0</v>
      </c>
      <c r="I76" s="23">
        <f>IFERROR('Cash Flow Statement'!K8,0)</f>
        <v>0</v>
      </c>
      <c r="J76" s="23">
        <f>IFERROR('Cash Flow Statement'!L8,0)</f>
        <v>0</v>
      </c>
      <c r="K76" s="23">
        <f>IFERROR('Cash Flow Statement'!M8,0)</f>
        <v>0</v>
      </c>
      <c r="L76" s="23">
        <f>IFERROR('Cash Flow Statement'!N8,0)</f>
        <v>0</v>
      </c>
    </row>
    <row r="77" spans="1:13">
      <c r="B77" t="s">
        <v>121</v>
      </c>
      <c r="C77" s="23">
        <f>IFERROR('Cash Flow Statement'!E9,0)</f>
        <v>-398</v>
      </c>
      <c r="D77" s="23">
        <f>IFERROR('Cash Flow Statement'!F9,0)</f>
        <v>5852</v>
      </c>
      <c r="E77" s="23">
        <f>IFERROR('Cash Flow Statement'!G9,0)</f>
        <v>4727</v>
      </c>
      <c r="F77" s="23">
        <f>IFERROR('Cash Flow Statement'!H9,0)</f>
        <v>494</v>
      </c>
      <c r="G77" s="23">
        <f>IFERROR('Cash Flow Statement'!I9,0)</f>
        <v>4512</v>
      </c>
      <c r="H77" s="23">
        <f>IFERROR('Cash Flow Statement'!J9,0)</f>
        <v>875</v>
      </c>
      <c r="I77" s="23">
        <f>IFERROR('Cash Flow Statement'!K9,0)</f>
        <v>-4150</v>
      </c>
      <c r="J77" s="23">
        <f>IFERROR('Cash Flow Statement'!L9,0)</f>
        <v>-4396</v>
      </c>
      <c r="K77" s="23">
        <f>IFERROR('Cash Flow Statement'!M9,0)</f>
        <v>-2194</v>
      </c>
      <c r="L77" s="23">
        <f>IFERROR('Cash Flow Statement'!N9,0)</f>
        <v>2760</v>
      </c>
    </row>
    <row r="78" spans="1:13">
      <c r="B78" t="s">
        <v>122</v>
      </c>
      <c r="C78" s="23">
        <f>IFERROR('Cash Flow Statement'!E10,0)</f>
        <v>-3672</v>
      </c>
      <c r="D78" s="23">
        <f>IFERROR('Cash Flow Statement'!F10,0)</f>
        <v>1313</v>
      </c>
      <c r="E78" s="23">
        <f>IFERROR('Cash Flow Statement'!G10,0)</f>
        <v>3254</v>
      </c>
      <c r="F78" s="23">
        <f>IFERROR('Cash Flow Statement'!H10,0)</f>
        <v>-6434</v>
      </c>
      <c r="G78" s="23">
        <f>IFERROR('Cash Flow Statement'!I10,0)</f>
        <v>-7221</v>
      </c>
      <c r="H78" s="23">
        <f>IFERROR('Cash Flow Statement'!J10,0)</f>
        <v>5065</v>
      </c>
      <c r="I78" s="23">
        <f>IFERROR('Cash Flow Statement'!K10,0)</f>
        <v>-93</v>
      </c>
      <c r="J78" s="23">
        <f>IFERROR('Cash Flow Statement'!L10,0)</f>
        <v>-10750</v>
      </c>
      <c r="K78" s="23">
        <f>IFERROR('Cash Flow Statement'!M10,0)</f>
        <v>-3127</v>
      </c>
      <c r="L78" s="23">
        <f>IFERROR('Cash Flow Statement'!N10,0)</f>
        <v>7325</v>
      </c>
    </row>
    <row r="79" spans="1:13">
      <c r="B79" t="s">
        <v>123</v>
      </c>
      <c r="C79" s="23">
        <f>IFERROR('Cash Flow Statement'!E11,0)</f>
        <v>-4194</v>
      </c>
      <c r="D79" s="23">
        <f>IFERROR('Cash Flow Statement'!F11,0)</f>
        <v>-2040</v>
      </c>
      <c r="E79" s="23">
        <f>IFERROR('Cash Flow Statement'!G11,0)</f>
        <v>-1895</v>
      </c>
      <c r="F79" s="23">
        <f>IFERROR('Cash Flow Statement'!H11,0)</f>
        <v>-3021</v>
      </c>
      <c r="G79" s="23">
        <f>IFERROR('Cash Flow Statement'!I11,0)</f>
        <v>-2659</v>
      </c>
      <c r="H79" s="23">
        <f>IFERROR('Cash Flow Statement'!J11,0)</f>
        <v>-1785</v>
      </c>
      <c r="I79" s="23">
        <f>IFERROR('Cash Flow Statement'!K11,0)</f>
        <v>-2105</v>
      </c>
      <c r="J79" s="23">
        <f>IFERROR('Cash Flow Statement'!L11,0)</f>
        <v>-1910</v>
      </c>
      <c r="K79" s="23">
        <f>IFERROR('Cash Flow Statement'!M11,0)</f>
        <v>-3179</v>
      </c>
      <c r="L79" s="23">
        <f>IFERROR('Cash Flow Statement'!N11,0)</f>
        <v>-4516</v>
      </c>
    </row>
    <row r="80" spans="1:13">
      <c r="A80" s="2"/>
      <c r="B80" s="2" t="s">
        <v>147</v>
      </c>
      <c r="C80" s="31">
        <f>IFERROR('Cash Flow Statement'!E3,0)</f>
        <v>35531</v>
      </c>
      <c r="D80" s="31">
        <f>IFERROR('Cash Flow Statement'!F3,0)</f>
        <v>37900</v>
      </c>
      <c r="E80" s="31">
        <f>IFERROR('Cash Flow Statement'!G3,0)</f>
        <v>30199</v>
      </c>
      <c r="F80" s="31">
        <f>IFERROR('Cash Flow Statement'!H3,0)</f>
        <v>23857</v>
      </c>
      <c r="G80" s="31">
        <f>IFERROR('Cash Flow Statement'!I3,0)</f>
        <v>18891</v>
      </c>
      <c r="H80" s="31">
        <f>IFERROR('Cash Flow Statement'!J3,0)</f>
        <v>26633</v>
      </c>
      <c r="I80" s="31">
        <f>IFERROR('Cash Flow Statement'!K3,0)</f>
        <v>29001</v>
      </c>
      <c r="J80" s="31">
        <f>IFERROR('Cash Flow Statement'!L3,0)</f>
        <v>14283</v>
      </c>
      <c r="K80" s="31">
        <f>IFERROR('Cash Flow Statement'!M3,0)</f>
        <v>35388</v>
      </c>
      <c r="L80" s="31">
        <f>IFERROR('Cash Flow Statement'!N3,0)</f>
        <v>67915</v>
      </c>
    </row>
    <row r="82" spans="2:12">
      <c r="B82" s="2" t="s">
        <v>148</v>
      </c>
    </row>
    <row r="83" spans="2:12">
      <c r="B83" t="s">
        <v>125</v>
      </c>
      <c r="C83" s="23">
        <f>IFERROR('Cash Flow Statement'!E13,0)</f>
        <v>-31962</v>
      </c>
      <c r="D83" s="23">
        <f>IFERROR('Cash Flow Statement'!F13,0)</f>
        <v>-31503</v>
      </c>
      <c r="E83" s="23">
        <f>IFERROR('Cash Flow Statement'!G13,0)</f>
        <v>-16072</v>
      </c>
      <c r="F83" s="23">
        <f>IFERROR('Cash Flow Statement'!H13,0)</f>
        <v>-35079</v>
      </c>
      <c r="G83" s="23">
        <f>IFERROR('Cash Flow Statement'!I13,0)</f>
        <v>-35304</v>
      </c>
      <c r="H83" s="23">
        <f>IFERROR('Cash Flow Statement'!J13,0)</f>
        <v>-29702</v>
      </c>
      <c r="I83" s="23">
        <f>IFERROR('Cash Flow Statement'!K13,0)</f>
        <v>-20205</v>
      </c>
      <c r="J83" s="23">
        <f>IFERROR('Cash Flow Statement'!L13,0)</f>
        <v>-15168</v>
      </c>
      <c r="K83" s="23">
        <f>IFERROR('Cash Flow Statement'!M13,0)</f>
        <v>-19230</v>
      </c>
      <c r="L83" s="23">
        <f>IFERROR('Cash Flow Statement'!N13,0)</f>
        <v>-31414</v>
      </c>
    </row>
    <row r="84" spans="2:12">
      <c r="B84" t="s">
        <v>126</v>
      </c>
      <c r="C84" s="23">
        <f>IFERROR('Cash Flow Statement'!E14,0)</f>
        <v>74</v>
      </c>
      <c r="D84" s="23">
        <f>IFERROR('Cash Flow Statement'!F14,0)</f>
        <v>59</v>
      </c>
      <c r="E84" s="23">
        <f>IFERROR('Cash Flow Statement'!G14,0)</f>
        <v>53</v>
      </c>
      <c r="F84" s="23">
        <f>IFERROR('Cash Flow Statement'!H14,0)</f>
        <v>30</v>
      </c>
      <c r="G84" s="23">
        <f>IFERROR('Cash Flow Statement'!I14,0)</f>
        <v>67</v>
      </c>
      <c r="H84" s="23">
        <f>IFERROR('Cash Flow Statement'!J14,0)</f>
        <v>171</v>
      </c>
      <c r="I84" s="23">
        <f>IFERROR('Cash Flow Statement'!K14,0)</f>
        <v>351</v>
      </c>
      <c r="J84" s="23">
        <f>IFERROR('Cash Flow Statement'!L14,0)</f>
        <v>230</v>
      </c>
      <c r="K84" s="23">
        <f>IFERROR('Cash Flow Statement'!M14,0)</f>
        <v>285</v>
      </c>
      <c r="L84" s="23">
        <f>IFERROR('Cash Flow Statement'!N14,0)</f>
        <v>231</v>
      </c>
    </row>
    <row r="85" spans="2:12">
      <c r="B85" t="s">
        <v>127</v>
      </c>
      <c r="C85" s="23">
        <f>IFERROR('Cash Flow Statement'!E15,0)</f>
        <v>-5461</v>
      </c>
      <c r="D85" s="23">
        <f>IFERROR('Cash Flow Statement'!F15,0)</f>
        <v>-4728</v>
      </c>
      <c r="E85" s="23">
        <f>IFERROR('Cash Flow Statement'!G15,0)</f>
        <v>-6</v>
      </c>
      <c r="F85" s="23">
        <f>IFERROR('Cash Flow Statement'!H15,0)</f>
        <v>-329</v>
      </c>
      <c r="G85" s="23">
        <f>IFERROR('Cash Flow Statement'!I15,0)</f>
        <v>-130</v>
      </c>
      <c r="H85" s="23">
        <f>IFERROR('Cash Flow Statement'!J15,0)</f>
        <v>-1439</v>
      </c>
      <c r="I85" s="23">
        <f>IFERROR('Cash Flow Statement'!K15,0)</f>
        <v>-7530</v>
      </c>
      <c r="J85" s="23">
        <f>IFERROR('Cash Flow Statement'!L15,0)</f>
        <v>-3008</v>
      </c>
      <c r="K85" s="23">
        <f>IFERROR('Cash Flow Statement'!M15,0)</f>
        <v>-50</v>
      </c>
      <c r="L85" s="23">
        <f>IFERROR('Cash Flow Statement'!N15,0)</f>
        <v>-74</v>
      </c>
    </row>
    <row r="86" spans="2:12">
      <c r="B86" t="s">
        <v>128</v>
      </c>
      <c r="C86" s="23">
        <f>IFERROR('Cash Flow Statement'!E16,0)</f>
        <v>42</v>
      </c>
      <c r="D86" s="23">
        <f>IFERROR('Cash Flow Statement'!F16,0)</f>
        <v>89</v>
      </c>
      <c r="E86" s="23">
        <f>IFERROR('Cash Flow Statement'!G16,0)</f>
        <v>1965</v>
      </c>
      <c r="F86" s="23">
        <f>IFERROR('Cash Flow Statement'!H16,0)</f>
        <v>2381</v>
      </c>
      <c r="G86" s="23">
        <f>IFERROR('Cash Flow Statement'!I16,0)</f>
        <v>5644</v>
      </c>
      <c r="H86" s="23">
        <f>IFERROR('Cash Flow Statement'!J16,0)</f>
        <v>21</v>
      </c>
      <c r="I86" s="23">
        <f>IFERROR('Cash Flow Statement'!K16,0)</f>
        <v>226</v>
      </c>
      <c r="J86" s="23">
        <f>IFERROR('Cash Flow Statement'!L16,0)</f>
        <v>104</v>
      </c>
      <c r="K86" s="23">
        <f>IFERROR('Cash Flow Statement'!M16,0)</f>
        <v>6895</v>
      </c>
      <c r="L86" s="23">
        <f>IFERROR('Cash Flow Statement'!N16,0)</f>
        <v>10820</v>
      </c>
    </row>
    <row r="87" spans="2:12">
      <c r="B87" t="s">
        <v>129</v>
      </c>
      <c r="C87" s="23">
        <f>IFERROR('Cash Flow Statement'!E17,0)</f>
        <v>698</v>
      </c>
      <c r="D87" s="23">
        <f>IFERROR('Cash Flow Statement'!F17,0)</f>
        <v>731</v>
      </c>
      <c r="E87" s="23">
        <f>IFERROR('Cash Flow Statement'!G17,0)</f>
        <v>638</v>
      </c>
      <c r="F87" s="23">
        <f>IFERROR('Cash Flow Statement'!H17,0)</f>
        <v>690</v>
      </c>
      <c r="G87" s="23">
        <f>IFERROR('Cash Flow Statement'!I17,0)</f>
        <v>761</v>
      </c>
      <c r="H87" s="23">
        <f>IFERROR('Cash Flow Statement'!J17,0)</f>
        <v>1104</v>
      </c>
      <c r="I87" s="23">
        <f>IFERROR('Cash Flow Statement'!K17,0)</f>
        <v>428</v>
      </c>
      <c r="J87" s="23">
        <f>IFERROR('Cash Flow Statement'!L17,0)</f>
        <v>653</v>
      </c>
      <c r="K87" s="23">
        <f>IFERROR('Cash Flow Statement'!M17,0)</f>
        <v>973</v>
      </c>
      <c r="L87" s="23">
        <f>IFERROR('Cash Flow Statement'!N17,0)</f>
        <v>2493</v>
      </c>
    </row>
    <row r="88" spans="2:12">
      <c r="B88" t="s">
        <v>130</v>
      </c>
      <c r="C88" s="23">
        <f>IFERROR('Cash Flow Statement'!E18,0)</f>
        <v>80</v>
      </c>
      <c r="D88" s="23">
        <f>IFERROR('Cash Flow Statement'!F18,0)</f>
        <v>58</v>
      </c>
      <c r="E88" s="23">
        <f>IFERROR('Cash Flow Statement'!G18,0)</f>
        <v>620</v>
      </c>
      <c r="F88" s="23">
        <f>IFERROR('Cash Flow Statement'!H18,0)</f>
        <v>1797</v>
      </c>
      <c r="G88" s="23">
        <f>IFERROR('Cash Flow Statement'!I18,0)</f>
        <v>232</v>
      </c>
      <c r="H88" s="23">
        <f>IFERROR('Cash Flow Statement'!J18,0)</f>
        <v>21</v>
      </c>
      <c r="I88" s="23">
        <f>IFERROR('Cash Flow Statement'!K18,0)</f>
        <v>18</v>
      </c>
      <c r="J88" s="23">
        <f>IFERROR('Cash Flow Statement'!L18,0)</f>
        <v>32</v>
      </c>
      <c r="K88" s="23">
        <f>IFERROR('Cash Flow Statement'!M18,0)</f>
        <v>46</v>
      </c>
      <c r="L88" s="23">
        <f>IFERROR('Cash Flow Statement'!N18,0)</f>
        <v>47</v>
      </c>
    </row>
    <row r="89" spans="2:12">
      <c r="B89" t="s">
        <v>131</v>
      </c>
      <c r="C89" s="23">
        <f>IFERROR('Cash Flow Statement'!E19,0)</f>
        <v>-160</v>
      </c>
      <c r="D89" s="23">
        <f>IFERROR('Cash Flow Statement'!F19,0)</f>
        <v>0</v>
      </c>
      <c r="E89" s="23">
        <f>IFERROR('Cash Flow Statement'!G19,0)</f>
        <v>-107</v>
      </c>
      <c r="F89" s="23">
        <f>IFERROR('Cash Flow Statement'!H19,0)</f>
        <v>-4</v>
      </c>
      <c r="G89" s="23">
        <f>IFERROR('Cash Flow Statement'!I19,0)</f>
        <v>-9</v>
      </c>
      <c r="H89" s="23">
        <f>IFERROR('Cash Flow Statement'!J19,0)</f>
        <v>-606</v>
      </c>
      <c r="I89" s="23">
        <f>IFERROR('Cash Flow Statement'!K19,0)</f>
        <v>-10</v>
      </c>
      <c r="J89" s="23">
        <f>IFERROR('Cash Flow Statement'!L19,0)</f>
        <v>0</v>
      </c>
      <c r="K89" s="23">
        <f>IFERROR('Cash Flow Statement'!M19,0)</f>
        <v>0</v>
      </c>
      <c r="L89" s="23">
        <f>IFERROR('Cash Flow Statement'!N19,0)</f>
        <v>-150</v>
      </c>
    </row>
    <row r="90" spans="2:12">
      <c r="B90" t="s">
        <v>132</v>
      </c>
      <c r="C90" s="23">
        <f>IFERROR('Cash Flow Statement'!E20,0)</f>
        <v>0</v>
      </c>
      <c r="D90" s="23">
        <f>IFERROR('Cash Flow Statement'!F20,0)</f>
        <v>0</v>
      </c>
      <c r="E90" s="23">
        <f>IFERROR('Cash Flow Statement'!G20,0)</f>
        <v>0</v>
      </c>
      <c r="F90" s="23">
        <f>IFERROR('Cash Flow Statement'!H20,0)</f>
        <v>14</v>
      </c>
      <c r="G90" s="23">
        <f>IFERROR('Cash Flow Statement'!I20,0)</f>
        <v>533</v>
      </c>
      <c r="H90" s="23">
        <f>IFERROR('Cash Flow Statement'!J20,0)</f>
        <v>0</v>
      </c>
      <c r="I90" s="23">
        <f>IFERROR('Cash Flow Statement'!K20,0)</f>
        <v>0</v>
      </c>
      <c r="J90" s="23">
        <f>IFERROR('Cash Flow Statement'!L20,0)</f>
        <v>0</v>
      </c>
      <c r="K90" s="23">
        <f>IFERROR('Cash Flow Statement'!M20,0)</f>
        <v>19</v>
      </c>
      <c r="L90" s="23">
        <f>IFERROR('Cash Flow Statement'!N20,0)</f>
        <v>108</v>
      </c>
    </row>
    <row r="91" spans="2:12">
      <c r="B91" t="s">
        <v>133</v>
      </c>
      <c r="C91" s="23">
        <f>IFERROR('Cash Flow Statement'!E21,0)</f>
        <v>0</v>
      </c>
      <c r="D91" s="23">
        <f>IFERROR('Cash Flow Statement'!F21,0)</f>
        <v>-111</v>
      </c>
      <c r="E91" s="23">
        <f>IFERROR('Cash Flow Statement'!G21,0)</f>
        <v>0</v>
      </c>
      <c r="F91" s="23">
        <f>IFERROR('Cash Flow Statement'!H21,0)</f>
        <v>0</v>
      </c>
      <c r="G91" s="23">
        <f>IFERROR('Cash Flow Statement'!I21,0)</f>
        <v>-8</v>
      </c>
      <c r="H91" s="23">
        <f>IFERROR('Cash Flow Statement'!J21,0)</f>
        <v>-27</v>
      </c>
      <c r="I91" s="23">
        <f>IFERROR('Cash Flow Statement'!K21,0)</f>
        <v>0</v>
      </c>
      <c r="J91" s="23">
        <f>IFERROR('Cash Flow Statement'!L21,0)</f>
        <v>-98</v>
      </c>
      <c r="K91" s="23">
        <f>IFERROR('Cash Flow Statement'!M21,0)</f>
        <v>0</v>
      </c>
      <c r="L91" s="23">
        <f>IFERROR('Cash Flow Statement'!N21,0)</f>
        <v>0</v>
      </c>
    </row>
    <row r="92" spans="2:12">
      <c r="B92" t="s">
        <v>134</v>
      </c>
      <c r="C92" s="23">
        <f>IFERROR('Cash Flow Statement'!E22,0)</f>
        <v>0</v>
      </c>
      <c r="D92" s="23">
        <f>IFERROR('Cash Flow Statement'!F22,0)</f>
        <v>0</v>
      </c>
      <c r="E92" s="23">
        <f>IFERROR('Cash Flow Statement'!G22,0)</f>
        <v>0</v>
      </c>
      <c r="F92" s="23">
        <f>IFERROR('Cash Flow Statement'!H22,0)</f>
        <v>0</v>
      </c>
      <c r="G92" s="23">
        <f>IFERROR('Cash Flow Statement'!I22,0)</f>
        <v>0</v>
      </c>
      <c r="H92" s="23">
        <f>IFERROR('Cash Flow Statement'!J22,0)</f>
        <v>0</v>
      </c>
      <c r="I92" s="23">
        <f>IFERROR('Cash Flow Statement'!K22,0)</f>
        <v>0</v>
      </c>
      <c r="J92" s="23">
        <f>IFERROR('Cash Flow Statement'!L22,0)</f>
        <v>0</v>
      </c>
      <c r="K92" s="23">
        <f>IFERROR('Cash Flow Statement'!M22,0)</f>
        <v>0</v>
      </c>
      <c r="L92" s="23">
        <f>IFERROR('Cash Flow Statement'!N22,0)</f>
        <v>-24</v>
      </c>
    </row>
    <row r="93" spans="2:12">
      <c r="B93" t="s">
        <v>135</v>
      </c>
      <c r="C93" s="23">
        <f>IFERROR('Cash Flow Statement'!E23,0)</f>
        <v>456</v>
      </c>
      <c r="D93" s="23">
        <f>IFERROR('Cash Flow Statement'!F23,0)</f>
        <v>-1289</v>
      </c>
      <c r="E93" s="23">
        <f>IFERROR('Cash Flow Statement'!G23,0)</f>
        <v>-26663</v>
      </c>
      <c r="F93" s="23">
        <f>IFERROR('Cash Flow Statement'!H23,0)</f>
        <v>5360</v>
      </c>
      <c r="G93" s="23">
        <f>IFERROR('Cash Flow Statement'!I23,0)</f>
        <v>7335</v>
      </c>
      <c r="H93" s="23">
        <f>IFERROR('Cash Flow Statement'!J23,0)</f>
        <v>-2659</v>
      </c>
      <c r="I93" s="23">
        <f>IFERROR('Cash Flow Statement'!K23,0)</f>
        <v>1051</v>
      </c>
      <c r="J93" s="23">
        <f>IFERROR('Cash Flow Statement'!L23,0)</f>
        <v>12813</v>
      </c>
      <c r="K93" s="23">
        <f>IFERROR('Cash Flow Statement'!M23,0)</f>
        <v>-4357</v>
      </c>
      <c r="L93" s="23">
        <f>IFERROR('Cash Flow Statement'!N23,0)</f>
        <v>-4817</v>
      </c>
    </row>
    <row r="94" spans="2:12">
      <c r="B94" s="2" t="s">
        <v>149</v>
      </c>
      <c r="C94" s="31">
        <f>IFERROR('Cash Flow Statement'!E12,0)</f>
        <v>-36232</v>
      </c>
      <c r="D94" s="31">
        <f>IFERROR('Cash Flow Statement'!F12,0)</f>
        <v>-36694</v>
      </c>
      <c r="E94" s="31">
        <f>IFERROR('Cash Flow Statement'!G12,0)</f>
        <v>-39571</v>
      </c>
      <c r="F94" s="31">
        <f>IFERROR('Cash Flow Statement'!H12,0)</f>
        <v>-25139</v>
      </c>
      <c r="G94" s="31">
        <f>IFERROR('Cash Flow Statement'!I12,0)</f>
        <v>-20878</v>
      </c>
      <c r="H94" s="31">
        <f>IFERROR('Cash Flow Statement'!J12,0)</f>
        <v>-33115</v>
      </c>
      <c r="I94" s="31">
        <f>IFERROR('Cash Flow Statement'!K12,0)</f>
        <v>-25672</v>
      </c>
      <c r="J94" s="31">
        <f>IFERROR('Cash Flow Statement'!L12,0)</f>
        <v>-4444</v>
      </c>
      <c r="K94" s="31">
        <f>IFERROR('Cash Flow Statement'!M12,0)</f>
        <v>-15417</v>
      </c>
      <c r="L94" s="31">
        <f>IFERROR('Cash Flow Statement'!N12,0)</f>
        <v>-22782</v>
      </c>
    </row>
    <row r="96" spans="2:12">
      <c r="B96" s="2" t="s">
        <v>150</v>
      </c>
    </row>
    <row r="97" spans="1:13">
      <c r="B97" t="s">
        <v>137</v>
      </c>
      <c r="C97" s="23">
        <f>IFERROR('Cash Flow Statement'!E24,0)</f>
        <v>5201</v>
      </c>
      <c r="D97" s="23">
        <f>IFERROR('Cash Flow Statement'!F24,0)</f>
        <v>-3795</v>
      </c>
      <c r="E97" s="23">
        <f>IFERROR('Cash Flow Statement'!G24,0)</f>
        <v>6205</v>
      </c>
      <c r="F97" s="23">
        <f>IFERROR('Cash Flow Statement'!H24,0)</f>
        <v>2012</v>
      </c>
      <c r="G97" s="23">
        <f>IFERROR('Cash Flow Statement'!I24,0)</f>
        <v>8830</v>
      </c>
      <c r="H97" s="23">
        <f>IFERROR('Cash Flow Statement'!J24,0)</f>
        <v>3390</v>
      </c>
      <c r="I97" s="23">
        <f>IFERROR('Cash Flow Statement'!K24,0)</f>
        <v>9904</v>
      </c>
      <c r="J97" s="23">
        <f>IFERROR('Cash Flow Statement'!L24,0)</f>
        <v>-3380</v>
      </c>
      <c r="K97" s="23">
        <f>IFERROR('Cash Flow Statement'!M24,0)</f>
        <v>-26243</v>
      </c>
      <c r="L97" s="23">
        <f>IFERROR('Cash Flow Statement'!N24,0)</f>
        <v>-37006</v>
      </c>
    </row>
    <row r="98" spans="1:13">
      <c r="B98" t="s">
        <v>138</v>
      </c>
      <c r="C98" s="23">
        <f>IFERROR('Cash Flow Statement'!E25,0)</f>
        <v>0</v>
      </c>
      <c r="D98" s="23">
        <f>IFERROR('Cash Flow Statement'!F25,0)</f>
        <v>7433</v>
      </c>
      <c r="E98" s="23">
        <f>IFERROR('Cash Flow Statement'!G25,0)</f>
        <v>5</v>
      </c>
      <c r="F98" s="23">
        <f>IFERROR('Cash Flow Statement'!H25,0)</f>
        <v>0</v>
      </c>
      <c r="G98" s="23">
        <f>IFERROR('Cash Flow Statement'!I25,0)</f>
        <v>0</v>
      </c>
      <c r="H98" s="23">
        <f>IFERROR('Cash Flow Statement'!J25,0)</f>
        <v>3889</v>
      </c>
      <c r="I98" s="23">
        <f>IFERROR('Cash Flow Statement'!K25,0)</f>
        <v>2603</v>
      </c>
      <c r="J98" s="23">
        <f>IFERROR('Cash Flow Statement'!L25,0)</f>
        <v>19</v>
      </c>
      <c r="K98" s="23">
        <f>IFERROR('Cash Flow Statement'!M25,0)</f>
        <v>20</v>
      </c>
      <c r="L98" s="23">
        <f>IFERROR('Cash Flow Statement'!N25,0)</f>
        <v>82</v>
      </c>
    </row>
    <row r="99" spans="1:13">
      <c r="B99" t="s">
        <v>139</v>
      </c>
      <c r="C99" s="23">
        <f>IFERROR('Cash Flow Statement'!E26,0)</f>
        <v>-744</v>
      </c>
      <c r="D99" s="23">
        <f>IFERROR('Cash Flow Statement'!F26,0)</f>
        <v>0</v>
      </c>
      <c r="E99" s="23">
        <f>IFERROR('Cash Flow Statement'!G26,0)</f>
        <v>0</v>
      </c>
      <c r="F99" s="23">
        <f>IFERROR('Cash Flow Statement'!H26,0)</f>
        <v>0</v>
      </c>
      <c r="G99" s="23">
        <f>IFERROR('Cash Flow Statement'!I26,0)</f>
        <v>0</v>
      </c>
      <c r="H99" s="23">
        <f>IFERROR('Cash Flow Statement'!J26,0)</f>
        <v>0</v>
      </c>
      <c r="I99" s="23">
        <f>IFERROR('Cash Flow Statement'!K26,0)</f>
        <v>0</v>
      </c>
      <c r="J99" s="23">
        <f>IFERROR('Cash Flow Statement'!L26,0)</f>
        <v>0</v>
      </c>
      <c r="K99" s="23">
        <f>IFERROR('Cash Flow Statement'!M26,0)</f>
        <v>0</v>
      </c>
      <c r="L99" s="23">
        <f>IFERROR('Cash Flow Statement'!N26,0)</f>
        <v>0</v>
      </c>
    </row>
    <row r="100" spans="1:13">
      <c r="B100" t="s">
        <v>140</v>
      </c>
      <c r="C100" s="23">
        <f>IFERROR('Cash Flow Statement'!E27,0)</f>
        <v>36363</v>
      </c>
      <c r="D100" s="23">
        <f>IFERROR('Cash Flow Statement'!F27,0)</f>
        <v>19519</v>
      </c>
      <c r="E100" s="23">
        <f>IFERROR('Cash Flow Statement'!G27,0)</f>
        <v>33390</v>
      </c>
      <c r="F100" s="23">
        <f>IFERROR('Cash Flow Statement'!H27,0)</f>
        <v>37482</v>
      </c>
      <c r="G100" s="23">
        <f>IFERROR('Cash Flow Statement'!I27,0)</f>
        <v>51128</v>
      </c>
      <c r="H100" s="23">
        <f>IFERROR('Cash Flow Statement'!J27,0)</f>
        <v>38297</v>
      </c>
      <c r="I100" s="23">
        <f>IFERROR('Cash Flow Statement'!K27,0)</f>
        <v>46641</v>
      </c>
      <c r="J100" s="23">
        <f>IFERROR('Cash Flow Statement'!L27,0)</f>
        <v>46578</v>
      </c>
      <c r="K100" s="23">
        <f>IFERROR('Cash Flow Statement'!M27,0)</f>
        <v>43934</v>
      </c>
      <c r="L100" s="23">
        <f>IFERROR('Cash Flow Statement'!N27,0)</f>
        <v>18747</v>
      </c>
    </row>
    <row r="101" spans="1:13">
      <c r="B101" t="s">
        <v>141</v>
      </c>
      <c r="C101" s="23">
        <f>IFERROR('Cash Flow Statement'!E28,0)</f>
        <v>-23332</v>
      </c>
      <c r="D101" s="23">
        <f>IFERROR('Cash Flow Statement'!F28,0)</f>
        <v>-24924</v>
      </c>
      <c r="E101" s="23">
        <f>IFERROR('Cash Flow Statement'!G28,0)</f>
        <v>-21732</v>
      </c>
      <c r="F101" s="23">
        <f>IFERROR('Cash Flow Statement'!H28,0)</f>
        <v>-29964</v>
      </c>
      <c r="G101" s="23">
        <f>IFERROR('Cash Flow Statement'!I28,0)</f>
        <v>-35198</v>
      </c>
      <c r="H101" s="23">
        <f>IFERROR('Cash Flow Statement'!J28,0)</f>
        <v>-29847</v>
      </c>
      <c r="I101" s="23">
        <f>IFERROR('Cash Flow Statement'!K28,0)</f>
        <v>-29709</v>
      </c>
      <c r="J101" s="23">
        <f>IFERROR('Cash Flow Statement'!L28,0)</f>
        <v>-42816</v>
      </c>
      <c r="K101" s="23">
        <f>IFERROR('Cash Flow Statement'!M28,0)</f>
        <v>-62557</v>
      </c>
      <c r="L101" s="23">
        <f>IFERROR('Cash Flow Statement'!N28,0)</f>
        <v>-47332</v>
      </c>
    </row>
    <row r="102" spans="1:13">
      <c r="B102" t="s">
        <v>142</v>
      </c>
      <c r="C102" s="23">
        <f>IFERROR('Cash Flow Statement'!E29,0)</f>
        <v>-6307</v>
      </c>
      <c r="D102" s="23">
        <f>IFERROR('Cash Flow Statement'!F29,0)</f>
        <v>-5716</v>
      </c>
      <c r="E102" s="23">
        <f>IFERROR('Cash Flow Statement'!G29,0)</f>
        <v>-5336</v>
      </c>
      <c r="F102" s="23">
        <f>IFERROR('Cash Flow Statement'!H29,0)</f>
        <v>-5411</v>
      </c>
      <c r="G102" s="23">
        <f>IFERROR('Cash Flow Statement'!I29,0)</f>
        <v>-7005</v>
      </c>
      <c r="H102" s="23">
        <f>IFERROR('Cash Flow Statement'!J29,0)</f>
        <v>-7518</v>
      </c>
      <c r="I102" s="23">
        <f>IFERROR('Cash Flow Statement'!K29,0)</f>
        <v>-8123</v>
      </c>
      <c r="J102" s="23">
        <f>IFERROR('Cash Flow Statement'!L29,0)</f>
        <v>-9251</v>
      </c>
      <c r="K102" s="23">
        <f>IFERROR('Cash Flow Statement'!M29,0)</f>
        <v>-9336</v>
      </c>
      <c r="L102" s="23">
        <f>IFERROR('Cash Flow Statement'!N29,0)</f>
        <v>-9332</v>
      </c>
    </row>
    <row r="103" spans="1:13">
      <c r="B103" t="s">
        <v>143</v>
      </c>
      <c r="C103" s="23">
        <f>IFERROR('Cash Flow Statement'!E30,0)</f>
        <v>-720</v>
      </c>
      <c r="D103" s="23">
        <f>IFERROR('Cash Flow Statement'!F30,0)</f>
        <v>-108</v>
      </c>
      <c r="E103" s="23">
        <f>IFERROR('Cash Flow Statement'!G30,0)</f>
        <v>-121</v>
      </c>
      <c r="F103" s="23">
        <f>IFERROR('Cash Flow Statement'!H30,0)</f>
        <v>-96</v>
      </c>
      <c r="G103" s="23">
        <f>IFERROR('Cash Flow Statement'!I30,0)</f>
        <v>-95</v>
      </c>
      <c r="H103" s="23">
        <f>IFERROR('Cash Flow Statement'!J30,0)</f>
        <v>-57</v>
      </c>
      <c r="I103" s="23">
        <f>IFERROR('Cash Flow Statement'!K30,0)</f>
        <v>-30</v>
      </c>
      <c r="J103" s="23">
        <f>IFERROR('Cash Flow Statement'!L30,0)</f>
        <v>-100</v>
      </c>
      <c r="K103" s="23">
        <f>IFERROR('Cash Flow Statement'!M30,0)</f>
        <v>-141</v>
      </c>
      <c r="L103" s="23">
        <f>IFERROR('Cash Flow Statement'!N30,0)</f>
        <v>-1059</v>
      </c>
    </row>
    <row r="104" spans="1:13">
      <c r="B104" t="s">
        <v>144</v>
      </c>
      <c r="C104" s="23">
        <f>IFERROR('Cash Flow Statement'!E31,0)</f>
        <v>0</v>
      </c>
      <c r="D104" s="23">
        <f>IFERROR('Cash Flow Statement'!F31,0)</f>
        <v>0</v>
      </c>
      <c r="E104" s="23">
        <f>IFERROR('Cash Flow Statement'!G31,0)</f>
        <v>0</v>
      </c>
      <c r="F104" s="23">
        <f>IFERROR('Cash Flow Statement'!H31,0)</f>
        <v>0</v>
      </c>
      <c r="G104" s="23">
        <f>IFERROR('Cash Flow Statement'!I31,0)</f>
        <v>0</v>
      </c>
      <c r="H104" s="23">
        <f>IFERROR('Cash Flow Statement'!J31,0)</f>
        <v>-1346</v>
      </c>
      <c r="I104" s="23">
        <f>IFERROR('Cash Flow Statement'!K31,0)</f>
        <v>-1477</v>
      </c>
      <c r="J104" s="23">
        <f>IFERROR('Cash Flow Statement'!L31,0)</f>
        <v>-1559</v>
      </c>
      <c r="K104" s="23">
        <f>IFERROR('Cash Flow Statement'!M31,0)</f>
        <v>-1517</v>
      </c>
      <c r="L104" s="23">
        <f>IFERROR('Cash Flow Statement'!N31,0)</f>
        <v>-1924</v>
      </c>
    </row>
    <row r="105" spans="1:13">
      <c r="B105" s="2" t="s">
        <v>151</v>
      </c>
      <c r="C105" s="31">
        <f>IFERROR('Cash Flow Statement'!E24,0)</f>
        <v>5201</v>
      </c>
      <c r="D105" s="31">
        <f>IFERROR('Cash Flow Statement'!F24,0)</f>
        <v>-3795</v>
      </c>
      <c r="E105" s="31">
        <f>IFERROR('Cash Flow Statement'!G24,0)</f>
        <v>6205</v>
      </c>
      <c r="F105" s="31">
        <f>IFERROR('Cash Flow Statement'!H24,0)</f>
        <v>2012</v>
      </c>
      <c r="G105" s="31">
        <f>IFERROR('Cash Flow Statement'!I24,0)</f>
        <v>8830</v>
      </c>
      <c r="H105" s="31">
        <f>IFERROR('Cash Flow Statement'!J24,0)</f>
        <v>3390</v>
      </c>
      <c r="I105" s="31">
        <f>IFERROR('Cash Flow Statement'!K24,0)</f>
        <v>9904</v>
      </c>
      <c r="J105" s="31">
        <f>IFERROR('Cash Flow Statement'!L24,0)</f>
        <v>-3380</v>
      </c>
      <c r="K105" s="31">
        <f>IFERROR('Cash Flow Statement'!M24,0)</f>
        <v>-26243</v>
      </c>
      <c r="L105" s="31">
        <f>IFERROR('Cash Flow Statement'!N24,0)</f>
        <v>-37006</v>
      </c>
    </row>
    <row r="107" spans="1:13">
      <c r="B107" s="2" t="s">
        <v>152</v>
      </c>
      <c r="C107" s="31">
        <f>IFERROR(SUM(C80,C94,C105),0)</f>
        <v>4500</v>
      </c>
      <c r="D107" s="31">
        <f t="shared" ref="D107:K107" si="22">IFERROR(SUM(D80,D94,D105),0)</f>
        <v>-2589</v>
      </c>
      <c r="E107" s="31">
        <f t="shared" si="22"/>
        <v>-3167</v>
      </c>
      <c r="F107" s="31">
        <f t="shared" si="22"/>
        <v>730</v>
      </c>
      <c r="G107" s="31">
        <f t="shared" si="22"/>
        <v>6843</v>
      </c>
      <c r="H107" s="31">
        <f t="shared" si="22"/>
        <v>-3092</v>
      </c>
      <c r="I107" s="31">
        <f t="shared" si="22"/>
        <v>13233</v>
      </c>
      <c r="J107" s="31">
        <f t="shared" si="22"/>
        <v>6459</v>
      </c>
      <c r="K107" s="31">
        <f t="shared" si="22"/>
        <v>-6272</v>
      </c>
      <c r="L107" s="31">
        <f t="shared" ref="L107" si="23">IFERROR(SUM(L80,L94,L105),0)</f>
        <v>8127</v>
      </c>
    </row>
    <row r="111" spans="1:13">
      <c r="A111" t="s">
        <v>84</v>
      </c>
      <c r="B111" s="29" t="s">
        <v>145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1:13">
      <c r="B112" s="178" t="s">
        <v>38</v>
      </c>
      <c r="C112" s="179">
        <v>42094</v>
      </c>
      <c r="D112" s="179">
        <v>42460</v>
      </c>
      <c r="E112" s="179">
        <v>42825</v>
      </c>
      <c r="F112" s="179">
        <v>43190</v>
      </c>
      <c r="G112" s="179">
        <v>43555</v>
      </c>
      <c r="H112" s="179">
        <v>43921</v>
      </c>
      <c r="I112" s="179">
        <v>44286</v>
      </c>
      <c r="J112" s="179">
        <v>44651</v>
      </c>
      <c r="K112" s="179">
        <v>45016</v>
      </c>
      <c r="L112" s="179">
        <v>45382</v>
      </c>
    </row>
    <row r="113" spans="2:12">
      <c r="B113" s="6" t="s">
        <v>32</v>
      </c>
      <c r="C113" s="23">
        <f>IFERROR('Data Sheet'!B82,0)</f>
        <v>222.02</v>
      </c>
      <c r="D113" s="23">
        <f>IFERROR('Data Sheet'!C82,0)</f>
        <v>433.47</v>
      </c>
      <c r="E113" s="23">
        <f>IFERROR('Data Sheet'!D82,0)</f>
        <v>455.28</v>
      </c>
      <c r="F113" s="23">
        <f>IFERROR('Data Sheet'!E82,0)</f>
        <v>729.99</v>
      </c>
      <c r="G113" s="23">
        <f>IFERROR('Data Sheet'!F82,0)</f>
        <v>806.84</v>
      </c>
      <c r="H113" s="23">
        <f>IFERROR('Data Sheet'!G82,0)</f>
        <v>1280.1400000000001</v>
      </c>
      <c r="I113" s="23">
        <f>IFERROR('Data Sheet'!H82,0)</f>
        <v>1375.14</v>
      </c>
      <c r="J113" s="23">
        <f>IFERROR('Data Sheet'!I82,0)</f>
        <v>1372.35</v>
      </c>
      <c r="K113" s="23">
        <f>IFERROR('Data Sheet'!J82,0)</f>
        <v>2630.27</v>
      </c>
      <c r="L113" s="23">
        <f>IFERROR('Data Sheet'!K82,0)</f>
        <v>2745.84</v>
      </c>
    </row>
    <row r="114" spans="2:12">
      <c r="B114" s="6" t="s">
        <v>33</v>
      </c>
      <c r="C114" s="23">
        <f>IFERROR('Data Sheet'!B83,0)</f>
        <v>-473.88</v>
      </c>
      <c r="D114" s="23">
        <f>IFERROR('Data Sheet'!C83,0)</f>
        <v>-632.89</v>
      </c>
      <c r="E114" s="23">
        <f>IFERROR('Data Sheet'!D83,0)</f>
        <v>-2481.61</v>
      </c>
      <c r="F114" s="23">
        <f>IFERROR('Data Sheet'!E83,0)</f>
        <v>463.55</v>
      </c>
      <c r="G114" s="23">
        <f>IFERROR('Data Sheet'!F83,0)</f>
        <v>-958.37</v>
      </c>
      <c r="H114" s="23">
        <f>IFERROR('Data Sheet'!G83,0)</f>
        <v>-4656.5600000000004</v>
      </c>
      <c r="I114" s="23">
        <f>IFERROR('Data Sheet'!H83,0)</f>
        <v>-1110</v>
      </c>
      <c r="J114" s="23">
        <f>IFERROR('Data Sheet'!I83,0)</f>
        <v>-1289.49</v>
      </c>
      <c r="K114" s="23">
        <f>IFERROR('Data Sheet'!J83,0)</f>
        <v>-2313.1</v>
      </c>
      <c r="L114" s="23">
        <f>IFERROR('Data Sheet'!K83,0)</f>
        <v>-2468.23</v>
      </c>
    </row>
    <row r="115" spans="2:12">
      <c r="B115" s="6" t="s">
        <v>34</v>
      </c>
      <c r="C115" s="23">
        <f>IFERROR('Data Sheet'!B84,0)</f>
        <v>234.45</v>
      </c>
      <c r="D115" s="23">
        <f>IFERROR('Data Sheet'!C84,0)</f>
        <v>196.44</v>
      </c>
      <c r="E115" s="23">
        <f>IFERROR('Data Sheet'!D84,0)</f>
        <v>2025.26</v>
      </c>
      <c r="F115" s="23">
        <f>IFERROR('Data Sheet'!E84,0)</f>
        <v>-1159.06</v>
      </c>
      <c r="G115" s="23">
        <f>IFERROR('Data Sheet'!F84,0)</f>
        <v>208.98</v>
      </c>
      <c r="H115" s="23">
        <f>IFERROR('Data Sheet'!G84,0)</f>
        <v>3357.42</v>
      </c>
      <c r="I115" s="23">
        <f>IFERROR('Data Sheet'!H84,0)</f>
        <v>-179.5</v>
      </c>
      <c r="J115" s="23">
        <f>IFERROR('Data Sheet'!I84,0)</f>
        <v>-179.24</v>
      </c>
      <c r="K115" s="23">
        <f>IFERROR('Data Sheet'!J84,0)</f>
        <v>-205.14</v>
      </c>
      <c r="L115" s="23">
        <f>IFERROR('Data Sheet'!K84,0)</f>
        <v>-147.63999999999999</v>
      </c>
    </row>
    <row r="116" spans="2:12">
      <c r="B116" s="41" t="s">
        <v>35</v>
      </c>
      <c r="C116" s="39">
        <f>IFERROR('Data Sheet'!B85,0)</f>
        <v>-17.41</v>
      </c>
      <c r="D116" s="39">
        <f>IFERROR('Data Sheet'!C85,0)</f>
        <v>-2.98</v>
      </c>
      <c r="E116" s="39">
        <f>IFERROR('Data Sheet'!D85,0)</f>
        <v>-1.07</v>
      </c>
      <c r="F116" s="39">
        <f>IFERROR('Data Sheet'!E85,0)</f>
        <v>34.479999999999997</v>
      </c>
      <c r="G116" s="39">
        <f>IFERROR('Data Sheet'!F85,0)</f>
        <v>57.45</v>
      </c>
      <c r="H116" s="39">
        <f>IFERROR('Data Sheet'!G85,0)</f>
        <v>-19</v>
      </c>
      <c r="I116" s="39">
        <f>IFERROR('Data Sheet'!H85,0)</f>
        <v>85.64</v>
      </c>
      <c r="J116" s="39">
        <f>IFERROR('Data Sheet'!I85,0)</f>
        <v>-96.38</v>
      </c>
      <c r="K116" s="39">
        <f>IFERROR('Data Sheet'!J85,0)</f>
        <v>112.03</v>
      </c>
      <c r="L116" s="39">
        <f>IFERROR('Data Sheet'!K85,0)</f>
        <v>129.97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5 C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pageSetUpPr fitToPage="1"/>
  </sheetPr>
  <dimension ref="A1:K24"/>
  <sheetViews>
    <sheetView zoomScale="125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BA9" sqref="BA9"/>
    </sheetView>
  </sheetViews>
  <sheetFormatPr defaultColWidth="8.88671875" defaultRowHeight="14.4"/>
  <cols>
    <col min="1" max="1" width="22.88671875" bestFit="1" customWidth="1"/>
    <col min="2" max="2" width="13.44140625" customWidth="1"/>
    <col min="3" max="11" width="15.44140625" customWidth="1"/>
  </cols>
  <sheetData>
    <row r="1" spans="1:11" s="2" customFormat="1">
      <c r="A1" s="2" t="str">
        <f>'Profit &amp; Loss'!A1</f>
        <v>AVENUE SUPERMARTS LTD</v>
      </c>
      <c r="E1" t="str">
        <f>UPDATE</f>
        <v/>
      </c>
      <c r="G1"/>
      <c r="J1" s="2" t="s">
        <v>1</v>
      </c>
    </row>
    <row r="2" spans="1:11">
      <c r="G2" s="2"/>
      <c r="H2" s="2"/>
    </row>
    <row r="3" spans="1:11">
      <c r="A3" s="9" t="s">
        <v>2</v>
      </c>
      <c r="B3" s="10">
        <f>'Data Sheet'!B56</f>
        <v>42094</v>
      </c>
      <c r="C3" s="10">
        <f>'Data Sheet'!C56</f>
        <v>42460</v>
      </c>
      <c r="D3" s="10">
        <f>'Data Sheet'!D56</f>
        <v>42825</v>
      </c>
      <c r="E3" s="10">
        <f>'Data Sheet'!E56</f>
        <v>43190</v>
      </c>
      <c r="F3" s="10">
        <f>'Data Sheet'!F56</f>
        <v>43555</v>
      </c>
      <c r="G3" s="10">
        <f>'Data Sheet'!G56</f>
        <v>43921</v>
      </c>
      <c r="H3" s="10">
        <f>'Data Sheet'!H56</f>
        <v>44286</v>
      </c>
      <c r="I3" s="10">
        <f>'Data Sheet'!I56</f>
        <v>44651</v>
      </c>
      <c r="J3" s="10">
        <f>'Data Sheet'!J56</f>
        <v>45016</v>
      </c>
      <c r="K3" s="10">
        <f>'Data Sheet'!K56</f>
        <v>45382</v>
      </c>
    </row>
    <row r="4" spans="1:11">
      <c r="A4" t="s">
        <v>24</v>
      </c>
      <c r="B4" s="12">
        <f>'Data Sheet'!B57</f>
        <v>561.54</v>
      </c>
      <c r="C4" s="12">
        <f>'Data Sheet'!C57</f>
        <v>561.54</v>
      </c>
      <c r="D4" s="12">
        <f>'Data Sheet'!D57</f>
        <v>624.08000000000004</v>
      </c>
      <c r="E4" s="12">
        <f>'Data Sheet'!E57</f>
        <v>624.08000000000004</v>
      </c>
      <c r="F4" s="12">
        <f>'Data Sheet'!F57</f>
        <v>624.08000000000004</v>
      </c>
      <c r="G4" s="12">
        <f>'Data Sheet'!G57</f>
        <v>647.77</v>
      </c>
      <c r="H4" s="12">
        <f>'Data Sheet'!H57</f>
        <v>647.77</v>
      </c>
      <c r="I4" s="12">
        <f>'Data Sheet'!I57</f>
        <v>647.77</v>
      </c>
      <c r="J4" s="12">
        <f>'Data Sheet'!J57</f>
        <v>648.26</v>
      </c>
      <c r="K4" s="12">
        <f>'Data Sheet'!K57</f>
        <v>650.73</v>
      </c>
    </row>
    <row r="5" spans="1:11">
      <c r="A5" t="s">
        <v>25</v>
      </c>
      <c r="B5" s="12">
        <f>'Data Sheet'!B58</f>
        <v>637.65</v>
      </c>
      <c r="C5" s="12">
        <f>'Data Sheet'!C58</f>
        <v>958.9</v>
      </c>
      <c r="D5" s="12">
        <f>'Data Sheet'!D58</f>
        <v>3217.7</v>
      </c>
      <c r="E5" s="12">
        <f>'Data Sheet'!E58</f>
        <v>4044.97</v>
      </c>
      <c r="F5" s="12">
        <f>'Data Sheet'!F58</f>
        <v>4963.37</v>
      </c>
      <c r="G5" s="12">
        <f>'Data Sheet'!G58</f>
        <v>10431.969999999999</v>
      </c>
      <c r="H5" s="12">
        <f>'Data Sheet'!H58</f>
        <v>11535.94</v>
      </c>
      <c r="I5" s="12">
        <f>'Data Sheet'!I58</f>
        <v>13029.87</v>
      </c>
      <c r="J5" s="12">
        <f>'Data Sheet'!J58</f>
        <v>15430.44</v>
      </c>
      <c r="K5" s="12">
        <f>'Data Sheet'!K58</f>
        <v>18047.09</v>
      </c>
    </row>
    <row r="6" spans="1:11">
      <c r="A6" t="s">
        <v>62</v>
      </c>
      <c r="B6" s="12">
        <f>'Data Sheet'!B59</f>
        <v>904.26</v>
      </c>
      <c r="C6" s="12">
        <f>'Data Sheet'!C59</f>
        <v>1192.3399999999999</v>
      </c>
      <c r="D6" s="12">
        <f>'Data Sheet'!D59</f>
        <v>1497.32</v>
      </c>
      <c r="E6" s="12">
        <f>'Data Sheet'!E59</f>
        <v>439.25</v>
      </c>
      <c r="F6" s="12">
        <f>'Data Sheet'!F59</f>
        <v>700.15</v>
      </c>
      <c r="G6" s="12">
        <f>'Data Sheet'!G59</f>
        <v>333.19</v>
      </c>
      <c r="H6" s="12">
        <f>'Data Sheet'!H59</f>
        <v>392.71</v>
      </c>
      <c r="I6" s="12">
        <f>'Data Sheet'!I59</f>
        <v>646.94000000000005</v>
      </c>
      <c r="J6" s="12">
        <f>'Data Sheet'!J59</f>
        <v>642.98</v>
      </c>
      <c r="K6" s="12">
        <f>'Data Sheet'!K59</f>
        <v>592.16</v>
      </c>
    </row>
    <row r="7" spans="1:11">
      <c r="A7" t="s">
        <v>63</v>
      </c>
      <c r="B7" s="12">
        <f>'Data Sheet'!B60</f>
        <v>251.36</v>
      </c>
      <c r="C7" s="12">
        <f>'Data Sheet'!C60</f>
        <v>388.78</v>
      </c>
      <c r="D7" s="12">
        <f>'Data Sheet'!D60</f>
        <v>480.18</v>
      </c>
      <c r="E7" s="12">
        <f>'Data Sheet'!E60</f>
        <v>539.91999999999996</v>
      </c>
      <c r="F7" s="12">
        <f>'Data Sheet'!F60</f>
        <v>717.9</v>
      </c>
      <c r="G7" s="12">
        <f>'Data Sheet'!G60</f>
        <v>663.23</v>
      </c>
      <c r="H7" s="12">
        <f>'Data Sheet'!H60</f>
        <v>1078.6300000000001</v>
      </c>
      <c r="I7" s="12">
        <f>'Data Sheet'!I60</f>
        <v>1146.4000000000001</v>
      </c>
      <c r="J7" s="12">
        <f>'Data Sheet'!J60</f>
        <v>1382.84</v>
      </c>
      <c r="K7" s="12">
        <f>'Data Sheet'!K60</f>
        <v>1882.5</v>
      </c>
    </row>
    <row r="8" spans="1:11" s="2" customFormat="1">
      <c r="A8" s="2" t="s">
        <v>26</v>
      </c>
      <c r="B8" s="13">
        <f>'Data Sheet'!B61</f>
        <v>2354.81</v>
      </c>
      <c r="C8" s="13">
        <f>'Data Sheet'!C61</f>
        <v>3101.56</v>
      </c>
      <c r="D8" s="13">
        <f>'Data Sheet'!D61</f>
        <v>5819.28</v>
      </c>
      <c r="E8" s="13">
        <f>'Data Sheet'!E61</f>
        <v>5648.22</v>
      </c>
      <c r="F8" s="13">
        <f>'Data Sheet'!F61</f>
        <v>7005.5</v>
      </c>
      <c r="G8" s="13">
        <f>'Data Sheet'!G61</f>
        <v>12076.16</v>
      </c>
      <c r="H8" s="13">
        <f>'Data Sheet'!H61</f>
        <v>13655.05</v>
      </c>
      <c r="I8" s="13">
        <f>'Data Sheet'!I61</f>
        <v>15470.98</v>
      </c>
      <c r="J8" s="13">
        <f>'Data Sheet'!J61</f>
        <v>18104.52</v>
      </c>
      <c r="K8" s="13">
        <f>'Data Sheet'!K61</f>
        <v>21172.48</v>
      </c>
    </row>
    <row r="9" spans="1:11" s="2" customFormat="1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t="s">
        <v>27</v>
      </c>
      <c r="B10" s="12">
        <f>'Data Sheet'!B62</f>
        <v>1528.08</v>
      </c>
      <c r="C10" s="12">
        <f>'Data Sheet'!C62</f>
        <v>2093.52</v>
      </c>
      <c r="D10" s="12">
        <f>'Data Sheet'!D62</f>
        <v>2577.75</v>
      </c>
      <c r="E10" s="12">
        <f>'Data Sheet'!E62</f>
        <v>3399.97</v>
      </c>
      <c r="F10" s="12">
        <f>'Data Sheet'!F62</f>
        <v>4400.37</v>
      </c>
      <c r="G10" s="12">
        <f>'Data Sheet'!G62</f>
        <v>5948.03</v>
      </c>
      <c r="H10" s="12">
        <f>'Data Sheet'!H62</f>
        <v>7008.8</v>
      </c>
      <c r="I10" s="12">
        <f>'Data Sheet'!I62</f>
        <v>9260.02</v>
      </c>
      <c r="J10" s="12">
        <f>'Data Sheet'!J62</f>
        <v>11340.48</v>
      </c>
      <c r="K10" s="12">
        <f>'Data Sheet'!K62</f>
        <v>13415</v>
      </c>
    </row>
    <row r="11" spans="1:11">
      <c r="A11" t="s">
        <v>28</v>
      </c>
      <c r="B11" s="12">
        <f>'Data Sheet'!B63</f>
        <v>98.12</v>
      </c>
      <c r="C11" s="12">
        <f>'Data Sheet'!C63</f>
        <v>81.69</v>
      </c>
      <c r="D11" s="12">
        <f>'Data Sheet'!D63</f>
        <v>152.88999999999999</v>
      </c>
      <c r="E11" s="12">
        <f>'Data Sheet'!E63</f>
        <v>147.07</v>
      </c>
      <c r="F11" s="12">
        <f>'Data Sheet'!F63</f>
        <v>376.84</v>
      </c>
      <c r="G11" s="12">
        <f>'Data Sheet'!G63</f>
        <v>364.4</v>
      </c>
      <c r="H11" s="12">
        <f>'Data Sheet'!H63</f>
        <v>1019.59</v>
      </c>
      <c r="I11" s="12">
        <f>'Data Sheet'!I63</f>
        <v>1129.3399999999999</v>
      </c>
      <c r="J11" s="12">
        <f>'Data Sheet'!J63</f>
        <v>829.16</v>
      </c>
      <c r="K11" s="12">
        <f>'Data Sheet'!K63</f>
        <v>935.22</v>
      </c>
    </row>
    <row r="12" spans="1:11">
      <c r="A12" t="s">
        <v>29</v>
      </c>
      <c r="B12" s="12">
        <f>'Data Sheet'!B64</f>
        <v>15.23</v>
      </c>
      <c r="C12" s="12">
        <f>'Data Sheet'!C64</f>
        <v>29.33</v>
      </c>
      <c r="D12" s="12">
        <f>'Data Sheet'!D64</f>
        <v>25.69</v>
      </c>
      <c r="E12" s="12">
        <f>'Data Sheet'!E64</f>
        <v>68.180000000000007</v>
      </c>
      <c r="F12" s="12">
        <f>'Data Sheet'!F64</f>
        <v>16.53</v>
      </c>
      <c r="G12" s="12">
        <f>'Data Sheet'!G64</f>
        <v>14.68</v>
      </c>
      <c r="H12" s="12">
        <f>'Data Sheet'!H64</f>
        <v>2.95</v>
      </c>
      <c r="I12" s="12">
        <f>'Data Sheet'!I64</f>
        <v>5.94</v>
      </c>
      <c r="J12" s="12">
        <f>'Data Sheet'!J64</f>
        <v>202.2</v>
      </c>
      <c r="K12" s="12">
        <f>'Data Sheet'!K64</f>
        <v>106.67</v>
      </c>
    </row>
    <row r="13" spans="1:11">
      <c r="A13" t="s">
        <v>64</v>
      </c>
      <c r="B13" s="12">
        <f>'Data Sheet'!B65</f>
        <v>713.38</v>
      </c>
      <c r="C13" s="12">
        <f>'Data Sheet'!C65</f>
        <v>897.02</v>
      </c>
      <c r="D13" s="12">
        <f>'Data Sheet'!D65</f>
        <v>3062.95</v>
      </c>
      <c r="E13" s="12">
        <f>'Data Sheet'!E65</f>
        <v>2033</v>
      </c>
      <c r="F13" s="12">
        <f>'Data Sheet'!F65</f>
        <v>2211.7600000000002</v>
      </c>
      <c r="G13" s="12">
        <f>'Data Sheet'!G65</f>
        <v>5749.05</v>
      </c>
      <c r="H13" s="12">
        <f>'Data Sheet'!H65</f>
        <v>5623.71</v>
      </c>
      <c r="I13" s="12">
        <f>'Data Sheet'!I65</f>
        <v>5075.68</v>
      </c>
      <c r="J13" s="12">
        <f>'Data Sheet'!J65</f>
        <v>5732.68</v>
      </c>
      <c r="K13" s="12">
        <f>'Data Sheet'!K65</f>
        <v>6715.59</v>
      </c>
    </row>
    <row r="14" spans="1:11" s="2" customFormat="1">
      <c r="A14" s="2" t="s">
        <v>26</v>
      </c>
      <c r="B14" s="12">
        <f>'Data Sheet'!B66</f>
        <v>2354.81</v>
      </c>
      <c r="C14" s="12">
        <f>'Data Sheet'!C66</f>
        <v>3101.56</v>
      </c>
      <c r="D14" s="12">
        <f>'Data Sheet'!D66</f>
        <v>5819.28</v>
      </c>
      <c r="E14" s="12">
        <f>'Data Sheet'!E66</f>
        <v>5648.22</v>
      </c>
      <c r="F14" s="12">
        <f>'Data Sheet'!F66</f>
        <v>7005.5</v>
      </c>
      <c r="G14" s="12">
        <f>'Data Sheet'!G66</f>
        <v>12076.16</v>
      </c>
      <c r="H14" s="12">
        <f>'Data Sheet'!H66</f>
        <v>13655.05</v>
      </c>
      <c r="I14" s="12">
        <f>'Data Sheet'!I66</f>
        <v>15470.98</v>
      </c>
      <c r="J14" s="12">
        <f>'Data Sheet'!J66</f>
        <v>18104.52</v>
      </c>
      <c r="K14" s="12">
        <f>'Data Sheet'!K66</f>
        <v>21172.48</v>
      </c>
    </row>
    <row r="15" spans="1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t="s">
        <v>30</v>
      </c>
      <c r="B16" s="4">
        <f>B13-B7</f>
        <v>462.02</v>
      </c>
      <c r="C16" s="4">
        <f t="shared" ref="C16:K16" si="0">C13-C7</f>
        <v>508.24</v>
      </c>
      <c r="D16" s="4">
        <f t="shared" si="0"/>
        <v>2582.77</v>
      </c>
      <c r="E16" s="4">
        <f t="shared" si="0"/>
        <v>1493.08</v>
      </c>
      <c r="F16" s="4">
        <f t="shared" si="0"/>
        <v>1493.8600000000001</v>
      </c>
      <c r="G16" s="4">
        <f t="shared" si="0"/>
        <v>5085.82</v>
      </c>
      <c r="H16" s="4">
        <f t="shared" si="0"/>
        <v>4545.08</v>
      </c>
      <c r="I16" s="4">
        <f t="shared" si="0"/>
        <v>3929.28</v>
      </c>
      <c r="J16" s="4">
        <f t="shared" si="0"/>
        <v>4349.84</v>
      </c>
      <c r="K16" s="4">
        <f t="shared" si="0"/>
        <v>4833.09</v>
      </c>
    </row>
    <row r="17" spans="1:11">
      <c r="A17" t="s">
        <v>44</v>
      </c>
      <c r="B17" s="4">
        <f>'Data Sheet'!B67</f>
        <v>7.07</v>
      </c>
      <c r="C17" s="4">
        <f>'Data Sheet'!C67</f>
        <v>8.42</v>
      </c>
      <c r="D17" s="4">
        <f>'Data Sheet'!D67</f>
        <v>21</v>
      </c>
      <c r="E17" s="4">
        <f>'Data Sheet'!E67</f>
        <v>33.520000000000003</v>
      </c>
      <c r="F17" s="4">
        <f>'Data Sheet'!F67</f>
        <v>64.37</v>
      </c>
      <c r="G17" s="4">
        <f>'Data Sheet'!G67</f>
        <v>19.55</v>
      </c>
      <c r="H17" s="4">
        <f>'Data Sheet'!H67</f>
        <v>43.58</v>
      </c>
      <c r="I17" s="4">
        <f>'Data Sheet'!I67</f>
        <v>66.89</v>
      </c>
      <c r="J17" s="4">
        <f>'Data Sheet'!J67</f>
        <v>62.16</v>
      </c>
      <c r="K17" s="4">
        <f>'Data Sheet'!K67</f>
        <v>166.37</v>
      </c>
    </row>
    <row r="18" spans="1:11">
      <c r="A18" t="s">
        <v>45</v>
      </c>
      <c r="B18" s="4">
        <f>'Data Sheet'!B68</f>
        <v>539.61</v>
      </c>
      <c r="C18" s="4">
        <f>'Data Sheet'!C68</f>
        <v>671.69</v>
      </c>
      <c r="D18" s="4">
        <f>'Data Sheet'!D68</f>
        <v>947.9</v>
      </c>
      <c r="E18" s="4">
        <f>'Data Sheet'!E68</f>
        <v>1163.45</v>
      </c>
      <c r="F18" s="4">
        <f>'Data Sheet'!F68</f>
        <v>1608.65</v>
      </c>
      <c r="G18" s="4">
        <f>'Data Sheet'!G68</f>
        <v>1947.4</v>
      </c>
      <c r="H18" s="4">
        <f>'Data Sheet'!H68</f>
        <v>2248.2800000000002</v>
      </c>
      <c r="I18" s="4">
        <f>'Data Sheet'!I68</f>
        <v>2742.66</v>
      </c>
      <c r="J18" s="4">
        <f>'Data Sheet'!J68</f>
        <v>3243.48</v>
      </c>
      <c r="K18" s="4">
        <f>'Data Sheet'!K68</f>
        <v>3927.31</v>
      </c>
    </row>
    <row r="20" spans="1:11">
      <c r="A20" t="s">
        <v>46</v>
      </c>
      <c r="B20" s="4">
        <f>IF('Profit &amp; Loss'!B4&gt;0,'Balance Sheet'!B17/('Profit &amp; Loss'!B4/365),0)</f>
        <v>0.40074199113896725</v>
      </c>
      <c r="C20" s="4">
        <f>IF('Profit &amp; Loss'!C4&gt;0,'Balance Sheet'!C17/('Profit &amp; Loss'!C4/365),0)</f>
        <v>0.35803657138596606</v>
      </c>
      <c r="D20" s="4">
        <f>IF('Profit &amp; Loss'!D4&gt;0,'Balance Sheet'!D17/('Profit &amp; Loss'!D4/365),0)</f>
        <v>0.64424216445195293</v>
      </c>
      <c r="E20" s="4">
        <f>IF('Profit &amp; Loss'!E4&gt;0,'Balance Sheet'!E17/('Profit &amp; Loss'!E4/365),0)</f>
        <v>0.81385200755660814</v>
      </c>
      <c r="F20" s="4">
        <f>IF('Profit &amp; Loss'!F4&gt;0,'Balance Sheet'!F17/('Profit &amp; Loss'!F4/365),0)</f>
        <v>1.1744870659231015</v>
      </c>
      <c r="G20" s="4">
        <f>IF('Profit &amp; Loss'!G4&gt;0,'Balance Sheet'!G17/('Profit &amp; Loss'!G4/365),0)</f>
        <v>0.28691968701498177</v>
      </c>
      <c r="H20" s="4">
        <f>IF('Profit &amp; Loss'!H4&gt;0,'Balance Sheet'!H17/('Profit &amp; Loss'!H4/365),0)</f>
        <v>0.65885186053466294</v>
      </c>
      <c r="I20" s="4">
        <f>IF('Profit &amp; Loss'!I4&gt;0,'Balance Sheet'!I17/('Profit &amp; Loss'!I4/365),0)</f>
        <v>0.7881791448744474</v>
      </c>
      <c r="J20" s="4">
        <f>IF('Profit &amp; Loss'!J4&gt;0,'Balance Sheet'!J17/('Profit &amp; Loss'!J4/365),0)</f>
        <v>0.52961328267610597</v>
      </c>
      <c r="K20" s="4">
        <f>IF('Profit &amp; Loss'!K4&gt;0,'Balance Sheet'!K17/('Profit &amp; Loss'!K4/365),0)</f>
        <v>1.1956378991207319</v>
      </c>
    </row>
    <row r="21" spans="1:11">
      <c r="A21" t="s">
        <v>47</v>
      </c>
      <c r="B21" s="4">
        <f>IF('Balance Sheet'!B18&gt;0,'Profit &amp; Loss'!B4/'Balance Sheet'!B18,0)</f>
        <v>11.933489001315765</v>
      </c>
      <c r="C21" s="4">
        <f>IF('Balance Sheet'!C18&gt;0,'Profit &amp; Loss'!C4/'Balance Sheet'!C18,0)</f>
        <v>12.779347615715583</v>
      </c>
      <c r="D21" s="4">
        <f>IF('Balance Sheet'!D18&gt;0,'Profit &amp; Loss'!D4/'Balance Sheet'!D18,0)</f>
        <v>12.551640468403841</v>
      </c>
      <c r="E21" s="4">
        <f>IF('Balance Sheet'!E18&gt;0,'Profit &amp; Loss'!E4/'Balance Sheet'!E18,0)</f>
        <v>12.921225665047919</v>
      </c>
      <c r="F21" s="4">
        <f>IF('Balance Sheet'!F18&gt;0,'Profit &amp; Loss'!F4/'Balance Sheet'!F18,0)</f>
        <v>12.435595064184254</v>
      </c>
      <c r="G21" s="4">
        <f>IF('Balance Sheet'!G18&gt;0,'Profit &amp; Loss'!G4/'Balance Sheet'!G18,0)</f>
        <v>12.770976686864538</v>
      </c>
      <c r="H21" s="4">
        <f>IF('Balance Sheet'!H18&gt;0,'Profit &amp; Loss'!H4/'Balance Sheet'!H18,0)</f>
        <v>10.738457843329122</v>
      </c>
      <c r="I21" s="4">
        <f>IF('Balance Sheet'!I18&gt;0,'Profit &amp; Loss'!I4/'Balance Sheet'!I18,0)</f>
        <v>11.294243544588101</v>
      </c>
      <c r="J21" s="4">
        <f>IF('Balance Sheet'!J18&gt;0,'Profit &amp; Loss'!J4/'Balance Sheet'!J18,0)</f>
        <v>13.2079001566219</v>
      </c>
      <c r="K21" s="4">
        <f>IF('Balance Sheet'!K18&gt;0,'Profit &amp; Loss'!K4/'Balance Sheet'!K18,0)</f>
        <v>12.932218235891744</v>
      </c>
    </row>
    <row r="23" spans="1:11" s="2" customFormat="1">
      <c r="A23" s="2" t="s">
        <v>50</v>
      </c>
      <c r="B23" s="8">
        <f>IF(SUM('Balance Sheet'!B4:B5)&gt;0,'Profit &amp; Loss'!B12/SUM('Balance Sheet'!B4:B5),"")</f>
        <v>0.17651081146440512</v>
      </c>
      <c r="C23" s="8">
        <f>IF(SUM('Balance Sheet'!C4:C5)&gt;0,'Profit &amp; Loss'!C12/SUM('Balance Sheet'!C4:C5),"")</f>
        <v>0.21062324064086713</v>
      </c>
      <c r="D23" s="8">
        <f>IF(SUM('Balance Sheet'!D4:D5)&gt;0,'Profit &amp; Loss'!D12/SUM('Balance Sheet'!D4:D5),"")</f>
        <v>0.12461671412730559</v>
      </c>
      <c r="E23" s="8">
        <f>IF(SUM('Balance Sheet'!E4:E5)&gt;0,'Profit &amp; Loss'!E12/SUM('Balance Sheet'!E4:E5),"")</f>
        <v>0.17268180893329477</v>
      </c>
      <c r="F23" s="8">
        <f>IF(SUM('Balance Sheet'!F4:F5)&gt;0,'Profit &amp; Loss'!F12/SUM('Balance Sheet'!F4:F5),"")</f>
        <v>0.16152985709044376</v>
      </c>
      <c r="G23" s="8">
        <f>IF(SUM('Balance Sheet'!G4:G5)&gt;0,'Profit &amp; Loss'!G12/SUM('Balance Sheet'!G4:G5),"")</f>
        <v>0.11742874832802935</v>
      </c>
      <c r="H23" s="8">
        <f>IF(SUM('Balance Sheet'!H4:H5)&gt;0,'Profit &amp; Loss'!H12/SUM('Balance Sheet'!H4:H5),"")</f>
        <v>9.0242627245724003E-2</v>
      </c>
      <c r="I23" s="8">
        <f>IF(SUM('Balance Sheet'!I4:I5)&gt;0,'Profit &amp; Loss'!I12/SUM('Balance Sheet'!I4:I5),"")</f>
        <v>0.10912335753828875</v>
      </c>
      <c r="J23" s="8">
        <f>IF(SUM('Balance Sheet'!J4:J5)&gt;0,'Profit &amp; Loss'!J12/SUM('Balance Sheet'!J4:J5),"")</f>
        <v>0.14792924801134422</v>
      </c>
      <c r="K23" s="8">
        <f>IF(SUM('Balance Sheet'!K4:K5)&gt;0,'Profit &amp; Loss'!K12/SUM('Balance Sheet'!K4:K5),"")</f>
        <v>0.13563987673429309</v>
      </c>
    </row>
    <row r="24" spans="1:11" s="2" customFormat="1">
      <c r="A24" s="2" t="s">
        <v>51</v>
      </c>
      <c r="B24" s="8"/>
      <c r="C24" s="8">
        <f>IF((B4+B5+B6+C4+C5+C6)&gt;0,('Profit &amp; Loss'!C10+'Profit &amp; Loss'!C9)*2/(B4+B5+B6+C4+C5+C6),"")</f>
        <v>0.2421188356868339</v>
      </c>
      <c r="D24" s="8">
        <f>IF((C4+C5+C6+D4+D5+D6)&gt;0,('Profit &amp; Loss'!D10+'Profit &amp; Loss'!D9)*2/(C4+C5+C6+D4+D5+D6),"")</f>
        <v>0.2158651147309697</v>
      </c>
      <c r="E24" s="8">
        <f>IF((D4+D5+D6+E4+E5+E6)&gt;0,('Profit &amp; Loss'!E10+'Profit &amp; Loss'!E9)*2/(D4+D5+D6+E4+E5+E6),"")</f>
        <v>0.24534525336447344</v>
      </c>
      <c r="F24" s="8">
        <f>IF((E4+E5+E6+F4+F5+F6)&gt;0,('Profit &amp; Loss'!F10+'Profit &amp; Loss'!F9)*2/(E4+E5+E6+F4+F5+F6),"")</f>
        <v>0.25783834536982603</v>
      </c>
      <c r="G24" s="8">
        <f>IF((F4+F5+F6+G4+G5+G6)&gt;0,('Profit &amp; Loss'!G10+'Profit &amp; Loss'!G9)*2/(F4+F5+F6+G4+G5+G6),"")</f>
        <v>0.2049531850176238</v>
      </c>
      <c r="H24" s="8">
        <f>IF((G4+G5+G6+H4+H5+H6)&gt;0,('Profit &amp; Loss'!H10+'Profit &amp; Loss'!H9)*2/(G4+G5+G6+H4+H5+H6),"")</f>
        <v>0.12714808863099669</v>
      </c>
      <c r="I24" s="8">
        <f>IF((H4+H5+H6+I4+I5+I6)&gt;0,('Profit &amp; Loss'!I10+'Profit &amp; Loss'!I9)*2/(H4+H5+H6+I4+I5+I6),"")</f>
        <v>0.15745957399353183</v>
      </c>
      <c r="J24" s="8">
        <f>IF((I4+I5+I6+J4+J5+J6)&gt;0,('Profit &amp; Loss'!J10+'Profit &amp; Loss'!J9)*2/(I4+I5+I6+J4+J5+J6),"")</f>
        <v>0.20147354302901541</v>
      </c>
      <c r="K24" s="8">
        <f>IF((J4+J5+J6+K4+K5+K6)&gt;0,('Profit &amp; Loss'!K10+'Profit &amp; Loss'!K9)*2/(J4+J5+J6+K4+K5+K6),"")</f>
        <v>0.19546224750539129</v>
      </c>
    </row>
  </sheetData>
  <hyperlinks>
    <hyperlink ref="J1" r:id="rId1" xr:uid="{00000000-0004-0000-0500-000000000000}"/>
  </hyperlinks>
  <printOptions gridLines="1"/>
  <pageMargins left="0.7" right="0.7" top="0.75" bottom="0.75" header="0.3" footer="0.3"/>
  <pageSetup paperSize="9" orientation="landscape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41"/>
  <sheetViews>
    <sheetView showGridLines="0" workbookViewId="0">
      <pane ySplit="3" topLeftCell="A4" activePane="bottomLeft" state="frozen"/>
      <selection pane="bottomLeft" activeCell="H5" sqref="H5"/>
    </sheetView>
  </sheetViews>
  <sheetFormatPr defaultRowHeight="14.4"/>
  <cols>
    <col min="1" max="1" width="1.88671875" customWidth="1"/>
    <col min="2" max="2" width="27.33203125" customWidth="1"/>
    <col min="3" max="3" width="11.44140625" customWidth="1"/>
    <col min="9" max="9" width="10.6640625" customWidth="1"/>
    <col min="10" max="10" width="9.6640625" customWidth="1"/>
    <col min="13" max="13" width="15.33203125" customWidth="1"/>
    <col min="14" max="14" width="12.6640625" customWidth="1"/>
  </cols>
  <sheetData>
    <row r="2" spans="2:15">
      <c r="B2" s="281" t="str">
        <f>"Ratio Analysis - " &amp; 'Data Sheet'!B1</f>
        <v>Ratio Analysis - AVENUE SUPERMARTS LTD</v>
      </c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173"/>
      <c r="O2" s="173"/>
    </row>
    <row r="3" spans="2:15">
      <c r="B3" s="174" t="s">
        <v>81</v>
      </c>
      <c r="C3" s="175">
        <f>'Data Sheet'!B56</f>
        <v>42094</v>
      </c>
      <c r="D3" s="175">
        <f>'Data Sheet'!C56</f>
        <v>42460</v>
      </c>
      <c r="E3" s="175">
        <f>'Data Sheet'!D56</f>
        <v>42825</v>
      </c>
      <c r="F3" s="175">
        <f>'Data Sheet'!E56</f>
        <v>43190</v>
      </c>
      <c r="G3" s="175">
        <f>'Data Sheet'!F56</f>
        <v>43555</v>
      </c>
      <c r="H3" s="175">
        <f>'Data Sheet'!G56</f>
        <v>43921</v>
      </c>
      <c r="I3" s="175">
        <f>'Data Sheet'!H56</f>
        <v>44286</v>
      </c>
      <c r="J3" s="175">
        <f>'Data Sheet'!I56</f>
        <v>44651</v>
      </c>
      <c r="K3" s="175">
        <f>'Data Sheet'!J56</f>
        <v>45016</v>
      </c>
      <c r="L3" s="175">
        <f>'Data Sheet'!K56</f>
        <v>45382</v>
      </c>
      <c r="M3" s="172" t="s">
        <v>186</v>
      </c>
      <c r="N3" s="176" t="s">
        <v>185</v>
      </c>
      <c r="O3" s="176" t="s">
        <v>184</v>
      </c>
    </row>
    <row r="4" spans="2:15" ht="15" thickBot="1"/>
    <row r="5" spans="2:15">
      <c r="B5" s="44" t="s">
        <v>153</v>
      </c>
      <c r="C5" s="44"/>
      <c r="D5" s="45">
        <f>IFERROR(HistoricalFS!D6,0)</f>
        <v>0.33299997049428276</v>
      </c>
      <c r="E5" s="45">
        <f>IFERROR(HistoricalFS!E6,0)</f>
        <v>0.38607090598991589</v>
      </c>
      <c r="F5" s="45">
        <f>IFERROR(HistoricalFS!F6,0)</f>
        <v>0.26353833093791246</v>
      </c>
      <c r="G5" s="45">
        <f>IFERROR(HistoricalFS!G6,0)</f>
        <v>0.33068940744485542</v>
      </c>
      <c r="H5" s="45">
        <f>IFERROR(HistoricalFS!H6,0)</f>
        <v>0.24322903023916598</v>
      </c>
      <c r="I5" s="45">
        <f>IFERROR(HistoricalFS!I6,0)</f>
        <v>-2.9237400583831175E-2</v>
      </c>
      <c r="J5" s="45">
        <f>IFERROR(HistoricalFS!J6,0)</f>
        <v>0.28302998874210639</v>
      </c>
      <c r="K5" s="45">
        <f>IFERROR(HistoricalFS!K6,0)</f>
        <v>0.38297993915987938</v>
      </c>
      <c r="L5" s="45">
        <f>IFERROR(HistoricalFS!L6,0)</f>
        <v>0.18555909537819737</v>
      </c>
      <c r="M5" s="44"/>
      <c r="N5" s="45">
        <f>IFERROR(AVERAGE(D5:L5),0)</f>
        <v>0.26431769642249825</v>
      </c>
      <c r="O5" s="45">
        <f>IFERROR(MEDIAN(C5:L5),0)</f>
        <v>0.28302998874210639</v>
      </c>
    </row>
    <row r="6" spans="2:15">
      <c r="B6" t="s">
        <v>154</v>
      </c>
      <c r="D6" s="43">
        <f>IFERROR(HistoricalFS!D17/HistoricalFS!C17-1,0)</f>
        <v>0.45631876561610074</v>
      </c>
      <c r="E6" s="43">
        <f>IFERROR(HistoricalFS!E17/HistoricalFS!D17-1,0)</f>
        <v>0.45859795924510016</v>
      </c>
      <c r="F6" s="43">
        <f>IFERROR(HistoricalFS!F17/HistoricalFS!E17-1,0)</f>
        <v>0.39588105408695995</v>
      </c>
      <c r="G6" s="43">
        <f>IFERROR(HistoricalFS!G17/HistoricalFS!F17-1,0)</f>
        <v>0.20730156852889503</v>
      </c>
      <c r="H6" s="43">
        <f>IFERROR(HistoricalFS!H17/HistoricalFS!G17-1,0)</f>
        <v>0.30306555399770918</v>
      </c>
      <c r="I6" s="43">
        <f>IFERROR(HistoricalFS!I17/HistoricalFS!H17-1,0)</f>
        <v>-0.18018051881539909</v>
      </c>
      <c r="J6" s="43">
        <f>IFERROR(HistoricalFS!J17/HistoricalFS!I17-1,0)</f>
        <v>0.43415117805173198</v>
      </c>
      <c r="K6" s="43">
        <f>IFERROR(HistoricalFS!K17/HistoricalFS!J17-1,0)</f>
        <v>0.45414110735908042</v>
      </c>
      <c r="L6" s="43">
        <f>IFERROR(HistoricalFS!L17/HistoricalFS!K17-1,0)</f>
        <v>0.1283043445999632</v>
      </c>
      <c r="N6" s="43">
        <f t="shared" ref="N6:N8" si="0">IFERROR(AVERAGE(D6:L6),0)</f>
        <v>0.29528677918557128</v>
      </c>
      <c r="O6" s="43">
        <f t="shared" ref="O6:O7" si="1">IFERROR(MEDIAN(C6:L6),0)</f>
        <v>0.39588105408695995</v>
      </c>
    </row>
    <row r="7" spans="2:15">
      <c r="B7" t="s">
        <v>155</v>
      </c>
      <c r="D7" s="43">
        <f>IFERROR(HistoricalFS!D26/HistoricalFS!C26-1,0)</f>
        <v>0.56994972880011341</v>
      </c>
      <c r="E7" s="43">
        <f>IFERROR(HistoricalFS!E26/HistoricalFS!D26-1,0)</f>
        <v>0.51547325623038032</v>
      </c>
      <c r="F7" s="43">
        <f>IFERROR(HistoricalFS!F26/HistoricalFS!E26-1,0)</f>
        <v>0.57680224637882582</v>
      </c>
      <c r="G7" s="43">
        <f>IFERROR(HistoricalFS!G26/HistoricalFS!F26-1,0)</f>
        <v>0.2109545807179638</v>
      </c>
      <c r="H7" s="43">
        <f>IFERROR(HistoricalFS!H26/HistoricalFS!G26-1,0)</f>
        <v>0.22653446029076574</v>
      </c>
      <c r="I7" s="43">
        <f>IFERROR(HistoricalFS!I26/HistoricalFS!H26-1,0)</f>
        <v>-0.23490307339830829</v>
      </c>
      <c r="J7" s="43">
        <f>IFERROR(HistoricalFS!J26/HistoricalFS!I26-1,0)</f>
        <v>0.51314952444493001</v>
      </c>
      <c r="K7" s="43">
        <f>IFERROR(HistoricalFS!K26/HistoricalFS!J26-1,0)</f>
        <v>0.5034709404864417</v>
      </c>
      <c r="L7" s="43">
        <f>IFERROR(HistoricalFS!L26/HistoricalFS!K26-1,0)</f>
        <v>0.13103539995021585</v>
      </c>
      <c r="N7" s="43">
        <f t="shared" si="0"/>
        <v>0.33471856265570316</v>
      </c>
      <c r="O7" s="43">
        <f t="shared" si="1"/>
        <v>0.5034709404864417</v>
      </c>
    </row>
    <row r="8" spans="2:15">
      <c r="B8" t="s">
        <v>156</v>
      </c>
      <c r="D8" s="43">
        <f>IFERROR(HistoricalFS!D32/HistoricalFS!C32-1,0)</f>
        <v>0.58389051399917613</v>
      </c>
      <c r="E8" s="43">
        <f>IFERROR(HistoricalFS!E32/HistoricalFS!D32-1,0)</f>
        <v>0.48769870061341392</v>
      </c>
      <c r="F8" s="43">
        <f>IFERROR(HistoricalFS!F32/HistoricalFS!E32-1,0)</f>
        <v>0.5928397251163815</v>
      </c>
      <c r="G8" s="43">
        <f>IFERROR(HistoricalFS!G32/HistoricalFS!F32-1,0)</f>
        <v>0.18871863387750087</v>
      </c>
      <c r="H8" s="43">
        <f>IFERROR(HistoricalFS!H32/HistoricalFS!G32-1,0)</f>
        <v>0.45292871108613242</v>
      </c>
      <c r="I8" s="43">
        <f>IFERROR(HistoricalFS!I32/HistoricalFS!H32-1,0)</f>
        <v>-0.27074351928702245</v>
      </c>
      <c r="J8" s="43">
        <f>IFERROR(HistoricalFS!J32/HistoricalFS!I32-1,0)</f>
        <v>0.52349171270718653</v>
      </c>
      <c r="K8" s="43">
        <f>IFERROR(HistoricalFS!K32/HistoricalFS!J32-1,0)</f>
        <v>0.6324378426992332</v>
      </c>
      <c r="L8" s="43">
        <f>IFERROR(HistoricalFS!L32/HistoricalFS!K32-1,0)</f>
        <v>6.2330611265631886E-2</v>
      </c>
      <c r="N8" s="43">
        <f t="shared" si="0"/>
        <v>0.3615103257864038</v>
      </c>
      <c r="O8" s="43">
        <f t="shared" ref="O8:O9" si="2">IFERROR(AVERAGE(E8:M8),0)</f>
        <v>0.33371280225980726</v>
      </c>
    </row>
    <row r="9" spans="2:15" ht="15" thickBot="1">
      <c r="B9" s="46" t="s">
        <v>157</v>
      </c>
      <c r="C9" s="46"/>
      <c r="D9" s="47">
        <f>IFERROR(HistoricalFS!D40/HistoricalFS!C40-1,0)</f>
        <v>0</v>
      </c>
      <c r="E9" s="47">
        <f>IFERROR(HistoricalFS!E40/HistoricalFS!D40-1,0)</f>
        <v>0</v>
      </c>
      <c r="F9" s="47">
        <f>IFERROR(HistoricalFS!F40/HistoricalFS!E40-1,0)</f>
        <v>0</v>
      </c>
      <c r="G9" s="47">
        <f>IFERROR(HistoricalFS!G40/HistoricalFS!F40-1,0)</f>
        <v>0</v>
      </c>
      <c r="H9" s="47">
        <f>IFERROR(HistoricalFS!H40/HistoricalFS!G40-1,0)</f>
        <v>0</v>
      </c>
      <c r="I9" s="47">
        <f>IFERROR(HistoricalFS!I40/HistoricalFS!H40-1,0)</f>
        <v>0</v>
      </c>
      <c r="J9" s="47">
        <f>IFERROR(HistoricalFS!J40/HistoricalFS!I40-1,0)</f>
        <v>0</v>
      </c>
      <c r="K9" s="47">
        <f>IFERROR(HistoricalFS!K40/HistoricalFS!J40-1,0)</f>
        <v>0</v>
      </c>
      <c r="L9" s="47">
        <f>IFERROR(HistoricalFS!L40/HistoricalFS!K40-1,0)</f>
        <v>0</v>
      </c>
      <c r="M9" s="46"/>
      <c r="N9" s="47">
        <f t="shared" ref="N9" si="3">IFERROR(AVERAGE(D9:L9),0)</f>
        <v>0</v>
      </c>
      <c r="O9" s="47">
        <f t="shared" si="2"/>
        <v>0</v>
      </c>
    </row>
    <row r="10" spans="2:15" ht="15" thickBot="1"/>
    <row r="11" spans="2:15">
      <c r="B11" s="44" t="s">
        <v>158</v>
      </c>
      <c r="C11" s="45">
        <f>IFERROR(HistoricalFS!C12,0)</f>
        <v>9.3719475170938898E-2</v>
      </c>
      <c r="D11" s="45">
        <f>IFERROR(HistoricalFS!D12,0)</f>
        <v>9.4431810768241517E-2</v>
      </c>
      <c r="E11" s="45">
        <f>IFERROR(HistoricalFS!E12,0)</f>
        <v>0.10016137572808194</v>
      </c>
      <c r="F11" s="45">
        <f>IFERROR(HistoricalFS!F12,0)</f>
        <v>0.10772423702205787</v>
      </c>
      <c r="G11" s="45">
        <f>IFERROR(HistoricalFS!G12,0)</f>
        <v>9.9726961706654377E-2</v>
      </c>
      <c r="H11" s="45">
        <f>IFERROR(HistoricalFS!H12,0)</f>
        <v>9.9554084808324825E-2</v>
      </c>
      <c r="I11" s="45">
        <f>IFERROR(HistoricalFS!I12,0)</f>
        <v>8.8231152140615068E-2</v>
      </c>
      <c r="J11" s="45">
        <f>IFERROR(HistoricalFS!J12,0)</f>
        <v>9.5163491278969392E-2</v>
      </c>
      <c r="K11" s="45">
        <f>IFERROR(HistoricalFS!K12,0)</f>
        <v>9.9820586392577265E-2</v>
      </c>
      <c r="L11" s="45">
        <f>IFERROR(HistoricalFS!L12,0)</f>
        <v>9.6604903085973914E-2</v>
      </c>
      <c r="M11" s="44"/>
      <c r="N11" s="45">
        <f>IFERROR(AVERAGE(C11:L11),0)</f>
        <v>9.7513807810243505E-2</v>
      </c>
      <c r="O11" s="45">
        <f t="shared" ref="O11:O31" si="4">IFERROR(MEDIAN(C11:L11),0)</f>
        <v>9.8079493947149377E-2</v>
      </c>
    </row>
    <row r="12" spans="2:15">
      <c r="B12" t="s">
        <v>159</v>
      </c>
      <c r="C12" s="43">
        <f>IFERROR(HistoricalFS!C18,0)</f>
        <v>7.0854097334701854E-2</v>
      </c>
      <c r="D12" s="43">
        <f>IFERROR(HistoricalFS!D18,0)</f>
        <v>7.7408967631900333E-2</v>
      </c>
      <c r="E12" s="43">
        <f>IFERROR(HistoricalFS!E18,0)</f>
        <v>8.1459441740840702E-2</v>
      </c>
      <c r="F12" s="43">
        <f>IFERROR(HistoricalFS!F18,0)</f>
        <v>8.9991485512066663E-2</v>
      </c>
      <c r="G12" s="43">
        <f>IFERROR(HistoricalFS!G18,0)</f>
        <v>8.1647047767204689E-2</v>
      </c>
      <c r="H12" s="43">
        <f>IFERROR(HistoricalFS!H18,0)</f>
        <v>8.5576714300648976E-2</v>
      </c>
      <c r="I12" s="43">
        <f>IFERROR(HistoricalFS!I18,0)</f>
        <v>7.2270457845857075E-2</v>
      </c>
      <c r="J12" s="43">
        <f>IFERROR(HistoricalFS!J18,0)</f>
        <v>8.0782805676732586E-2</v>
      </c>
      <c r="K12" s="43">
        <f>IFERROR(HistoricalFS!K18,0)</f>
        <v>8.4939481171141737E-2</v>
      </c>
      <c r="L12" s="43">
        <f>IFERROR(HistoricalFS!L18,0)</f>
        <v>8.083745973277992E-2</v>
      </c>
      <c r="N12" s="43">
        <f t="shared" ref="N12:N41" si="5">IFERROR(AVERAGE(C12:L12),0)</f>
        <v>8.0576795871387441E-2</v>
      </c>
      <c r="O12" s="43">
        <f t="shared" si="4"/>
        <v>8.1148450736810318E-2</v>
      </c>
    </row>
    <row r="13" spans="2:15">
      <c r="B13" t="s">
        <v>160</v>
      </c>
      <c r="C13" s="43">
        <f>IFERROR((HistoricalFS!C17-HistoricalFS!C23)/HistoricalFS!C5,0)</f>
        <v>5.8191485892384744E-2</v>
      </c>
      <c r="D13" s="43">
        <f>IFERROR((HistoricalFS!D17-HistoricalFS!D23)/HistoricalFS!D5,0)</f>
        <v>6.5941964826602889E-2</v>
      </c>
      <c r="E13" s="43">
        <f>IFERROR((HistoricalFS!E17-HistoricalFS!E23)/HistoricalFS!E5,0)</f>
        <v>7.0716188843221839E-2</v>
      </c>
      <c r="F13" s="43">
        <f>IFERROR((HistoricalFS!F17-HistoricalFS!F23)/HistoricalFS!F5,0)</f>
        <v>7.9414895032328486E-2</v>
      </c>
      <c r="G13" s="43">
        <f>IFERROR((HistoricalFS!G17-HistoricalFS!G23)/HistoricalFS!G5,0)</f>
        <v>7.1024948361670337E-2</v>
      </c>
      <c r="H13" s="43">
        <f>IFERROR((HistoricalFS!H17-HistoricalFS!H23)/HistoricalFS!H5,0)</f>
        <v>7.0522151008033718E-2</v>
      </c>
      <c r="I13" s="43">
        <f>IFERROR((HistoricalFS!I17-HistoricalFS!I23)/HistoricalFS!I5,0)</f>
        <v>5.5116045770502921E-2</v>
      </c>
      <c r="J13" s="43">
        <f>IFERROR((HistoricalFS!J17-HistoricalFS!J23)/HistoricalFS!J5,0)</f>
        <v>6.4703400377127435E-2</v>
      </c>
      <c r="K13" s="43">
        <f>IFERROR((HistoricalFS!K17-HistoricalFS!K23)/HistoricalFS!K5,0)</f>
        <v>7.0026396162798987E-2</v>
      </c>
      <c r="L13" s="43">
        <f>IFERROR((HistoricalFS!L17-HistoricalFS!L23)/HistoricalFS!L5,0)</f>
        <v>6.6449256657418659E-2</v>
      </c>
      <c r="N13" s="43">
        <f t="shared" si="5"/>
        <v>6.7210673293208997E-2</v>
      </c>
      <c r="O13" s="43">
        <f t="shared" si="4"/>
        <v>6.8237826410108823E-2</v>
      </c>
    </row>
    <row r="14" spans="2:15">
      <c r="B14" t="s">
        <v>161</v>
      </c>
      <c r="C14" s="43">
        <f>IFERROR(HistoricalFS!C27,0)</f>
        <v>4.6954466466752352E-2</v>
      </c>
      <c r="D14" s="43">
        <f>IFERROR(HistoricalFS!D27,0)</f>
        <v>5.5300940380439437E-2</v>
      </c>
      <c r="E14" s="43">
        <f>IFERROR(HistoricalFS!E27,0)</f>
        <v>6.0463787118518748E-2</v>
      </c>
      <c r="F14" s="43">
        <f>IFERROR(HistoricalFS!F27,0)</f>
        <v>7.5454327754569922E-2</v>
      </c>
      <c r="G14" s="43">
        <f>IFERROR(HistoricalFS!G27,0)</f>
        <v>6.8664981714132683E-2</v>
      </c>
      <c r="H14" s="43">
        <f>IFERROR(HistoricalFS!H27,0)</f>
        <v>6.7742921247115034E-2</v>
      </c>
      <c r="I14" s="43">
        <f>IFERROR(HistoricalFS!I27,0)</f>
        <v>5.3390912336712844E-2</v>
      </c>
      <c r="J14" s="43">
        <f>IFERROR(HistoricalFS!J27,0)</f>
        <v>6.2966909831299933E-2</v>
      </c>
      <c r="K14" s="43">
        <f>IFERROR(HistoricalFS!K27,0)</f>
        <v>6.845285058950179E-2</v>
      </c>
      <c r="L14" s="43">
        <f>IFERROR(HistoricalFS!L27,0)</f>
        <v>6.5304713654557603E-2</v>
      </c>
      <c r="N14" s="43">
        <f t="shared" si="5"/>
        <v>6.2469681109360034E-2</v>
      </c>
      <c r="O14" s="43">
        <f t="shared" si="4"/>
        <v>6.4135811742928761E-2</v>
      </c>
    </row>
    <row r="15" spans="2:15" ht="15" thickBot="1">
      <c r="B15" s="46" t="s">
        <v>162</v>
      </c>
      <c r="C15" s="47">
        <f>IFERROR(HistoricalFS!C33,0)</f>
        <v>2.9729339398052168E-2</v>
      </c>
      <c r="D15" s="47">
        <f>IFERROR(HistoricalFS!D33,0)</f>
        <v>3.5324845988238353E-2</v>
      </c>
      <c r="E15" s="47">
        <f>IFERROR(HistoricalFS!E33,0)</f>
        <v>3.7914891113408518E-2</v>
      </c>
      <c r="F15" s="47">
        <f>IFERROR(HistoricalFS!F33,0)</f>
        <v>4.7796211052869693E-2</v>
      </c>
      <c r="G15" s="47">
        <f>IFERROR(HistoricalFS!G33,0)</f>
        <v>4.2696850511784408E-2</v>
      </c>
      <c r="H15" s="47">
        <f>IFERROR(HistoricalFS!H33,0)</f>
        <v>4.9898673914966524E-2</v>
      </c>
      <c r="I15" s="47">
        <f>IFERROR(HistoricalFS!I33,0)</f>
        <v>3.7484892138776045E-2</v>
      </c>
      <c r="J15" s="47">
        <f>IFERROR(HistoricalFS!J33,0)</f>
        <v>4.4510200873120014E-2</v>
      </c>
      <c r="K15" s="47">
        <f>IFERROR(HistoricalFS!K33,0)</f>
        <v>5.2538821593872513E-2</v>
      </c>
      <c r="L15" s="47">
        <f>IFERROR(HistoricalFS!L33,0)</f>
        <v>4.7077871256337368E-2</v>
      </c>
      <c r="M15" s="46"/>
      <c r="N15" s="47">
        <f t="shared" si="5"/>
        <v>4.2497259784142559E-2</v>
      </c>
      <c r="O15" s="47">
        <f t="shared" si="4"/>
        <v>4.3603525692452211E-2</v>
      </c>
    </row>
    <row r="16" spans="2:15" ht="15" thickBot="1">
      <c r="N16" s="22"/>
    </row>
    <row r="17" spans="2:15">
      <c r="B17" s="48" t="s">
        <v>163</v>
      </c>
      <c r="C17" s="45">
        <f>IFERROR(HistoricalFS!C15,0)</f>
        <v>2.2865377836237051E-2</v>
      </c>
      <c r="D17" s="45">
        <f>IFERROR(HistoricalFS!D15,0)</f>
        <v>1.7022843136341184E-2</v>
      </c>
      <c r="E17" s="45">
        <f>IFERROR(HistoricalFS!E15,0)</f>
        <v>1.870193398724123E-2</v>
      </c>
      <c r="F17" s="45">
        <f>IFERROR(HistoricalFS!F15,0)</f>
        <v>1.7732751509991221E-2</v>
      </c>
      <c r="G17" s="45">
        <f>IFERROR(HistoricalFS!G15,0)</f>
        <v>1.8079913939449684E-2</v>
      </c>
      <c r="H17" s="45">
        <f>IFERROR(HistoricalFS!H15,0)</f>
        <v>1.3977370507675852E-2</v>
      </c>
      <c r="I17" s="45">
        <f>IFERROR(HistoricalFS!I15,0)</f>
        <v>1.5960694294757993E-2</v>
      </c>
      <c r="J17" s="45">
        <f>IFERROR(HistoricalFS!J15,0)</f>
        <v>1.438068560223681E-2</v>
      </c>
      <c r="K17" s="45">
        <f>IFERROR(HistoricalFS!K15,0)</f>
        <v>1.4881105221435514E-2</v>
      </c>
      <c r="L17" s="45">
        <f>IFERROR(HistoricalFS!L15,0)</f>
        <v>1.5767443353193997E-2</v>
      </c>
      <c r="M17" s="44"/>
      <c r="N17" s="45">
        <f t="shared" si="5"/>
        <v>1.6937011938856054E-2</v>
      </c>
      <c r="O17" s="45">
        <f t="shared" si="4"/>
        <v>1.6491768715549589E-2</v>
      </c>
    </row>
    <row r="18" spans="2:15">
      <c r="B18" s="2" t="s">
        <v>164</v>
      </c>
      <c r="C18" s="43">
        <f>IFERROR(HistoricalFS!C24,0)</f>
        <v>1.26626114423171E-2</v>
      </c>
      <c r="D18" s="43">
        <f>IFERROR(HistoricalFS!D24,0)</f>
        <v>1.1467002805297445E-2</v>
      </c>
      <c r="E18" s="43">
        <f>IFERROR(HistoricalFS!E24,0)</f>
        <v>1.0743252897618866E-2</v>
      </c>
      <c r="F18" s="43">
        <f>IFERROR(HistoricalFS!F24,0)</f>
        <v>1.0576590479738178E-2</v>
      </c>
      <c r="G18" s="43">
        <f>IFERROR(HistoricalFS!G24,0)</f>
        <v>1.062209940553435E-2</v>
      </c>
      <c r="H18" s="43">
        <f>IFERROR(HistoricalFS!H24,0)</f>
        <v>1.5054563292615258E-2</v>
      </c>
      <c r="I18" s="43">
        <f>IFERROR(HistoricalFS!I24,0)</f>
        <v>1.7154412075354161E-2</v>
      </c>
      <c r="J18" s="43">
        <f>IFERROR(HistoricalFS!J24,0)</f>
        <v>1.6079405299605148E-2</v>
      </c>
      <c r="K18" s="43">
        <f>IFERROR(HistoricalFS!K24,0)</f>
        <v>1.4913085008342757E-2</v>
      </c>
      <c r="L18" s="43">
        <f>IFERROR(HistoricalFS!L24,0)</f>
        <v>1.4388203075361254E-2</v>
      </c>
      <c r="N18" s="43">
        <f t="shared" si="5"/>
        <v>1.3366122578178452E-2</v>
      </c>
      <c r="O18" s="43">
        <f t="shared" si="4"/>
        <v>1.3525407258839177E-2</v>
      </c>
    </row>
    <row r="19" spans="2:15" ht="15" thickBot="1">
      <c r="B19" s="49" t="s">
        <v>165</v>
      </c>
      <c r="C19" s="50">
        <f>C13</f>
        <v>5.8191485892384744E-2</v>
      </c>
      <c r="D19" s="50">
        <f t="shared" ref="D19:L19" si="6">D13</f>
        <v>6.5941964826602889E-2</v>
      </c>
      <c r="E19" s="50">
        <f t="shared" si="6"/>
        <v>7.0716188843221839E-2</v>
      </c>
      <c r="F19" s="50">
        <f t="shared" si="6"/>
        <v>7.9414895032328486E-2</v>
      </c>
      <c r="G19" s="50">
        <f t="shared" si="6"/>
        <v>7.1024948361670337E-2</v>
      </c>
      <c r="H19" s="50">
        <f t="shared" si="6"/>
        <v>7.0522151008033718E-2</v>
      </c>
      <c r="I19" s="50">
        <f t="shared" si="6"/>
        <v>5.5116045770502921E-2</v>
      </c>
      <c r="J19" s="50">
        <f t="shared" si="6"/>
        <v>6.4703400377127435E-2</v>
      </c>
      <c r="K19" s="50">
        <f t="shared" si="6"/>
        <v>7.0026396162798987E-2</v>
      </c>
      <c r="L19" s="50">
        <f t="shared" si="6"/>
        <v>6.6449256657418659E-2</v>
      </c>
      <c r="M19" s="46"/>
      <c r="N19" s="47">
        <f t="shared" si="5"/>
        <v>6.7210673293208997E-2</v>
      </c>
      <c r="O19" s="47">
        <f t="shared" si="4"/>
        <v>6.8237826410108823E-2</v>
      </c>
    </row>
    <row r="20" spans="2:15" ht="15" thickBot="1">
      <c r="N20" s="22"/>
    </row>
    <row r="21" spans="2:15">
      <c r="B21" s="44" t="s">
        <v>167</v>
      </c>
      <c r="C21" s="45">
        <f>IFERROR((HistoricalFS!C17-HistoricalFS!C23)/(SUM(HistoricalFS!C49:C51)),0)</f>
        <v>0.17814542774964898</v>
      </c>
      <c r="D21" s="45">
        <f>IFERROR((HistoricalFS!D17-HistoricalFS!D23)/(SUM(HistoricalFS!D49:D51)),0)</f>
        <v>0.20865311599171366</v>
      </c>
      <c r="E21" s="45">
        <f>IFERROR((HistoricalFS!E17-HistoricalFS!E23)/(SUM(HistoricalFS!E49:E51)),0)</f>
        <v>0.15758461163866583</v>
      </c>
      <c r="F21" s="45">
        <f>IFERROR((HistoricalFS!F17-HistoricalFS!F23)/(SUM(HistoricalFS!F49:F51)),0)</f>
        <v>0.23370984476244555</v>
      </c>
      <c r="G21" s="45">
        <f>IFERROR((HistoricalFS!G17-HistoricalFS!G23)/(SUM(HistoricalFS!G49:G51)),0)</f>
        <v>0.22597175392836721</v>
      </c>
      <c r="H21" s="45">
        <f>IFERROR((HistoricalFS!H17-HistoricalFS!H23)/(SUM(HistoricalFS!H49:H51)),0)</f>
        <v>0.15367657560328507</v>
      </c>
      <c r="I21" s="45">
        <f>IFERROR((HistoricalFS!I17-HistoricalFS!I23)/(SUM(HistoricalFS!I49:I51)),0)</f>
        <v>0.1058067399148564</v>
      </c>
      <c r="J21" s="45">
        <f>IFERROR((HistoricalFS!J17-HistoricalFS!J23)/(SUM(HistoricalFS!J49:J51)),0)</f>
        <v>0.13991823844049886</v>
      </c>
      <c r="K21" s="45">
        <f>IFERROR((HistoricalFS!K17-HistoricalFS!K23)/(SUM(HistoricalFS!K49:K51)),0)</f>
        <v>0.17940183043808977</v>
      </c>
      <c r="L21" s="45">
        <f>IFERROR((HistoricalFS!L17-HistoricalFS!L23)/(SUM(HistoricalFS!L49:L51)),0)</f>
        <v>0.17495508030594145</v>
      </c>
      <c r="M21" s="44"/>
      <c r="N21" s="45">
        <f t="shared" si="5"/>
        <v>0.17578232187735127</v>
      </c>
      <c r="O21" s="45">
        <f t="shared" si="4"/>
        <v>0.17655025402779523</v>
      </c>
    </row>
    <row r="22" spans="2:15">
      <c r="B22" t="s">
        <v>166</v>
      </c>
      <c r="C22" s="43">
        <f>IFERROR(HistoricalFS!C43,0)</f>
        <v>0</v>
      </c>
      <c r="D22" s="43">
        <f>IFERROR(HistoricalFS!D43,0)</f>
        <v>1</v>
      </c>
      <c r="E22" s="43">
        <f>IFERROR(HistoricalFS!E43,0)</f>
        <v>1</v>
      </c>
      <c r="F22" s="43">
        <f>IFERROR(HistoricalFS!F43,0)</f>
        <v>1</v>
      </c>
      <c r="G22" s="43">
        <f>IFERROR(HistoricalFS!G43,0)</f>
        <v>1</v>
      </c>
      <c r="H22" s="43">
        <f>IFERROR(HistoricalFS!H43,0)</f>
        <v>1</v>
      </c>
      <c r="I22" s="43">
        <f>IFERROR(HistoricalFS!I43,0)</f>
        <v>1</v>
      </c>
      <c r="J22" s="43">
        <f>IFERROR(HistoricalFS!J43,0)</f>
        <v>1</v>
      </c>
      <c r="K22" s="43">
        <f>IFERROR(HistoricalFS!K43,0)</f>
        <v>1</v>
      </c>
      <c r="L22" s="43">
        <f>IFERROR(HistoricalFS!L43,0)</f>
        <v>1</v>
      </c>
      <c r="N22" s="43">
        <f t="shared" si="5"/>
        <v>0.9</v>
      </c>
      <c r="O22" s="43">
        <f t="shared" si="4"/>
        <v>1</v>
      </c>
    </row>
    <row r="23" spans="2:15">
      <c r="B23" t="s">
        <v>168</v>
      </c>
      <c r="C23" s="43">
        <f>IFERROR(HistoricalFS!C32/SUM(HistoricalFS!C49:C50),0)</f>
        <v>0.15964109106980467</v>
      </c>
      <c r="D23" s="43">
        <f>IFERROR(HistoricalFS!D32/SUM(HistoricalFS!D49:D50),0)</f>
        <v>0.19942911262529323</v>
      </c>
      <c r="E23" s="43">
        <f>IFERROR(HistoricalFS!E32/SUM(HistoricalFS!E49:E50),0)</f>
        <v>0.11741952948893498</v>
      </c>
      <c r="F23" s="43">
        <f>IFERROR(HistoricalFS!F32/SUM(HistoricalFS!F49:F50),0)</f>
        <v>0.15389211938188724</v>
      </c>
      <c r="G23" s="43">
        <f>IFERROR(HistoricalFS!G32/SUM(HistoricalFS!G49:G50),0)</f>
        <v>0.15286579745680079</v>
      </c>
      <c r="H23" s="43">
        <f>IFERROR(HistoricalFS!H32/SUM(HistoricalFS!H49:H50),0)</f>
        <v>0.11200533586528208</v>
      </c>
      <c r="I23" s="43">
        <f>IFERROR(HistoricalFS!I32/SUM(HistoricalFS!I49:I50),0)</f>
        <v>7.4279509279193148E-2</v>
      </c>
      <c r="J23" s="43">
        <f>IFERROR(HistoricalFS!J32/SUM(HistoricalFS!J49:J50),0)</f>
        <v>0.10080393986097026</v>
      </c>
      <c r="K23" s="43">
        <f>IFERROR(HistoricalFS!K32/SUM(HistoricalFS!K49:K50),0)</f>
        <v>0.13998271004496612</v>
      </c>
      <c r="L23" s="43">
        <f>IFERROR(HistoricalFS!L32/SUM(HistoricalFS!L49:L50),0)</f>
        <v>0.12787747448633077</v>
      </c>
      <c r="N23" s="43">
        <f t="shared" si="5"/>
        <v>0.13381966195594636</v>
      </c>
      <c r="O23" s="43">
        <f t="shared" si="4"/>
        <v>0.13393009226564845</v>
      </c>
    </row>
    <row r="24" spans="2:15">
      <c r="B24" s="2" t="s">
        <v>169</v>
      </c>
      <c r="C24" s="43">
        <f>IFERROR(C22*C23,0)</f>
        <v>0</v>
      </c>
      <c r="D24" s="43">
        <f t="shared" ref="D24:L24" si="7">IFERROR(D22*D23,0)</f>
        <v>0.19942911262529323</v>
      </c>
      <c r="E24" s="43">
        <f t="shared" si="7"/>
        <v>0.11741952948893498</v>
      </c>
      <c r="F24" s="43">
        <f t="shared" si="7"/>
        <v>0.15389211938188724</v>
      </c>
      <c r="G24" s="43">
        <f t="shared" si="7"/>
        <v>0.15286579745680079</v>
      </c>
      <c r="H24" s="43">
        <f t="shared" si="7"/>
        <v>0.11200533586528208</v>
      </c>
      <c r="I24" s="43">
        <f t="shared" si="7"/>
        <v>7.4279509279193148E-2</v>
      </c>
      <c r="J24" s="43">
        <f t="shared" si="7"/>
        <v>0.10080393986097026</v>
      </c>
      <c r="K24" s="43">
        <f t="shared" si="7"/>
        <v>0.13998271004496612</v>
      </c>
      <c r="L24" s="43">
        <f t="shared" si="7"/>
        <v>0.12787747448633077</v>
      </c>
      <c r="N24" s="43">
        <f t="shared" si="5"/>
        <v>0.11785555284896584</v>
      </c>
      <c r="O24" s="43">
        <f t="shared" si="4"/>
        <v>0.12264850198763289</v>
      </c>
    </row>
    <row r="25" spans="2:15" ht="15" thickBot="1">
      <c r="B25" s="46" t="s">
        <v>170</v>
      </c>
      <c r="C25" s="51">
        <f>IFERROR((HistoricalFS!C17-HistoricalFS!C23)/HistoricalFS!C20,0)</f>
        <v>5.1785516860143606</v>
      </c>
      <c r="D25" s="51">
        <f>IFERROR((HistoricalFS!D17-HistoricalFS!D23)/HistoricalFS!D20,0)</f>
        <v>6.1969564265382182</v>
      </c>
      <c r="E25" s="51">
        <f>IFERROR((HistoricalFS!E17-HistoricalFS!E23)/HistoricalFS!E20,0)</f>
        <v>6.8975241842925117</v>
      </c>
      <c r="F25" s="51">
        <f>IFERROR((HistoricalFS!F17-HistoricalFS!F23)/HistoricalFS!F20,0)</f>
        <v>20.051394020826347</v>
      </c>
      <c r="G25" s="51">
        <f>IFERROR((HistoricalFS!G17-HistoricalFS!G23)/HistoricalFS!G20,0)</f>
        <v>30.095742427451842</v>
      </c>
      <c r="H25" s="51">
        <f>IFERROR((HistoricalFS!H17-HistoricalFS!H23)/HistoricalFS!H20,0)</f>
        <v>25.374710648148152</v>
      </c>
      <c r="I25" s="51">
        <f>IFERROR((HistoricalFS!I17-HistoricalFS!I23)/HistoricalFS!I20,0)</f>
        <v>31.948859543817488</v>
      </c>
      <c r="J25" s="51">
        <f>IFERROR((HistoricalFS!J17-HistoricalFS!J23)/HistoricalFS!J20,0)</f>
        <v>37.2610150585611</v>
      </c>
      <c r="K25" s="51">
        <f>IFERROR((HistoricalFS!K17-HistoricalFS!K23)/HistoricalFS!K20,0)</f>
        <v>44.502299362112403</v>
      </c>
      <c r="L25" s="51">
        <f>IFERROR((HistoricalFS!L17-HistoricalFS!L23)/HistoricalFS!L20,0)</f>
        <v>58.057457423017453</v>
      </c>
      <c r="M25" s="46"/>
      <c r="N25" s="51">
        <f t="shared" si="5"/>
        <v>26.556451078077988</v>
      </c>
      <c r="O25" s="51">
        <f t="shared" si="4"/>
        <v>27.735226537799996</v>
      </c>
    </row>
    <row r="26" spans="2:15" ht="15" thickBot="1">
      <c r="N26" s="22"/>
    </row>
    <row r="27" spans="2:15">
      <c r="B27" s="44" t="s">
        <v>171</v>
      </c>
      <c r="C27" s="52">
        <f>HistoricalFS!C5/HistoricalFS!C73</f>
        <v>-2.0256149732620323</v>
      </c>
      <c r="D27" s="52">
        <f>HistoricalFS!D5/HistoricalFS!D73</f>
        <v>-3.861340530814215</v>
      </c>
      <c r="E27" s="52">
        <f>HistoricalFS!E5/HistoricalFS!E73</f>
        <v>-2.8655346820809249</v>
      </c>
      <c r="F27" s="52">
        <f>HistoricalFS!F5/HistoricalFS!F73</f>
        <v>-1.406549401197605</v>
      </c>
      <c r="G27" s="52">
        <f>HistoricalFS!G5/HistoricalFS!G73</f>
        <v>-2.1961269074541661</v>
      </c>
      <c r="H27" s="52">
        <f>HistoricalFS!H5/HistoricalFS!H73</f>
        <v>2.4995175879396987</v>
      </c>
      <c r="I27" s="52">
        <f>HistoricalFS!I5/HistoricalFS!I73</f>
        <v>-4.3856603088101727</v>
      </c>
      <c r="J27" s="52">
        <f>HistoricalFS!J5/HistoricalFS!J73</f>
        <v>167.43929729729729</v>
      </c>
      <c r="K27" s="52">
        <f>HistoricalFS!K5/HistoricalFS!K73</f>
        <v>-19.35813827383642</v>
      </c>
      <c r="L27" s="52">
        <f>HistoricalFS!L5/HistoricalFS!L73</f>
        <v>-27.087376000000003</v>
      </c>
      <c r="M27" s="44"/>
      <c r="N27" s="52">
        <f t="shared" si="5"/>
        <v>10.675247380778142</v>
      </c>
      <c r="O27" s="52">
        <f t="shared" si="4"/>
        <v>-2.5308307947675455</v>
      </c>
    </row>
    <row r="28" spans="2:15">
      <c r="B28" t="s">
        <v>172</v>
      </c>
      <c r="C28" s="53">
        <f>IFERROR(HistoricalFS!C5/HistoricalFS!C52,0)</f>
        <v>25.618356142584339</v>
      </c>
      <c r="D28" s="53">
        <f>IFERROR(HistoricalFS!D5/HistoricalFS!D52,0)</f>
        <v>22.078707752456403</v>
      </c>
      <c r="E28" s="53">
        <f>IFERROR(HistoricalFS!E5/HistoricalFS!E52,0)</f>
        <v>24.777583406222668</v>
      </c>
      <c r="F28" s="53">
        <f>IFERROR(HistoricalFS!F5/HistoricalFS!F52,0)</f>
        <v>27.843384205067419</v>
      </c>
      <c r="G28" s="53">
        <f>IFERROR(HistoricalFS!G5/HistoricalFS!G52,0)</f>
        <v>27.865329433068673</v>
      </c>
      <c r="H28" s="53">
        <f>IFERROR(HistoricalFS!H5/HistoricalFS!H52,0)</f>
        <v>37.498605310374984</v>
      </c>
      <c r="I28" s="53">
        <f>IFERROR(HistoricalFS!I5/HistoricalFS!I52,0)</f>
        <v>22.383078534808043</v>
      </c>
      <c r="J28" s="53">
        <f>IFERROR(HistoricalFS!J5/HistoricalFS!J52,0)</f>
        <v>27.020472784368454</v>
      </c>
      <c r="K28" s="53">
        <f>IFERROR(HistoricalFS!K5/HistoricalFS!K52,0)</f>
        <v>30.979404703364093</v>
      </c>
      <c r="L28" s="53">
        <f>IFERROR(HistoricalFS!L5/HistoricalFS!L52,0)</f>
        <v>26.979458167330677</v>
      </c>
      <c r="N28" s="53">
        <f t="shared" si="5"/>
        <v>27.304438043964574</v>
      </c>
      <c r="O28" s="53">
        <f t="shared" si="4"/>
        <v>26.999965475849564</v>
      </c>
    </row>
    <row r="29" spans="2:15">
      <c r="B29" t="s">
        <v>173</v>
      </c>
      <c r="C29" s="53">
        <f>IFERROR(HistoricalFS!C5/HistoricalFS!C62,0)</f>
        <v>11.933489001315765</v>
      </c>
      <c r="D29" s="53">
        <f>IFERROR(HistoricalFS!D5/HistoricalFS!D62,0)</f>
        <v>12.779347615715583</v>
      </c>
      <c r="E29" s="53">
        <f>IFERROR(HistoricalFS!E5/HistoricalFS!E62,0)</f>
        <v>12.551640468403841</v>
      </c>
      <c r="F29" s="53">
        <f>IFERROR(HistoricalFS!F5/HistoricalFS!F62,0)</f>
        <v>12.921225665047919</v>
      </c>
      <c r="G29" s="53">
        <f>IFERROR(HistoricalFS!G5/HistoricalFS!G62,0)</f>
        <v>12.435595064184254</v>
      </c>
      <c r="H29" s="53">
        <f>IFERROR(HistoricalFS!H5/HistoricalFS!H62,0)</f>
        <v>12.770976686864538</v>
      </c>
      <c r="I29" s="53">
        <f>IFERROR(HistoricalFS!I5/HistoricalFS!I62,0)</f>
        <v>10.738457843329122</v>
      </c>
      <c r="J29" s="53">
        <f>IFERROR(HistoricalFS!J5/HistoricalFS!J62,0)</f>
        <v>11.294243544588101</v>
      </c>
      <c r="K29" s="53">
        <f>IFERROR(HistoricalFS!K5/HistoricalFS!K62,0)</f>
        <v>13.2079001566219</v>
      </c>
      <c r="L29" s="53">
        <f>IFERROR(HistoricalFS!L5/HistoricalFS!L62,0)</f>
        <v>12.932218235891744</v>
      </c>
      <c r="N29" s="53">
        <f t="shared" si="5"/>
        <v>12.356509428196278</v>
      </c>
      <c r="O29" s="53">
        <f t="shared" si="4"/>
        <v>12.661308577634189</v>
      </c>
    </row>
    <row r="30" spans="2:15">
      <c r="B30" t="s">
        <v>174</v>
      </c>
      <c r="C30" s="53">
        <f>IFERROR(HistoricalFS!C5/HistoricalFS!C55,0)</f>
        <v>4.2140660174859956</v>
      </c>
      <c r="D30" s="53">
        <f>IFERROR(HistoricalFS!D5/HistoricalFS!D55,0)</f>
        <v>4.1001566739271658</v>
      </c>
      <c r="E30" s="53">
        <f>IFERROR(HistoricalFS!E5/HistoricalFS!E55,0)</f>
        <v>4.6155368053535062</v>
      </c>
      <c r="F30" s="53">
        <f>IFERROR(HistoricalFS!F5/HistoricalFS!F55,0)</f>
        <v>4.4215684256037555</v>
      </c>
      <c r="G30" s="53">
        <f>IFERROR(HistoricalFS!G5/HistoricalFS!G55,0)</f>
        <v>4.5460995325393094</v>
      </c>
      <c r="H30" s="53">
        <f>IFERROR(HistoricalFS!H5/HistoricalFS!H55,0)</f>
        <v>4.1812499264462355</v>
      </c>
      <c r="I30" s="53">
        <f>IFERROR(HistoricalFS!I5/HistoricalFS!I55,0)</f>
        <v>3.4446781189361948</v>
      </c>
      <c r="J30" s="53">
        <f>IFERROR(HistoricalFS!J5/HistoricalFS!J55,0)</f>
        <v>3.3451623214636683</v>
      </c>
      <c r="K30" s="53">
        <f>IFERROR(HistoricalFS!K5/HistoricalFS!K55,0)</f>
        <v>3.7775790795451338</v>
      </c>
      <c r="L30" s="53">
        <f>IFERROR(HistoricalFS!L5/HistoricalFS!L55,0)</f>
        <v>3.7859731643682446</v>
      </c>
      <c r="N30" s="53">
        <f t="shared" si="5"/>
        <v>4.043207006566921</v>
      </c>
      <c r="O30" s="53">
        <f t="shared" si="4"/>
        <v>4.1407033001867006</v>
      </c>
    </row>
    <row r="31" spans="2:15" ht="15" thickBot="1">
      <c r="B31" s="46" t="s">
        <v>183</v>
      </c>
      <c r="C31" s="51">
        <f>IFERROR(HistoricalFS!C5/SUM(HistoricalFS!C49:C50),0)</f>
        <v>5.3698162926642148</v>
      </c>
      <c r="D31" s="51">
        <f>IFERROR(HistoricalFS!D5/SUM(HistoricalFS!D49:D50),0)</f>
        <v>5.6455762805503671</v>
      </c>
      <c r="E31" s="51">
        <f>IFERROR(HistoricalFS!E5/SUM(HistoricalFS!E49:E50),0)</f>
        <v>3.0969238217701172</v>
      </c>
      <c r="F31" s="51">
        <f>IFERROR(HistoricalFS!F5/SUM(HistoricalFS!F49:F50),0)</f>
        <v>3.2197556248059027</v>
      </c>
      <c r="G31" s="51">
        <f>IFERROR(HistoricalFS!G5/SUM(HistoricalFS!G49:G50),0)</f>
        <v>3.5802593311796977</v>
      </c>
      <c r="H31" s="51">
        <f>IFERROR(HistoricalFS!H5/SUM(HistoricalFS!H49:H50),0)</f>
        <v>2.2446555605095426</v>
      </c>
      <c r="I31" s="51">
        <f>IFERROR(HistoricalFS!I5/SUM(HistoricalFS!I49:I50),0)</f>
        <v>1.9815852478432268</v>
      </c>
      <c r="J31" s="51">
        <f>IFERROR(HistoricalFS!J5/SUM(HistoricalFS!J49:J50),0)</f>
        <v>2.2647379226240782</v>
      </c>
      <c r="K31" s="51">
        <f>IFERROR(HistoricalFS!K5/SUM(HistoricalFS!K49:K50),0)</f>
        <v>2.6643671441099093</v>
      </c>
      <c r="L31" s="51">
        <f>IFERROR(HistoricalFS!L5/SUM(HistoricalFS!L49:L50),0)</f>
        <v>2.716296873111411</v>
      </c>
      <c r="M31" s="46"/>
      <c r="N31" s="51">
        <f t="shared" si="5"/>
        <v>3.2783974099168467</v>
      </c>
      <c r="O31" s="51">
        <f t="shared" si="4"/>
        <v>2.9066103474407639</v>
      </c>
    </row>
    <row r="32" spans="2:15">
      <c r="N32" s="22"/>
    </row>
    <row r="33" spans="2:15" ht="15" thickBot="1">
      <c r="B33" s="2" t="s">
        <v>182</v>
      </c>
      <c r="N33" s="22"/>
    </row>
    <row r="34" spans="2:15">
      <c r="B34" s="44" t="s">
        <v>175</v>
      </c>
      <c r="C34" s="54">
        <f>IFERROR(365/C27,0)</f>
        <v>-180.19219092373081</v>
      </c>
      <c r="D34" s="54">
        <f t="shared" ref="D34:L34" si="8">IFERROR(365/D27,0)</f>
        <v>-94.526757504869664</v>
      </c>
      <c r="E34" s="54">
        <f t="shared" si="8"/>
        <v>-127.37587937164326</v>
      </c>
      <c r="F34" s="54">
        <f t="shared" si="8"/>
        <v>-259.50030598941009</v>
      </c>
      <c r="G34" s="54">
        <f t="shared" si="8"/>
        <v>-166.20168841841746</v>
      </c>
      <c r="H34" s="54">
        <f t="shared" si="8"/>
        <v>146.02817830174263</v>
      </c>
      <c r="I34" s="54">
        <f t="shared" si="8"/>
        <v>-83.225779996404768</v>
      </c>
      <c r="J34" s="54">
        <f t="shared" si="8"/>
        <v>2.1798944805168601</v>
      </c>
      <c r="K34" s="54">
        <f t="shared" si="8"/>
        <v>-18.855118960138714</v>
      </c>
      <c r="L34" s="54">
        <f t="shared" si="8"/>
        <v>-13.47491170794838</v>
      </c>
      <c r="M34" s="44"/>
      <c r="N34" s="54">
        <f t="shared" si="5"/>
        <v>-79.514456009030368</v>
      </c>
      <c r="O34" s="54">
        <f t="shared" ref="O34:O37" si="9">IFERROR(MEDIAN(C34:L34),0)</f>
        <v>-88.876268750637223</v>
      </c>
    </row>
    <row r="35" spans="2:15">
      <c r="B35" t="s">
        <v>176</v>
      </c>
      <c r="C35" s="55">
        <f>IFERROR(365/C28,0)</f>
        <v>14.247596448754006</v>
      </c>
      <c r="D35" s="55">
        <f t="shared" ref="D35:L35" si="10">IFERROR(365/D28,0)</f>
        <v>16.531764634612337</v>
      </c>
      <c r="E35" s="55">
        <f t="shared" si="10"/>
        <v>14.731057263168511</v>
      </c>
      <c r="F35" s="55">
        <f t="shared" si="10"/>
        <v>13.109038661096772</v>
      </c>
      <c r="G35" s="55">
        <f t="shared" si="10"/>
        <v>13.098714690479952</v>
      </c>
      <c r="H35" s="55">
        <f t="shared" si="10"/>
        <v>9.7336953462376652</v>
      </c>
      <c r="I35" s="55">
        <f t="shared" si="10"/>
        <v>16.306961503637069</v>
      </c>
      <c r="J35" s="55">
        <f t="shared" si="10"/>
        <v>13.508275851159615</v>
      </c>
      <c r="K35" s="55">
        <f t="shared" si="10"/>
        <v>11.782021103858209</v>
      </c>
      <c r="L35" s="55">
        <f t="shared" si="10"/>
        <v>13.528811354780176</v>
      </c>
      <c r="N35" s="55">
        <f t="shared" si="5"/>
        <v>13.657793685778433</v>
      </c>
      <c r="O35" s="55">
        <f t="shared" si="9"/>
        <v>13.518543602969896</v>
      </c>
    </row>
    <row r="36" spans="2:15">
      <c r="B36" t="s">
        <v>177</v>
      </c>
      <c r="C36" s="55">
        <f>IFERROR(365/C29,0)</f>
        <v>30.586193187906382</v>
      </c>
      <c r="D36" s="55">
        <f t="shared" ref="D36:L36" si="11">IFERROR(365/D29,0)</f>
        <v>28.561708388864552</v>
      </c>
      <c r="E36" s="55">
        <f t="shared" si="11"/>
        <v>29.079864175428863</v>
      </c>
      <c r="F36" s="55">
        <f t="shared" si="11"/>
        <v>28.248094218130536</v>
      </c>
      <c r="G36" s="55">
        <f t="shared" si="11"/>
        <v>29.351229122218378</v>
      </c>
      <c r="H36" s="55">
        <f t="shared" si="11"/>
        <v>28.580429590433528</v>
      </c>
      <c r="I36" s="55">
        <f t="shared" si="11"/>
        <v>33.989983042746033</v>
      </c>
      <c r="J36" s="55">
        <f t="shared" si="11"/>
        <v>32.317348086131737</v>
      </c>
      <c r="K36" s="55">
        <f t="shared" si="11"/>
        <v>27.634975709367698</v>
      </c>
      <c r="L36" s="55">
        <f t="shared" si="11"/>
        <v>28.224082933196133</v>
      </c>
      <c r="N36" s="55">
        <f t="shared" si="5"/>
        <v>29.657390845442386</v>
      </c>
      <c r="O36" s="55">
        <f t="shared" si="9"/>
        <v>28.830146882931196</v>
      </c>
    </row>
    <row r="37" spans="2:15" ht="15" thickBot="1">
      <c r="B37" s="46" t="s">
        <v>178</v>
      </c>
      <c r="C37" s="56">
        <f>SUM(C34+C36)-C35</f>
        <v>-163.85359418457841</v>
      </c>
      <c r="D37" s="56">
        <f t="shared" ref="D37:L37" si="12">SUM(D34+D36)-D35</f>
        <v>-82.496813750617434</v>
      </c>
      <c r="E37" s="56">
        <f t="shared" si="12"/>
        <v>-113.02707245938291</v>
      </c>
      <c r="F37" s="56">
        <f t="shared" si="12"/>
        <v>-244.36125043237632</v>
      </c>
      <c r="G37" s="56">
        <f t="shared" si="12"/>
        <v>-149.94917398667906</v>
      </c>
      <c r="H37" s="56">
        <f t="shared" si="12"/>
        <v>164.87491254593851</v>
      </c>
      <c r="I37" s="56">
        <f t="shared" si="12"/>
        <v>-65.542758457295804</v>
      </c>
      <c r="J37" s="56">
        <f t="shared" si="12"/>
        <v>20.988966715488978</v>
      </c>
      <c r="K37" s="56">
        <f t="shared" si="12"/>
        <v>-3.002164354629226</v>
      </c>
      <c r="L37" s="56">
        <f t="shared" si="12"/>
        <v>1.2203598704675773</v>
      </c>
      <c r="M37" s="46"/>
      <c r="N37" s="56">
        <f t="shared" si="5"/>
        <v>-63.514858849366405</v>
      </c>
      <c r="O37" s="56">
        <f t="shared" si="9"/>
        <v>-74.019786103956619</v>
      </c>
    </row>
    <row r="38" spans="2:15" ht="15" thickBot="1">
      <c r="N38" s="22"/>
    </row>
    <row r="39" spans="2:15">
      <c r="B39" s="44" t="s">
        <v>179</v>
      </c>
      <c r="C39" s="45">
        <f>IFERROR(HistoricalFS!C113/HistoricalFS!C5,0)</f>
        <v>3.4478206922041239E-2</v>
      </c>
      <c r="D39" s="45">
        <f>IFERROR(HistoricalFS!D113/HistoricalFS!D5,0)</f>
        <v>5.0498848989254129E-2</v>
      </c>
      <c r="E39" s="45">
        <f>IFERROR(HistoricalFS!E113/HistoricalFS!E5,0)</f>
        <v>3.8266219521420099E-2</v>
      </c>
      <c r="F39" s="45">
        <f>IFERROR(HistoricalFS!F113/HistoricalFS!F5,0)</f>
        <v>4.8558523800654549E-2</v>
      </c>
      <c r="G39" s="45">
        <f>IFERROR(HistoricalFS!G113/HistoricalFS!G5,0)</f>
        <v>4.0332884768042421E-2</v>
      </c>
      <c r="H39" s="45">
        <f>IFERROR(HistoricalFS!H113/HistoricalFS!H5,0)</f>
        <v>5.1472847021736857E-2</v>
      </c>
      <c r="I39" s="45">
        <f>IFERROR(HistoricalFS!I113/HistoricalFS!I5,0)</f>
        <v>5.6957982956592913E-2</v>
      </c>
      <c r="J39" s="45">
        <f>IFERROR(HistoricalFS!J113/HistoricalFS!J5,0)</f>
        <v>4.4303268276006114E-2</v>
      </c>
      <c r="K39" s="45">
        <f>IFERROR(HistoricalFS!K113/HistoricalFS!K5,0)</f>
        <v>6.1398156283584616E-2</v>
      </c>
      <c r="L39" s="45">
        <f>IFERROR(HistoricalFS!L113/HistoricalFS!L5,0)</f>
        <v>5.4063856166798881E-2</v>
      </c>
      <c r="M39" s="44"/>
      <c r="N39" s="45">
        <f t="shared" si="5"/>
        <v>4.8033079470613187E-2</v>
      </c>
      <c r="O39" s="45">
        <f t="shared" ref="O39:O41" si="13">IFERROR(MEDIAN(C39:L39),0)</f>
        <v>4.9528686394954335E-2</v>
      </c>
    </row>
    <row r="40" spans="2:15">
      <c r="B40" t="s">
        <v>180</v>
      </c>
      <c r="C40" s="43">
        <f>IFERROR(HistoricalFS!C113/HistoricalFS!C66,0)</f>
        <v>9.4283615238596769E-2</v>
      </c>
      <c r="D40" s="43">
        <f>IFERROR(HistoricalFS!D113/HistoricalFS!D66,0)</f>
        <v>0.13975870207250546</v>
      </c>
      <c r="E40" s="43">
        <f>IFERROR(HistoricalFS!E113/HistoricalFS!E66,0)</f>
        <v>7.8236482863859438E-2</v>
      </c>
      <c r="F40" s="43">
        <f>IFERROR(HistoricalFS!F113/HistoricalFS!F66,0)</f>
        <v>0.12924248701360785</v>
      </c>
      <c r="G40" s="43">
        <f>IFERROR(HistoricalFS!G113/HistoricalFS!G66,0)</f>
        <v>0.11517236457069446</v>
      </c>
      <c r="H40" s="43">
        <f>IFERROR(HistoricalFS!H113/HistoricalFS!H66,0)</f>
        <v>0.1060055514335683</v>
      </c>
      <c r="I40" s="43">
        <f>IFERROR(HistoricalFS!I113/HistoricalFS!I66,0)</f>
        <v>0.10070559975979583</v>
      </c>
      <c r="J40" s="43">
        <f>IFERROR(HistoricalFS!J113/HistoricalFS!J66,0)</f>
        <v>8.870478793198619E-2</v>
      </c>
      <c r="K40" s="43">
        <f>IFERROR(HistoricalFS!K113/HistoricalFS!K66,0)</f>
        <v>0.14528250403766574</v>
      </c>
      <c r="L40" s="43">
        <f>IFERROR(HistoricalFS!L113/HistoricalFS!L66,0)</f>
        <v>0.12968910585817062</v>
      </c>
      <c r="N40" s="43">
        <f t="shared" si="5"/>
        <v>0.11270812007804507</v>
      </c>
      <c r="O40" s="43">
        <f t="shared" si="13"/>
        <v>0.11058895800213138</v>
      </c>
    </row>
    <row r="41" spans="2:15" ht="15" thickBot="1">
      <c r="B41" s="46" t="s">
        <v>181</v>
      </c>
      <c r="C41" s="47">
        <f>IFERROR(HistoricalFS!C113/HistoricalFS!C51,0)</f>
        <v>0.24552672903810852</v>
      </c>
      <c r="D41" s="47">
        <f>IFERROR(HistoricalFS!D113/HistoricalFS!D51,0)</f>
        <v>0.36354563295704251</v>
      </c>
      <c r="E41" s="47">
        <f>IFERROR(HistoricalFS!E113/HistoricalFS!E51,0)</f>
        <v>0.30406325969064729</v>
      </c>
      <c r="F41" s="47">
        <f>IFERROR(HistoricalFS!F113/HistoricalFS!F51,0)</f>
        <v>1.661900967558338</v>
      </c>
      <c r="G41" s="47">
        <f>IFERROR(HistoricalFS!G113/HistoricalFS!G51,0)</f>
        <v>1.15238163250732</v>
      </c>
      <c r="H41" s="47">
        <f>IFERROR(HistoricalFS!H113/HistoricalFS!H51,0)</f>
        <v>3.8420720909991299</v>
      </c>
      <c r="I41" s="47">
        <f>IFERROR(HistoricalFS!I113/HistoricalFS!I51,0)</f>
        <v>3.5016678974306745</v>
      </c>
      <c r="J41" s="47">
        <f>IFERROR(HistoricalFS!J113/HistoricalFS!J51,0)</f>
        <v>2.1212940921878376</v>
      </c>
      <c r="K41" s="47">
        <f>IFERROR(HistoricalFS!K113/HistoricalFS!K51,0)</f>
        <v>4.0907493234626271</v>
      </c>
      <c r="L41" s="47">
        <f>IFERROR(HistoricalFS!L113/HistoricalFS!L51,0)</f>
        <v>4.6369900027019728</v>
      </c>
      <c r="M41" s="46"/>
      <c r="N41" s="47">
        <f t="shared" si="5"/>
        <v>2.1920191628533701</v>
      </c>
      <c r="O41" s="47">
        <f t="shared" si="13"/>
        <v>1.8915975298730878</v>
      </c>
    </row>
  </sheetData>
  <mergeCells count="1">
    <mergeCell ref="B2:M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xr2:uid="{1B639A72-116F-47F9-BC3F-64EF361926FE}">
          <x14:colorSeries theme="7" tint="-0.499984740745262"/>
          <x14:colorNegative theme="8"/>
          <x14:colorAxis rgb="FF000000"/>
          <x14:colorMarkers theme="7" tint="-0.499984740745262"/>
          <x14:colorFirst theme="7" tint="0.39997558519241921"/>
          <x14:colorLast theme="7" tint="0.39997558519241921"/>
          <x14:colorHigh theme="7"/>
          <x14:colorLow theme="7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markers="1" high="1" xr2:uid="{F4026FFD-FF93-4971-86D2-68BE7AACB057}">
          <x14:colorSeries theme="7" tint="-0.499984740745262"/>
          <x14:colorNegative theme="8"/>
          <x14:colorAxis rgb="FF000000"/>
          <x14:colorMarkers theme="7" tint="-0.499984740745262"/>
          <x14:colorFirst theme="7" tint="0.39997558519241921"/>
          <x14:colorLast theme="7" tint="0.39997558519241921"/>
          <x14:colorHigh theme="7"/>
          <x14:colorLow theme="7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K8"/>
  <sheetViews>
    <sheetView zoomScale="150" zoomScaleNormal="15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8.88671875" defaultRowHeight="14.4"/>
  <cols>
    <col min="1" max="1" width="26.88671875" bestFit="1" customWidth="1"/>
    <col min="2" max="6" width="13.44140625" customWidth="1"/>
    <col min="7" max="11" width="13.44140625" bestFit="1" customWidth="1"/>
  </cols>
  <sheetData>
    <row r="1" spans="1:11" s="2" customFormat="1">
      <c r="A1" s="2" t="str">
        <f>'Balance Sheet'!A1</f>
        <v>AVENUE SUPERMARTS LTD</v>
      </c>
      <c r="E1" t="str">
        <f>UPDATE</f>
        <v/>
      </c>
      <c r="F1"/>
      <c r="J1" s="2" t="s">
        <v>1</v>
      </c>
    </row>
    <row r="3" spans="1:11" s="2" customFormat="1">
      <c r="A3" s="9" t="s">
        <v>2</v>
      </c>
      <c r="B3" s="10">
        <f>'Data Sheet'!B81</f>
        <v>42094</v>
      </c>
      <c r="C3" s="10">
        <f>'Data Sheet'!C81</f>
        <v>42460</v>
      </c>
      <c r="D3" s="10">
        <f>'Data Sheet'!D81</f>
        <v>42825</v>
      </c>
      <c r="E3" s="10">
        <f>'Data Sheet'!E81</f>
        <v>43190</v>
      </c>
      <c r="F3" s="10">
        <f>'Data Sheet'!F81</f>
        <v>43555</v>
      </c>
      <c r="G3" s="10">
        <f>'Data Sheet'!G81</f>
        <v>43921</v>
      </c>
      <c r="H3" s="10">
        <f>'Data Sheet'!H81</f>
        <v>44286</v>
      </c>
      <c r="I3" s="10">
        <f>'Data Sheet'!I81</f>
        <v>44651</v>
      </c>
      <c r="J3" s="10">
        <f>'Data Sheet'!J81</f>
        <v>45016</v>
      </c>
      <c r="K3" s="10">
        <f>'Data Sheet'!K81</f>
        <v>45382</v>
      </c>
    </row>
    <row r="4" spans="1:11" s="2" customFormat="1">
      <c r="A4" s="2" t="s">
        <v>32</v>
      </c>
      <c r="B4" s="1">
        <f>'Data Sheet'!B82</f>
        <v>222.02</v>
      </c>
      <c r="C4" s="1">
        <f>'Data Sheet'!C82</f>
        <v>433.47</v>
      </c>
      <c r="D4" s="1">
        <f>'Data Sheet'!D82</f>
        <v>455.28</v>
      </c>
      <c r="E4" s="1">
        <f>'Data Sheet'!E82</f>
        <v>729.99</v>
      </c>
      <c r="F4" s="1">
        <f>'Data Sheet'!F82</f>
        <v>806.84</v>
      </c>
      <c r="G4" s="1">
        <f>'Data Sheet'!G82</f>
        <v>1280.1400000000001</v>
      </c>
      <c r="H4" s="1">
        <f>'Data Sheet'!H82</f>
        <v>1375.14</v>
      </c>
      <c r="I4" s="1">
        <f>'Data Sheet'!I82</f>
        <v>1372.35</v>
      </c>
      <c r="J4" s="1">
        <f>'Data Sheet'!J82</f>
        <v>2630.27</v>
      </c>
      <c r="K4" s="1">
        <f>'Data Sheet'!K82</f>
        <v>2745.84</v>
      </c>
    </row>
    <row r="5" spans="1:11">
      <c r="A5" t="s">
        <v>33</v>
      </c>
      <c r="B5" s="6">
        <f>'Data Sheet'!B83</f>
        <v>-473.88</v>
      </c>
      <c r="C5" s="6">
        <f>'Data Sheet'!C83</f>
        <v>-632.89</v>
      </c>
      <c r="D5" s="6">
        <f>'Data Sheet'!D83</f>
        <v>-2481.61</v>
      </c>
      <c r="E5" s="6">
        <f>'Data Sheet'!E83</f>
        <v>463.55</v>
      </c>
      <c r="F5" s="6">
        <f>'Data Sheet'!F83</f>
        <v>-958.37</v>
      </c>
      <c r="G5" s="6">
        <f>'Data Sheet'!G83</f>
        <v>-4656.5600000000004</v>
      </c>
      <c r="H5" s="6">
        <f>'Data Sheet'!H83</f>
        <v>-1110</v>
      </c>
      <c r="I5" s="6">
        <f>'Data Sheet'!I83</f>
        <v>-1289.49</v>
      </c>
      <c r="J5" s="6">
        <f>'Data Sheet'!J83</f>
        <v>-2313.1</v>
      </c>
      <c r="K5" s="6">
        <f>'Data Sheet'!K83</f>
        <v>-2468.23</v>
      </c>
    </row>
    <row r="6" spans="1:11">
      <c r="A6" t="s">
        <v>34</v>
      </c>
      <c r="B6" s="6">
        <f>'Data Sheet'!B84</f>
        <v>234.45</v>
      </c>
      <c r="C6" s="6">
        <f>'Data Sheet'!C84</f>
        <v>196.44</v>
      </c>
      <c r="D6" s="6">
        <f>'Data Sheet'!D84</f>
        <v>2025.26</v>
      </c>
      <c r="E6" s="6">
        <f>'Data Sheet'!E84</f>
        <v>-1159.06</v>
      </c>
      <c r="F6" s="6">
        <f>'Data Sheet'!F84</f>
        <v>208.98</v>
      </c>
      <c r="G6" s="6">
        <f>'Data Sheet'!G84</f>
        <v>3357.42</v>
      </c>
      <c r="H6" s="6">
        <f>'Data Sheet'!H84</f>
        <v>-179.5</v>
      </c>
      <c r="I6" s="6">
        <f>'Data Sheet'!I84</f>
        <v>-179.24</v>
      </c>
      <c r="J6" s="6">
        <f>'Data Sheet'!J84</f>
        <v>-205.14</v>
      </c>
      <c r="K6" s="6">
        <f>'Data Sheet'!K84</f>
        <v>-147.63999999999999</v>
      </c>
    </row>
    <row r="7" spans="1:11" s="2" customFormat="1">
      <c r="A7" s="2" t="s">
        <v>35</v>
      </c>
      <c r="B7" s="1">
        <f>'Data Sheet'!B85</f>
        <v>-17.41</v>
      </c>
      <c r="C7" s="1">
        <f>'Data Sheet'!C85</f>
        <v>-2.98</v>
      </c>
      <c r="D7" s="1">
        <f>'Data Sheet'!D85</f>
        <v>-1.07</v>
      </c>
      <c r="E7" s="1">
        <f>'Data Sheet'!E85</f>
        <v>34.479999999999997</v>
      </c>
      <c r="F7" s="1">
        <f>'Data Sheet'!F85</f>
        <v>57.45</v>
      </c>
      <c r="G7" s="1">
        <f>'Data Sheet'!G85</f>
        <v>-19</v>
      </c>
      <c r="H7" s="1">
        <f>'Data Sheet'!H85</f>
        <v>85.64</v>
      </c>
      <c r="I7" s="1">
        <f>'Data Sheet'!I85</f>
        <v>-96.38</v>
      </c>
      <c r="J7" s="1">
        <f>'Data Sheet'!J85</f>
        <v>112.03</v>
      </c>
      <c r="K7" s="1">
        <f>'Data Sheet'!K85</f>
        <v>129.97</v>
      </c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700-000000000000}"/>
  </hyperlinks>
  <printOptions gridLines="1"/>
  <pageMargins left="0.7" right="0.7" top="0.75" bottom="0.75" header="0.3" footer="0.3"/>
  <pageSetup paperSize="9" orientation="landscape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W23"/>
  <sheetViews>
    <sheetView showGridLines="0" workbookViewId="0">
      <selection activeCell="C4" sqref="C4"/>
    </sheetView>
  </sheetViews>
  <sheetFormatPr defaultRowHeight="14.4"/>
  <cols>
    <col min="1" max="1" width="1.6640625" customWidth="1"/>
    <col min="2" max="2" width="10.88671875" customWidth="1"/>
    <col min="3" max="4" width="12.6640625" bestFit="1" customWidth="1"/>
    <col min="5" max="5" width="12.6640625" customWidth="1"/>
    <col min="6" max="6" width="2.6640625" customWidth="1"/>
    <col min="7" max="7" width="11.6640625" customWidth="1"/>
    <col min="8" max="8" width="6.6640625" bestFit="1" customWidth="1"/>
    <col min="9" max="9" width="14.44140625" customWidth="1"/>
    <col min="10" max="10" width="11.88671875" bestFit="1" customWidth="1"/>
    <col min="11" max="11" width="2.6640625" customWidth="1"/>
    <col min="12" max="15" width="12.6640625" bestFit="1" customWidth="1"/>
    <col min="16" max="20" width="9.5546875" bestFit="1" customWidth="1"/>
  </cols>
  <sheetData>
    <row r="2" spans="2:23">
      <c r="B2" s="2" t="str">
        <f>'Data Sheet'!$B$1&amp;" - " &amp; 'Data Sheet'!A17 &amp; " Forecasting"</f>
        <v>AVENUE SUPERMARTS LTD - Sales Forecasting</v>
      </c>
      <c r="G2" s="2" t="str">
        <f>'Data Sheet'!$B$1&amp;" - " &amp;HistoricalFS!B17   &amp; " Forecasting"</f>
        <v>AVENUE SUPERMARTS LTD - EBITDA Forecasting</v>
      </c>
      <c r="K2" s="36"/>
      <c r="L2" s="2" t="str">
        <f>'Data Sheet'!$B$1&amp;" - " &amp;HistoricalFS!B37   &amp; " Forecasting"</f>
        <v>AVENUE SUPERMARTS LTD - EPS  Forecasting</v>
      </c>
      <c r="P2" s="36"/>
      <c r="Q2" s="36"/>
      <c r="R2" s="36"/>
      <c r="S2" s="36"/>
      <c r="T2" s="36"/>
      <c r="U2" s="36"/>
    </row>
    <row r="3" spans="2:23">
      <c r="B3" s="42" t="s">
        <v>189</v>
      </c>
      <c r="C3" s="60" t="s">
        <v>187</v>
      </c>
      <c r="D3" s="60" t="s">
        <v>188</v>
      </c>
      <c r="E3" s="60" t="s">
        <v>22</v>
      </c>
      <c r="G3" s="42" t="s">
        <v>189</v>
      </c>
      <c r="H3" s="60" t="s">
        <v>187</v>
      </c>
      <c r="I3" s="60" t="s">
        <v>188</v>
      </c>
      <c r="J3" s="60" t="s">
        <v>22</v>
      </c>
      <c r="K3" s="37"/>
      <c r="L3" s="42" t="s">
        <v>189</v>
      </c>
      <c r="M3" s="60" t="s">
        <v>187</v>
      </c>
      <c r="N3" s="60" t="s">
        <v>188</v>
      </c>
      <c r="O3" s="60" t="s">
        <v>22</v>
      </c>
      <c r="P3" s="37"/>
      <c r="Q3" s="37"/>
      <c r="R3" s="37"/>
      <c r="S3" s="37"/>
      <c r="T3" s="37"/>
      <c r="U3" s="37"/>
      <c r="V3" s="37"/>
      <c r="W3" s="37"/>
    </row>
    <row r="4" spans="2:23">
      <c r="B4" s="59">
        <v>1</v>
      </c>
      <c r="C4" s="67">
        <f>'Data Sheet'!$B$16</f>
        <v>42094</v>
      </c>
      <c r="D4" s="69">
        <f t="array" ref="D4:D13">TRANSPOSE('Data Sheet'!B17:K17)</f>
        <v>6439.43</v>
      </c>
      <c r="E4" s="57"/>
      <c r="G4" s="59">
        <v>1</v>
      </c>
      <c r="H4" s="67">
        <f>'Data Sheet'!$B$16</f>
        <v>42094</v>
      </c>
      <c r="I4" s="69" cm="1">
        <f t="array" ref="I4:I13">TRANSPOSE(HistoricalFS!C17:L17)</f>
        <v>456.25999999999914</v>
      </c>
      <c r="J4" s="57"/>
      <c r="K4" s="36"/>
      <c r="L4" s="59">
        <v>1</v>
      </c>
      <c r="M4" s="67">
        <f>'Data Sheet'!$B$16</f>
        <v>42094</v>
      </c>
      <c r="N4" s="69" cm="1">
        <f t="array" ref="N4:N13">TRANSPOSE(HistoricalFS!C37:L37)</f>
        <v>3.4094390026713999</v>
      </c>
      <c r="O4" s="57"/>
      <c r="P4" s="36"/>
      <c r="Q4" s="36"/>
      <c r="R4" s="36"/>
    </row>
    <row r="5" spans="2:23">
      <c r="B5" s="59">
        <v>2</v>
      </c>
      <c r="C5" s="67">
        <f>C4+365</f>
        <v>42459</v>
      </c>
      <c r="D5" s="69">
        <v>8583.76</v>
      </c>
      <c r="E5" s="68">
        <f>D5/D4-1</f>
        <v>0.33299997049428276</v>
      </c>
      <c r="G5" s="59">
        <v>2</v>
      </c>
      <c r="H5" s="67">
        <f>H4+365</f>
        <v>42459</v>
      </c>
      <c r="I5" s="69">
        <v>664.46000000000083</v>
      </c>
      <c r="J5" s="68">
        <f>I5/I4-1</f>
        <v>0.45631876561610074</v>
      </c>
      <c r="K5" s="66"/>
      <c r="L5" s="59">
        <v>2</v>
      </c>
      <c r="M5" s="67">
        <f>M4+365</f>
        <v>42459</v>
      </c>
      <c r="N5" s="69">
        <v>5.4001780943900419</v>
      </c>
      <c r="O5" s="68">
        <f>N5/N4-1</f>
        <v>0.58389051399917613</v>
      </c>
      <c r="P5" s="66"/>
      <c r="Q5" s="66"/>
      <c r="R5" s="66"/>
      <c r="S5" s="66"/>
      <c r="T5" s="66"/>
    </row>
    <row r="6" spans="2:23">
      <c r="B6" s="59">
        <v>3</v>
      </c>
      <c r="C6" s="67">
        <f t="shared" ref="C6:C18" si="0">C5+365</f>
        <v>42824</v>
      </c>
      <c r="D6" s="69">
        <v>11897.7</v>
      </c>
      <c r="E6" s="68">
        <f t="shared" ref="E6:E18" si="1">D6/D5-1</f>
        <v>0.38607090598991589</v>
      </c>
      <c r="G6" s="59">
        <v>3</v>
      </c>
      <c r="H6" s="67">
        <f t="shared" ref="H6:H18" si="2">H5+365</f>
        <v>42824</v>
      </c>
      <c r="I6" s="69">
        <v>969.18000000000052</v>
      </c>
      <c r="J6" s="68">
        <f t="shared" ref="J6:J18" si="3">I6/I5-1</f>
        <v>0.45859795924510016</v>
      </c>
      <c r="L6" s="59">
        <v>3</v>
      </c>
      <c r="M6" s="67">
        <f t="shared" ref="M6:M18" si="4">M5+365</f>
        <v>42824</v>
      </c>
      <c r="N6" s="69">
        <v>7.2280083319980868</v>
      </c>
      <c r="O6" s="68">
        <f t="shared" ref="O6:O18" si="5">N6/N5-1</f>
        <v>0.33847591795294307</v>
      </c>
    </row>
    <row r="7" spans="2:23">
      <c r="B7" s="59">
        <v>4</v>
      </c>
      <c r="C7" s="67">
        <f t="shared" si="0"/>
        <v>43189</v>
      </c>
      <c r="D7" s="69">
        <v>15033.2</v>
      </c>
      <c r="E7" s="68">
        <f t="shared" si="1"/>
        <v>0.26353833093791246</v>
      </c>
      <c r="G7" s="59">
        <v>4</v>
      </c>
      <c r="H7" s="67">
        <f t="shared" si="2"/>
        <v>43189</v>
      </c>
      <c r="I7" s="69">
        <v>1352.8600000000006</v>
      </c>
      <c r="J7" s="68">
        <f t="shared" si="3"/>
        <v>0.39588105408695995</v>
      </c>
      <c r="L7" s="59">
        <v>4</v>
      </c>
      <c r="M7" s="67">
        <f t="shared" si="4"/>
        <v>43189</v>
      </c>
      <c r="N7" s="69">
        <v>11.513058804678748</v>
      </c>
      <c r="O7" s="68">
        <f t="shared" si="5"/>
        <v>0.5928397251163815</v>
      </c>
    </row>
    <row r="8" spans="2:23">
      <c r="B8" s="59">
        <v>5</v>
      </c>
      <c r="C8" s="67">
        <f t="shared" si="0"/>
        <v>43554</v>
      </c>
      <c r="D8" s="69">
        <v>20004.52</v>
      </c>
      <c r="E8" s="68">
        <f t="shared" si="1"/>
        <v>0.33068940744485542</v>
      </c>
      <c r="G8" s="59">
        <v>5</v>
      </c>
      <c r="H8" s="67">
        <f t="shared" si="2"/>
        <v>43554</v>
      </c>
      <c r="I8" s="69">
        <v>1633.3100000000015</v>
      </c>
      <c r="J8" s="68">
        <f t="shared" si="3"/>
        <v>0.20730156852889503</v>
      </c>
      <c r="L8" s="59">
        <v>5</v>
      </c>
      <c r="M8" s="67">
        <f t="shared" si="4"/>
        <v>43554</v>
      </c>
      <c r="N8" s="69">
        <v>13.685787534049055</v>
      </c>
      <c r="O8" s="68">
        <f t="shared" si="5"/>
        <v>0.18871863387750087</v>
      </c>
    </row>
    <row r="9" spans="2:23">
      <c r="B9" s="59">
        <v>6</v>
      </c>
      <c r="C9" s="67">
        <f t="shared" si="0"/>
        <v>43919</v>
      </c>
      <c r="D9" s="69">
        <v>24870.2</v>
      </c>
      <c r="E9" s="68">
        <f t="shared" si="1"/>
        <v>0.24322903023916598</v>
      </c>
      <c r="G9" s="59">
        <v>6</v>
      </c>
      <c r="H9" s="67">
        <f t="shared" si="2"/>
        <v>43919</v>
      </c>
      <c r="I9" s="69">
        <v>2128.3100000000004</v>
      </c>
      <c r="J9" s="68">
        <f t="shared" si="3"/>
        <v>0.30306555399770918</v>
      </c>
      <c r="L9" s="59">
        <v>6</v>
      </c>
      <c r="M9" s="67">
        <f t="shared" si="4"/>
        <v>43919</v>
      </c>
      <c r="N9" s="69">
        <v>19.156992899042923</v>
      </c>
      <c r="O9" s="68">
        <f t="shared" si="5"/>
        <v>0.39977278263176164</v>
      </c>
    </row>
    <row r="10" spans="2:23">
      <c r="B10" s="59">
        <v>7</v>
      </c>
      <c r="C10" s="67">
        <f t="shared" si="0"/>
        <v>44284</v>
      </c>
      <c r="D10" s="69">
        <v>24143.06</v>
      </c>
      <c r="E10" s="68">
        <f t="shared" si="1"/>
        <v>-2.9237400583831175E-2</v>
      </c>
      <c r="G10" s="59">
        <v>7</v>
      </c>
      <c r="H10" s="67">
        <f t="shared" si="2"/>
        <v>44284</v>
      </c>
      <c r="I10" s="69">
        <v>1744.8299999999983</v>
      </c>
      <c r="J10" s="68">
        <f t="shared" si="3"/>
        <v>-0.18018051881539909</v>
      </c>
      <c r="L10" s="59">
        <v>7</v>
      </c>
      <c r="M10" s="67">
        <f t="shared" si="4"/>
        <v>44284</v>
      </c>
      <c r="N10" s="69">
        <v>13.970361222599543</v>
      </c>
      <c r="O10" s="68">
        <f t="shared" si="5"/>
        <v>-0.27074351928702245</v>
      </c>
    </row>
    <row r="11" spans="2:23">
      <c r="B11" s="59">
        <v>8</v>
      </c>
      <c r="C11" s="67">
        <f t="shared" si="0"/>
        <v>44649</v>
      </c>
      <c r="D11" s="69">
        <v>30976.27</v>
      </c>
      <c r="E11" s="68">
        <f t="shared" si="1"/>
        <v>0.28302998874210639</v>
      </c>
      <c r="G11" s="59">
        <v>8</v>
      </c>
      <c r="H11" s="67">
        <f t="shared" si="2"/>
        <v>44649</v>
      </c>
      <c r="I11" s="69">
        <v>2502.3500000000013</v>
      </c>
      <c r="J11" s="68">
        <f t="shared" si="3"/>
        <v>0.43415117805173198</v>
      </c>
      <c r="L11" s="59">
        <v>8</v>
      </c>
      <c r="M11" s="67">
        <f t="shared" si="4"/>
        <v>44649</v>
      </c>
      <c r="N11" s="69">
        <v>21.283729546156241</v>
      </c>
      <c r="O11" s="68">
        <f t="shared" si="5"/>
        <v>0.52349171270718653</v>
      </c>
    </row>
    <row r="12" spans="2:23">
      <c r="B12" s="59">
        <v>9</v>
      </c>
      <c r="C12" s="67">
        <f t="shared" si="0"/>
        <v>45014</v>
      </c>
      <c r="D12" s="69">
        <v>42839.56</v>
      </c>
      <c r="E12" s="68">
        <f t="shared" si="1"/>
        <v>0.38297993915987938</v>
      </c>
      <c r="G12" s="59">
        <v>9</v>
      </c>
      <c r="H12" s="67">
        <f t="shared" si="2"/>
        <v>45014</v>
      </c>
      <c r="I12" s="69">
        <v>3638.7699999999968</v>
      </c>
      <c r="J12" s="68">
        <f t="shared" si="3"/>
        <v>0.45414110735908042</v>
      </c>
      <c r="L12" s="59">
        <v>9</v>
      </c>
      <c r="M12" s="67">
        <f t="shared" si="4"/>
        <v>45014</v>
      </c>
      <c r="N12" s="69">
        <v>34.717569026685133</v>
      </c>
      <c r="O12" s="68">
        <f t="shared" si="5"/>
        <v>0.63117882847534079</v>
      </c>
    </row>
    <row r="13" spans="2:23">
      <c r="B13" s="59">
        <v>10</v>
      </c>
      <c r="C13" s="67">
        <f t="shared" si="0"/>
        <v>45379</v>
      </c>
      <c r="D13" s="69">
        <v>50788.83</v>
      </c>
      <c r="E13" s="68">
        <f t="shared" si="1"/>
        <v>0.18555909537819737</v>
      </c>
      <c r="G13" s="59">
        <v>10</v>
      </c>
      <c r="H13" s="67">
        <f t="shared" si="2"/>
        <v>45379</v>
      </c>
      <c r="I13" s="69">
        <v>4105.6400000000049</v>
      </c>
      <c r="J13" s="68">
        <f t="shared" si="3"/>
        <v>0.1283043445999632</v>
      </c>
      <c r="L13" s="59">
        <v>10</v>
      </c>
      <c r="M13" s="67">
        <f t="shared" si="4"/>
        <v>45379</v>
      </c>
      <c r="N13" s="69">
        <v>36.745504840940612</v>
      </c>
      <c r="O13" s="68">
        <f t="shared" si="5"/>
        <v>5.84123794121858E-2</v>
      </c>
    </row>
    <row r="14" spans="2:23">
      <c r="B14" s="289">
        <v>11</v>
      </c>
      <c r="C14" s="290">
        <f t="shared" si="0"/>
        <v>45744</v>
      </c>
      <c r="D14" s="291">
        <f>FORECAST(B14,$D$4:$D$13,$B$4:$B$13)</f>
        <v>49108.429999999993</v>
      </c>
      <c r="E14" s="292">
        <f t="shared" si="1"/>
        <v>-3.3086015173021455E-2</v>
      </c>
      <c r="F14" s="288"/>
      <c r="G14" s="289">
        <v>11</v>
      </c>
      <c r="H14" s="290">
        <f t="shared" si="2"/>
        <v>45744</v>
      </c>
      <c r="I14" s="291">
        <f>FORECAST(G14,I4:I13,G4:G13)</f>
        <v>4019.6420000000007</v>
      </c>
      <c r="J14" s="292">
        <f t="shared" si="3"/>
        <v>-2.0946308005573844E-2</v>
      </c>
      <c r="K14" s="288"/>
      <c r="L14" s="289">
        <v>11</v>
      </c>
      <c r="M14" s="290">
        <f t="shared" si="4"/>
        <v>45744</v>
      </c>
      <c r="N14" s="291">
        <f>FORECAST(L14,$N$4:$N$13,$L$4:$L$13)</f>
        <v>36.32333118898903</v>
      </c>
      <c r="O14" s="292">
        <f t="shared" si="5"/>
        <v>-1.1489123738509854E-2</v>
      </c>
    </row>
    <row r="15" spans="2:23">
      <c r="B15" s="289">
        <v>12</v>
      </c>
      <c r="C15" s="290">
        <f t="shared" si="0"/>
        <v>46109</v>
      </c>
      <c r="D15" s="291">
        <f t="shared" ref="D15:D18" si="6">FORECAST(B15,$D$4:$D$13,$B$4:$B$13)</f>
        <v>53754.025818181821</v>
      </c>
      <c r="E15" s="292">
        <f t="shared" si="1"/>
        <v>9.4598744414794433E-2</v>
      </c>
      <c r="F15" s="288"/>
      <c r="G15" s="289">
        <v>12</v>
      </c>
      <c r="H15" s="290">
        <f t="shared" si="2"/>
        <v>46109</v>
      </c>
      <c r="I15" s="291">
        <f t="shared" ref="I15:I18" si="7">FORECAST(G15,I5:I14,G5:G14)</f>
        <v>4469.4368000000013</v>
      </c>
      <c r="J15" s="292">
        <f t="shared" si="3"/>
        <v>0.11189921888566201</v>
      </c>
      <c r="K15" s="288"/>
      <c r="L15" s="289">
        <v>12</v>
      </c>
      <c r="M15" s="290">
        <f t="shared" si="4"/>
        <v>46109</v>
      </c>
      <c r="N15" s="291">
        <f t="shared" ref="N15:N18" si="8">FORECAST(L15,$N$4:$N$13,$L$4:$L$13)</f>
        <v>39.889198145110456</v>
      </c>
      <c r="O15" s="292">
        <f t="shared" si="5"/>
        <v>9.817015233455173E-2</v>
      </c>
    </row>
    <row r="16" spans="2:23">
      <c r="B16" s="289">
        <v>13</v>
      </c>
      <c r="C16" s="290">
        <f t="shared" si="0"/>
        <v>46474</v>
      </c>
      <c r="D16" s="291">
        <f t="shared" si="6"/>
        <v>58399.621636363634</v>
      </c>
      <c r="E16" s="292">
        <f t="shared" si="1"/>
        <v>8.6423216633022548E-2</v>
      </c>
      <c r="F16" s="288"/>
      <c r="G16" s="289">
        <v>13</v>
      </c>
      <c r="H16" s="290">
        <f t="shared" si="2"/>
        <v>46474</v>
      </c>
      <c r="I16" s="291">
        <f t="shared" si="7"/>
        <v>4917.1107200000006</v>
      </c>
      <c r="J16" s="292">
        <f t="shared" si="3"/>
        <v>0.10016338523905266</v>
      </c>
      <c r="K16" s="288"/>
      <c r="L16" s="289">
        <v>13</v>
      </c>
      <c r="M16" s="290">
        <f t="shared" si="4"/>
        <v>46474</v>
      </c>
      <c r="N16" s="291">
        <f t="shared" si="8"/>
        <v>43.455065101231895</v>
      </c>
      <c r="O16" s="292">
        <f t="shared" si="5"/>
        <v>8.9394300260170478E-2</v>
      </c>
    </row>
    <row r="17" spans="2:15">
      <c r="B17" s="289">
        <v>14</v>
      </c>
      <c r="C17" s="290">
        <f t="shared" si="0"/>
        <v>46839</v>
      </c>
      <c r="D17" s="291">
        <f t="shared" si="6"/>
        <v>63045.217454545447</v>
      </c>
      <c r="E17" s="292">
        <f t="shared" si="1"/>
        <v>7.9548388979444162E-2</v>
      </c>
      <c r="F17" s="288"/>
      <c r="G17" s="289">
        <v>14</v>
      </c>
      <c r="H17" s="290">
        <f t="shared" si="2"/>
        <v>46839</v>
      </c>
      <c r="I17" s="291">
        <f t="shared" si="7"/>
        <v>5371.4477546666676</v>
      </c>
      <c r="J17" s="292">
        <f t="shared" si="3"/>
        <v>9.239918735583541E-2</v>
      </c>
      <c r="K17" s="288"/>
      <c r="L17" s="289">
        <v>14</v>
      </c>
      <c r="M17" s="290">
        <f t="shared" si="4"/>
        <v>46839</v>
      </c>
      <c r="N17" s="291">
        <f t="shared" si="8"/>
        <v>47.02093205735332</v>
      </c>
      <c r="O17" s="292">
        <f t="shared" si="5"/>
        <v>8.2058718536365483E-2</v>
      </c>
    </row>
    <row r="18" spans="2:15">
      <c r="B18" s="289">
        <v>15</v>
      </c>
      <c r="C18" s="290">
        <f t="shared" si="0"/>
        <v>47204</v>
      </c>
      <c r="D18" s="291">
        <f t="shared" si="6"/>
        <v>67690.813272727275</v>
      </c>
      <c r="E18" s="292">
        <f t="shared" si="1"/>
        <v>7.3686728442664551E-2</v>
      </c>
      <c r="F18" s="288"/>
      <c r="G18" s="289">
        <v>15</v>
      </c>
      <c r="H18" s="290">
        <f t="shared" si="2"/>
        <v>47204</v>
      </c>
      <c r="I18" s="291">
        <f t="shared" si="7"/>
        <v>5846.6388885333345</v>
      </c>
      <c r="J18" s="292">
        <f t="shared" si="3"/>
        <v>8.8466118553200968E-2</v>
      </c>
      <c r="K18" s="288"/>
      <c r="L18" s="289">
        <v>15</v>
      </c>
      <c r="M18" s="290">
        <f t="shared" si="4"/>
        <v>47204</v>
      </c>
      <c r="N18" s="291">
        <f t="shared" si="8"/>
        <v>50.586799013474746</v>
      </c>
      <c r="O18" s="292">
        <f t="shared" si="5"/>
        <v>7.5835735280023631E-2</v>
      </c>
    </row>
    <row r="19" spans="2:15">
      <c r="B19" s="59"/>
      <c r="C19" s="58"/>
      <c r="E19" s="57"/>
    </row>
    <row r="20" spans="2:15">
      <c r="B20" s="59"/>
      <c r="C20" s="58"/>
      <c r="D20" s="62"/>
      <c r="E20" s="57"/>
    </row>
    <row r="21" spans="2:15">
      <c r="D21" s="65"/>
    </row>
    <row r="22" spans="2:15">
      <c r="B22" s="62"/>
      <c r="C22" s="62"/>
      <c r="E22" s="62"/>
      <c r="F22" s="62"/>
      <c r="G22" s="62"/>
      <c r="H22" s="62"/>
      <c r="I22" s="62"/>
      <c r="J22" s="62"/>
      <c r="K22" s="62"/>
      <c r="L22" s="62"/>
      <c r="M22" s="62"/>
      <c r="N22" s="63"/>
      <c r="O22" s="61"/>
    </row>
    <row r="23" spans="2:15">
      <c r="B23" s="64"/>
      <c r="C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499984740745262"/>
  </sheetPr>
  <dimension ref="B2:J44"/>
  <sheetViews>
    <sheetView showGridLines="0" zoomScale="113" workbookViewId="0">
      <selection activeCell="E17" sqref="E17"/>
    </sheetView>
  </sheetViews>
  <sheetFormatPr defaultRowHeight="14.4"/>
  <cols>
    <col min="1" max="1" width="1.88671875" customWidth="1"/>
    <col min="3" max="3" width="15.33203125" customWidth="1"/>
    <col min="4" max="4" width="13.44140625" bestFit="1" customWidth="1"/>
    <col min="6" max="6" width="12.33203125" bestFit="1" customWidth="1"/>
    <col min="8" max="8" width="9.109375" customWidth="1"/>
  </cols>
  <sheetData>
    <row r="2" spans="2:10">
      <c r="B2" s="191" t="s">
        <v>346</v>
      </c>
      <c r="C2" s="191"/>
      <c r="D2" s="191"/>
      <c r="E2" s="192">
        <f>'[2]Intrinic Growth'!K2</f>
        <v>45352</v>
      </c>
      <c r="F2" s="192">
        <f>E2+365</f>
        <v>45717</v>
      </c>
      <c r="G2" s="192">
        <f t="shared" ref="G2:J2" si="0">F2+365</f>
        <v>46082</v>
      </c>
      <c r="H2" s="192">
        <f t="shared" si="0"/>
        <v>46447</v>
      </c>
      <c r="I2" s="192">
        <f>H2+366</f>
        <v>46813</v>
      </c>
      <c r="J2" s="192">
        <f t="shared" si="0"/>
        <v>47178</v>
      </c>
    </row>
    <row r="4" spans="2:10">
      <c r="B4" s="193" t="s">
        <v>326</v>
      </c>
      <c r="C4" s="193"/>
      <c r="D4" s="193"/>
      <c r="E4" s="198">
        <f>'[2]Data Sheet'!B35</f>
        <v>1941.6000000000001</v>
      </c>
      <c r="F4" s="193">
        <f>E4*(1+$E$15)</f>
        <v>2046.0580800000002</v>
      </c>
      <c r="G4" s="193">
        <f t="shared" ref="G4:J4" si="1">F4*(1+$E$15)</f>
        <v>2156.1360047040002</v>
      </c>
      <c r="H4" s="193">
        <f t="shared" si="1"/>
        <v>2272.1361217570757</v>
      </c>
      <c r="I4" s="193">
        <f t="shared" si="1"/>
        <v>2394.3770451076066</v>
      </c>
      <c r="J4" s="193">
        <f t="shared" si="1"/>
        <v>2523.1945301343958</v>
      </c>
    </row>
    <row r="5" spans="2:10">
      <c r="B5" s="193" t="s">
        <v>347</v>
      </c>
      <c r="C5" s="193"/>
      <c r="D5" s="193"/>
      <c r="E5" s="204">
        <v>0.25</v>
      </c>
      <c r="F5" s="194">
        <f>E5</f>
        <v>0.25</v>
      </c>
      <c r="G5" s="194">
        <f t="shared" ref="G5:J5" si="2">F5</f>
        <v>0.25</v>
      </c>
      <c r="H5" s="194">
        <f t="shared" si="2"/>
        <v>0.25</v>
      </c>
      <c r="I5" s="194">
        <f t="shared" si="2"/>
        <v>0.25</v>
      </c>
      <c r="J5" s="194">
        <f t="shared" si="2"/>
        <v>0.25</v>
      </c>
    </row>
    <row r="6" spans="2:10">
      <c r="B6" s="193" t="s">
        <v>333</v>
      </c>
      <c r="C6" s="193"/>
      <c r="D6" s="193"/>
      <c r="E6" s="198">
        <f t="shared" ref="E6:J6" si="3">E4*(1-E5)</f>
        <v>1456.2</v>
      </c>
      <c r="F6" s="193">
        <f t="shared" si="3"/>
        <v>1534.5435600000001</v>
      </c>
      <c r="G6" s="193">
        <f t="shared" si="3"/>
        <v>1617.1020035280003</v>
      </c>
      <c r="H6" s="193">
        <f t="shared" si="3"/>
        <v>1704.1020913178068</v>
      </c>
      <c r="I6" s="193">
        <f t="shared" si="3"/>
        <v>1795.7827838307048</v>
      </c>
      <c r="J6" s="193">
        <f t="shared" si="3"/>
        <v>1892.3958976007968</v>
      </c>
    </row>
    <row r="7" spans="2:10">
      <c r="B7" s="193" t="s">
        <v>348</v>
      </c>
      <c r="C7" s="193"/>
      <c r="D7" s="193"/>
      <c r="E7" s="199">
        <f>'Intrinic Growth'!K53</f>
        <v>0.95526745885656039</v>
      </c>
      <c r="F7" s="195">
        <f>E7+(($J$7-$E$7)/4)</f>
        <v>0.85162559414242023</v>
      </c>
      <c r="G7" s="195">
        <f>F7+(($J$7-$E$7)/4)</f>
        <v>0.74798372942828006</v>
      </c>
      <c r="H7" s="195">
        <f>G7+(($J$7-$E$7)/4)</f>
        <v>0.6443418647141399</v>
      </c>
      <c r="I7" s="195">
        <f>H7+(($J$7-$E$7)/5)</f>
        <v>0.56142837294282777</v>
      </c>
      <c r="J7" s="206">
        <v>0.54069999999999996</v>
      </c>
    </row>
    <row r="8" spans="2:10">
      <c r="B8" s="193" t="s">
        <v>349</v>
      </c>
      <c r="C8" s="193"/>
      <c r="D8" s="193"/>
      <c r="E8" s="200">
        <f t="shared" ref="E8:J8" si="4">E6-(1-E7)</f>
        <v>1456.1552674588565</v>
      </c>
      <c r="F8" s="196">
        <f t="shared" si="4"/>
        <v>1534.3951855941425</v>
      </c>
      <c r="G8" s="196">
        <f t="shared" si="4"/>
        <v>1616.8499872574287</v>
      </c>
      <c r="H8" s="196">
        <f t="shared" si="4"/>
        <v>1703.7464331825208</v>
      </c>
      <c r="I8" s="196">
        <f t="shared" si="4"/>
        <v>1795.3442122036477</v>
      </c>
      <c r="J8" s="196">
        <f t="shared" si="4"/>
        <v>1891.9365976007969</v>
      </c>
    </row>
    <row r="9" spans="2:10">
      <c r="B9" s="193" t="s">
        <v>350</v>
      </c>
      <c r="C9" s="193"/>
      <c r="D9" s="193"/>
      <c r="E9" s="198"/>
      <c r="F9" s="197">
        <v>0.5</v>
      </c>
      <c r="G9" s="193">
        <f>F9+1</f>
        <v>1.5</v>
      </c>
      <c r="H9" s="193">
        <f t="shared" ref="H9:J9" si="5">G9+1</f>
        <v>2.5</v>
      </c>
      <c r="I9" s="193">
        <f t="shared" si="5"/>
        <v>3.5</v>
      </c>
      <c r="J9" s="193">
        <f t="shared" si="5"/>
        <v>4.5</v>
      </c>
    </row>
    <row r="10" spans="2:10">
      <c r="B10" t="s">
        <v>351</v>
      </c>
      <c r="E10" s="201"/>
      <c r="F10" s="203">
        <f>1/(1+$E$16)^F9</f>
        <v>0.9377001656287246</v>
      </c>
      <c r="G10" s="203">
        <f t="shared" ref="G10:J10" si="6">1/(1+$E$16)^G9</f>
        <v>0.82450250253579294</v>
      </c>
      <c r="H10" s="203">
        <f t="shared" si="6"/>
        <v>0.72496988014498109</v>
      </c>
      <c r="I10" s="203">
        <f t="shared" si="6"/>
        <v>0.63745267661526817</v>
      </c>
      <c r="J10" s="203">
        <f t="shared" si="6"/>
        <v>0.56050040981386384</v>
      </c>
    </row>
    <row r="11" spans="2:10" ht="4.5" customHeight="1">
      <c r="E11" s="201"/>
    </row>
    <row r="12" spans="2:10" ht="15" thickBot="1">
      <c r="B12" s="155" t="s">
        <v>352</v>
      </c>
      <c r="C12" s="155"/>
      <c r="D12" s="155"/>
      <c r="E12" s="202"/>
      <c r="F12" s="155">
        <f>F8*F10</f>
        <v>1438.802619671545</v>
      </c>
      <c r="G12" s="155">
        <f t="shared" ref="G12:J12" si="7">G8*G10</f>
        <v>1333.0968607187149</v>
      </c>
      <c r="H12" s="155">
        <f t="shared" si="7"/>
        <v>1235.1648474617712</v>
      </c>
      <c r="I12" s="155">
        <f t="shared" si="7"/>
        <v>1144.4469735149453</v>
      </c>
      <c r="J12" s="155">
        <f t="shared" si="7"/>
        <v>1060.4312382970938</v>
      </c>
    </row>
    <row r="14" spans="2:10">
      <c r="B14" s="201" t="s">
        <v>353</v>
      </c>
      <c r="C14" s="201"/>
      <c r="D14" s="201"/>
      <c r="E14" s="209">
        <v>0.13159999999999999</v>
      </c>
    </row>
    <row r="15" spans="2:10">
      <c r="B15" s="201" t="s">
        <v>354</v>
      </c>
      <c r="C15" s="201"/>
      <c r="D15" s="201"/>
      <c r="E15" s="89">
        <v>5.3800000000000001E-2</v>
      </c>
    </row>
    <row r="16" spans="2:10">
      <c r="B16" s="201" t="s">
        <v>343</v>
      </c>
      <c r="C16" s="201"/>
      <c r="D16" s="201"/>
      <c r="E16" s="89">
        <f>WACC!K44</f>
        <v>0.13729207945978011</v>
      </c>
    </row>
    <row r="19" spans="2:10">
      <c r="B19" s="191" t="s">
        <v>355</v>
      </c>
      <c r="C19" s="191"/>
      <c r="D19" s="191"/>
      <c r="F19" s="191" t="s">
        <v>368</v>
      </c>
      <c r="G19" s="191"/>
      <c r="H19" s="191"/>
      <c r="I19" s="191"/>
      <c r="J19" s="191"/>
    </row>
    <row r="20" spans="2:10">
      <c r="F20" s="212">
        <f>D32</f>
        <v>20584.371601453684</v>
      </c>
      <c r="G20" s="14">
        <v>0.1</v>
      </c>
      <c r="H20" s="14">
        <v>0.13730000000000001</v>
      </c>
      <c r="I20" s="14">
        <v>0.19</v>
      </c>
      <c r="J20" s="14">
        <v>0.22</v>
      </c>
    </row>
    <row r="21" spans="2:10">
      <c r="B21" t="s">
        <v>356</v>
      </c>
      <c r="D21" s="66">
        <f>J8*(1+E14)</f>
        <v>2140.9154538450616</v>
      </c>
      <c r="F21" s="213">
        <v>0.03</v>
      </c>
      <c r="G21" s="214">
        <f t="dataTable" ref="G21:J25" dt2D="1" dtr="1" r1="D22" r2="D23" ca="1"/>
        <v>23354.570957621087</v>
      </c>
      <c r="H21" s="214">
        <v>17395.390715404901</v>
      </c>
      <c r="I21" s="214">
        <v>13711.842472520266</v>
      </c>
      <c r="J21" s="214">
        <v>12527.647746279814</v>
      </c>
    </row>
    <row r="22" spans="2:10">
      <c r="B22" t="s">
        <v>343</v>
      </c>
      <c r="D22" s="5">
        <f>E16</f>
        <v>0.13729207945978011</v>
      </c>
      <c r="F22" s="213">
        <v>0.04</v>
      </c>
      <c r="G22" s="214">
        <v>26211.675693947254</v>
      </c>
      <c r="H22" s="214">
        <v>18544.768739633149</v>
      </c>
      <c r="I22" s="214">
        <v>14211.835801377347</v>
      </c>
      <c r="J22" s="214">
        <v>12878.520257758468</v>
      </c>
    </row>
    <row r="23" spans="2:10">
      <c r="B23" t="s">
        <v>357</v>
      </c>
      <c r="D23" s="5">
        <f>E15</f>
        <v>5.3800000000000001E-2</v>
      </c>
      <c r="F23" s="14">
        <v>5.3800000000000001E-2</v>
      </c>
      <c r="G23" s="214">
        <v>32185.621960811066</v>
      </c>
      <c r="H23" s="215">
        <v>20583.008279268754</v>
      </c>
      <c r="I23" s="214">
        <v>15022.397673709529</v>
      </c>
      <c r="J23" s="214">
        <v>13432.06281196847</v>
      </c>
    </row>
    <row r="24" spans="2:10" ht="18" customHeight="1">
      <c r="F24" s="213">
        <v>0.06</v>
      </c>
      <c r="G24" s="214">
        <v>36211.542271088845</v>
      </c>
      <c r="H24" s="214">
        <v>21735.668144541058</v>
      </c>
      <c r="I24" s="214">
        <v>15442.588610871695</v>
      </c>
      <c r="J24" s="214">
        <v>13711.842472520266</v>
      </c>
    </row>
    <row r="25" spans="2:10" ht="15" thickBot="1">
      <c r="B25" s="207" t="s">
        <v>358</v>
      </c>
      <c r="C25" s="207"/>
      <c r="D25" s="208">
        <f>D21/(D22-D23)</f>
        <v>25642.138364470673</v>
      </c>
      <c r="F25" s="213">
        <v>7.0000000000000007E-2</v>
      </c>
      <c r="G25" s="214">
        <v>46211.408848230451</v>
      </c>
      <c r="H25" s="214">
        <v>24042.31385106067</v>
      </c>
      <c r="I25" s="214">
        <v>16211.809116805664</v>
      </c>
      <c r="J25" s="214">
        <v>14211.835801377347</v>
      </c>
    </row>
    <row r="26" spans="2:10">
      <c r="F26" s="213"/>
      <c r="G26" s="214"/>
      <c r="H26" s="214"/>
      <c r="I26" s="214"/>
      <c r="J26" s="214"/>
    </row>
    <row r="28" spans="2:10">
      <c r="B28" s="191" t="s">
        <v>362</v>
      </c>
      <c r="C28" s="191"/>
      <c r="D28" s="191"/>
      <c r="F28" s="191" t="s">
        <v>366</v>
      </c>
      <c r="G28" s="191"/>
      <c r="H28" s="191"/>
      <c r="I28" s="191"/>
      <c r="J28" s="191"/>
    </row>
    <row r="29" spans="2:10">
      <c r="F29" s="212" t="e">
        <f>D39</f>
        <v>#REF!</v>
      </c>
      <c r="G29" s="14">
        <v>0.1</v>
      </c>
      <c r="H29" s="14">
        <v>0.13730000000000001</v>
      </c>
      <c r="I29" s="14">
        <v>0.19</v>
      </c>
      <c r="J29" s="14">
        <v>0.22</v>
      </c>
    </row>
    <row r="30" spans="2:10">
      <c r="B30" t="s">
        <v>356</v>
      </c>
      <c r="D30" s="66">
        <f>SUM(F12:J12)</f>
        <v>6211.94253966407</v>
      </c>
      <c r="F30" s="213">
        <v>0.03</v>
      </c>
      <c r="G30" s="214" t="e">
        <f t="dataTable" ref="G30:J34" dt2D="1" dtr="1" r1="D22" r2="D23"/>
        <v>#REF!</v>
      </c>
      <c r="H30" s="214" t="e">
        <v>#REF!</v>
      </c>
      <c r="I30" s="214" t="e">
        <v>#REF!</v>
      </c>
      <c r="J30" s="214" t="e">
        <v>#REF!</v>
      </c>
    </row>
    <row r="31" spans="2:10">
      <c r="B31" t="s">
        <v>358</v>
      </c>
      <c r="D31" s="66">
        <f>D25*J10</f>
        <v>14372.429061789613</v>
      </c>
      <c r="F31" s="213">
        <v>0.04</v>
      </c>
      <c r="G31" s="214" t="e">
        <v>#REF!</v>
      </c>
      <c r="H31" s="214" t="e">
        <v>#REF!</v>
      </c>
      <c r="I31" s="214" t="e">
        <v>#REF!</v>
      </c>
      <c r="J31" s="214" t="e">
        <v>#REF!</v>
      </c>
    </row>
    <row r="32" spans="2:10">
      <c r="B32" s="2" t="s">
        <v>359</v>
      </c>
      <c r="C32" s="2"/>
      <c r="D32" s="205">
        <f>SUM(D30:D31)</f>
        <v>20584.371601453684</v>
      </c>
      <c r="F32" s="14">
        <v>5.3800000000000001E-2</v>
      </c>
      <c r="G32" s="214" t="e">
        <v>#REF!</v>
      </c>
      <c r="H32" s="215" t="e">
        <v>#REF!</v>
      </c>
      <c r="I32" s="214" t="e">
        <v>#REF!</v>
      </c>
      <c r="J32" s="214" t="e">
        <v>#REF!</v>
      </c>
    </row>
    <row r="33" spans="2:10">
      <c r="D33" s="66"/>
      <c r="F33" s="213">
        <v>0.06</v>
      </c>
      <c r="G33" s="214" t="e">
        <v>#REF!</v>
      </c>
      <c r="H33" s="214" t="e">
        <v>#REF!</v>
      </c>
      <c r="I33" s="214" t="e">
        <v>#REF!</v>
      </c>
      <c r="J33" s="214" t="e">
        <v>#REF!</v>
      </c>
    </row>
    <row r="34" spans="2:10">
      <c r="B34" t="s">
        <v>360</v>
      </c>
      <c r="D34" s="66" t="e">
        <f>#REF!</f>
        <v>#REF!</v>
      </c>
      <c r="F34" s="213">
        <v>7.0000000000000007E-2</v>
      </c>
      <c r="G34" s="214" t="e">
        <v>#REF!</v>
      </c>
      <c r="H34" s="214" t="e">
        <v>#REF!</v>
      </c>
      <c r="I34" s="214" t="e">
        <v>#REF!</v>
      </c>
      <c r="J34" s="214" t="e">
        <v>#REF!</v>
      </c>
    </row>
    <row r="35" spans="2:10">
      <c r="B35" t="s">
        <v>361</v>
      </c>
      <c r="D35" s="210">
        <f>SUM('Raw FS'!N7:N8)</f>
        <v>1107</v>
      </c>
    </row>
    <row r="36" spans="2:10">
      <c r="D36" s="210"/>
    </row>
    <row r="37" spans="2:10">
      <c r="B37" s="2" t="s">
        <v>363</v>
      </c>
      <c r="C37" s="2"/>
      <c r="D37" s="205" t="e">
        <f>D32+D34-D35</f>
        <v>#REF!</v>
      </c>
    </row>
    <row r="38" spans="2:10" ht="13.5" customHeight="1">
      <c r="B38" t="s">
        <v>364</v>
      </c>
      <c r="D38" s="66">
        <f>'Data Sheet'!B6</f>
        <v>65.07330779054918</v>
      </c>
    </row>
    <row r="39" spans="2:10">
      <c r="B39" t="s">
        <v>442</v>
      </c>
      <c r="D39" s="66" t="e">
        <f>D37/D38</f>
        <v>#REF!</v>
      </c>
    </row>
    <row r="40" spans="2:10" ht="4.5" customHeight="1"/>
    <row r="41" spans="2:10" ht="15" thickBot="1">
      <c r="B41" s="207" t="s">
        <v>365</v>
      </c>
      <c r="C41" s="207"/>
      <c r="D41" s="208" t="e">
        <f>D37/D38</f>
        <v>#REF!</v>
      </c>
    </row>
    <row r="43" spans="2:10">
      <c r="B43" t="s">
        <v>366</v>
      </c>
      <c r="D43">
        <v>3828</v>
      </c>
    </row>
    <row r="44" spans="2:10">
      <c r="B44" t="s">
        <v>367</v>
      </c>
      <c r="D44" s="211" t="e">
        <f>D43/D41</f>
        <v>#REF!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2:L44"/>
  <sheetViews>
    <sheetView showGridLines="0" topLeftCell="A6" workbookViewId="0">
      <selection activeCell="I11" sqref="I11"/>
    </sheetView>
  </sheetViews>
  <sheetFormatPr defaultRowHeight="14.4"/>
  <cols>
    <col min="1" max="1" width="1.88671875" customWidth="1"/>
    <col min="2" max="2" width="30.5546875" customWidth="1"/>
    <col min="3" max="3" width="11" customWidth="1"/>
    <col min="4" max="4" width="9.6640625" customWidth="1"/>
    <col min="5" max="5" width="12.109375" customWidth="1"/>
    <col min="6" max="6" width="11.33203125" customWidth="1"/>
    <col min="7" max="7" width="12" customWidth="1"/>
    <col min="8" max="8" width="13.6640625" customWidth="1"/>
    <col min="10" max="10" width="10.109375" bestFit="1" customWidth="1"/>
    <col min="11" max="11" width="8" customWidth="1"/>
    <col min="13" max="13" width="11.44140625" customWidth="1"/>
  </cols>
  <sheetData>
    <row r="2" spans="2:12">
      <c r="B2" s="70" t="s">
        <v>190</v>
      </c>
      <c r="C2" s="71"/>
      <c r="D2" s="71"/>
      <c r="E2" s="71"/>
      <c r="F2" s="71"/>
      <c r="G2" s="71"/>
      <c r="H2" s="71"/>
      <c r="I2" s="71"/>
      <c r="J2" s="71"/>
      <c r="K2" s="71"/>
      <c r="L2" s="293"/>
    </row>
    <row r="4" spans="2:12">
      <c r="B4" s="72" t="s">
        <v>191</v>
      </c>
      <c r="C4" s="72"/>
      <c r="D4" s="72"/>
      <c r="E4" s="72"/>
      <c r="F4" s="72"/>
    </row>
    <row r="6" spans="2:12">
      <c r="B6" s="2" t="s">
        <v>192</v>
      </c>
    </row>
    <row r="7" spans="2:12">
      <c r="B7" s="171"/>
      <c r="C7" s="171"/>
      <c r="D7" s="171"/>
      <c r="E7" s="130"/>
      <c r="F7" s="130"/>
      <c r="G7" s="130"/>
      <c r="H7" s="130" t="s">
        <v>197</v>
      </c>
      <c r="I7" s="130" t="s">
        <v>199</v>
      </c>
      <c r="J7" s="130" t="s">
        <v>201</v>
      </c>
      <c r="K7" s="130" t="s">
        <v>200</v>
      </c>
    </row>
    <row r="8" spans="2:12" ht="16.2">
      <c r="B8" s="101" t="s">
        <v>272</v>
      </c>
      <c r="C8" s="86"/>
      <c r="D8" s="101" t="s">
        <v>193</v>
      </c>
      <c r="E8" s="101" t="s">
        <v>194</v>
      </c>
      <c r="F8" s="101" t="s">
        <v>195</v>
      </c>
      <c r="G8" s="101" t="s">
        <v>227</v>
      </c>
      <c r="H8" s="101" t="s">
        <v>198</v>
      </c>
      <c r="I8" s="101" t="s">
        <v>202</v>
      </c>
      <c r="J8" s="101" t="s">
        <v>228</v>
      </c>
      <c r="K8" s="101" t="s">
        <v>229</v>
      </c>
    </row>
    <row r="10" spans="2:12">
      <c r="B10" s="75" t="s">
        <v>277</v>
      </c>
      <c r="C10" s="75"/>
      <c r="D10" s="75" t="s">
        <v>203</v>
      </c>
      <c r="E10" s="96">
        <f>'Beta - Comps'!F3</f>
        <v>712.91</v>
      </c>
      <c r="F10" s="96">
        <f>'Beta - Comps'!E3</f>
        <v>255149.22</v>
      </c>
      <c r="G10" s="76">
        <v>0.3</v>
      </c>
      <c r="H10" s="94">
        <f>'Beta - Comps'!G3</f>
        <v>0.04</v>
      </c>
      <c r="I10" s="95">
        <f>E10/(F10+E10)</f>
        <v>2.7863052652614124E-3</v>
      </c>
      <c r="J10" s="187">
        <f>Beta!N5</f>
        <v>1.0192054030901938</v>
      </c>
      <c r="K10" s="93">
        <f>J10/(1+(1-G10)*H10)</f>
        <v>0.99144494464026633</v>
      </c>
    </row>
    <row r="11" spans="2:12">
      <c r="B11" s="75" t="s">
        <v>278</v>
      </c>
      <c r="C11" s="75"/>
      <c r="D11" s="75" t="s">
        <v>203</v>
      </c>
      <c r="E11" s="96">
        <f>'Beta - Comps'!F4</f>
        <v>1842.2</v>
      </c>
      <c r="F11" s="96">
        <f>'Beta - Comps'!E4</f>
        <v>205509.06</v>
      </c>
      <c r="G11" s="76">
        <v>0.3</v>
      </c>
      <c r="H11" s="94">
        <f>'Beta - Comps'!G4</f>
        <v>0.39</v>
      </c>
      <c r="I11" s="95">
        <f>E11/(F11+E11)</f>
        <v>8.8844408276081855E-3</v>
      </c>
      <c r="J11" s="75">
        <v>1.1499999999999999</v>
      </c>
      <c r="K11" s="93">
        <f>J11/(1+(1-G11)*H11)</f>
        <v>0.90337784760408479</v>
      </c>
    </row>
    <row r="12" spans="2:12">
      <c r="B12" s="75" t="s">
        <v>279</v>
      </c>
      <c r="C12" s="75"/>
      <c r="D12" s="75" t="s">
        <v>203</v>
      </c>
      <c r="E12" s="96">
        <f>'Beta - Comps'!F5</f>
        <v>9999.18</v>
      </c>
      <c r="F12" s="96">
        <f>'Beta - Comps'!E5</f>
        <v>32153.19</v>
      </c>
      <c r="G12" s="76">
        <v>0.3</v>
      </c>
      <c r="H12" s="94">
        <f>'Beta - Comps'!G5</f>
        <v>2.44</v>
      </c>
      <c r="I12" s="95">
        <f>E12/(F12+E12)</f>
        <v>0.23721513167587022</v>
      </c>
      <c r="J12" s="75">
        <v>1.61</v>
      </c>
      <c r="K12" s="93">
        <f>J12/(1+(1-G12)*H12)</f>
        <v>0.59453471196454943</v>
      </c>
    </row>
    <row r="13" spans="2:12">
      <c r="B13" s="75" t="s">
        <v>280</v>
      </c>
      <c r="C13" s="75"/>
      <c r="D13" s="75" t="s">
        <v>203</v>
      </c>
      <c r="E13" s="96">
        <f>'Beta - Comps'!F6</f>
        <v>1573.61</v>
      </c>
      <c r="F13" s="96">
        <f>'Beta - Comps'!E6</f>
        <v>24848.15</v>
      </c>
      <c r="G13" s="76">
        <v>0.3</v>
      </c>
      <c r="H13" s="94">
        <f>'Beta - Comps'!G6</f>
        <v>0.33</v>
      </c>
      <c r="I13" s="95">
        <f>E13/(F13+E13)</f>
        <v>5.95573496996415E-2</v>
      </c>
      <c r="J13" s="75">
        <v>0.45700000000000002</v>
      </c>
      <c r="K13" s="93">
        <f>J13/(1+(1-G13)*H13)</f>
        <v>0.37124289195775795</v>
      </c>
    </row>
    <row r="14" spans="2:12">
      <c r="B14" s="75" t="s">
        <v>281</v>
      </c>
      <c r="C14" s="75"/>
      <c r="D14" s="75" t="s">
        <v>203</v>
      </c>
      <c r="E14" s="96">
        <f>'Beta - Comps'!F7</f>
        <v>650.59</v>
      </c>
      <c r="F14" s="96">
        <f>'Beta - Comps'!E7</f>
        <v>10737.97</v>
      </c>
      <c r="G14" s="76">
        <v>0.3</v>
      </c>
      <c r="H14" s="94">
        <f>'Beta - Comps'!G7</f>
        <v>0.92</v>
      </c>
      <c r="I14" s="95">
        <f>E14/(F14+E14)</f>
        <v>5.7126625315228621E-2</v>
      </c>
      <c r="J14" s="75">
        <v>1.36</v>
      </c>
      <c r="K14" s="93">
        <f>J14/(1+(1-G14)*H14)</f>
        <v>0.82725060827250607</v>
      </c>
    </row>
    <row r="15" spans="2:12">
      <c r="D15" s="75"/>
    </row>
    <row r="16" spans="2:12">
      <c r="F16" s="77" t="s">
        <v>204</v>
      </c>
      <c r="G16" s="79">
        <f>AVERAGE(G10:G14)</f>
        <v>0.3</v>
      </c>
      <c r="H16" s="82">
        <f>AVERAGE(H10:H14)</f>
        <v>0.82400000000000007</v>
      </c>
      <c r="I16" s="82">
        <f>AVERAGE(I10:I14)</f>
        <v>7.3113970556721988E-2</v>
      </c>
      <c r="J16" s="81">
        <f>AVERAGE(J10:J14)</f>
        <v>1.1192410806180388</v>
      </c>
      <c r="K16" s="81">
        <f>AVERAGE(K10:K14)</f>
        <v>0.73757020088783287</v>
      </c>
    </row>
    <row r="17" spans="2:11">
      <c r="F17" s="78" t="s">
        <v>185</v>
      </c>
      <c r="G17" s="80">
        <f>MEDIAN(G10:G14)</f>
        <v>0.3</v>
      </c>
      <c r="H17" s="83">
        <f>MEDIAN(H10:H14)</f>
        <v>0.39</v>
      </c>
      <c r="I17" s="83">
        <f>MEDIAN(I10:I14)</f>
        <v>5.7126625315228621E-2</v>
      </c>
      <c r="J17" s="84">
        <f>MEDIAN(J10:J14)</f>
        <v>1.1499999999999999</v>
      </c>
      <c r="K17" s="84">
        <f>MEDIAN(K10:K14)</f>
        <v>0.82725060827250607</v>
      </c>
    </row>
    <row r="20" spans="2:11">
      <c r="B20" s="78" t="s">
        <v>205</v>
      </c>
      <c r="C20" s="78"/>
      <c r="D20" s="78"/>
      <c r="E20" s="78"/>
      <c r="F20" s="2"/>
      <c r="G20" s="78" t="s">
        <v>208</v>
      </c>
      <c r="H20" s="78"/>
      <c r="I20" s="78"/>
      <c r="J20" s="73"/>
      <c r="K20" s="73"/>
    </row>
    <row r="22" spans="2:11">
      <c r="B22" t="s">
        <v>206</v>
      </c>
      <c r="E22" s="188">
        <f>67/650.73</f>
        <v>0.10296128962857098</v>
      </c>
      <c r="F22" s="88"/>
      <c r="G22" t="s">
        <v>209</v>
      </c>
      <c r="K22" s="188">
        <v>6.7479999999999998E-2</v>
      </c>
    </row>
    <row r="23" spans="2:11">
      <c r="B23" t="s">
        <v>196</v>
      </c>
      <c r="E23" s="188">
        <v>0.3</v>
      </c>
      <c r="F23" s="88"/>
      <c r="G23" t="s">
        <v>210</v>
      </c>
      <c r="K23" s="124">
        <f>RM!G8-WACC!K22</f>
        <v>8.5867999999999986E-2</v>
      </c>
    </row>
    <row r="24" spans="2:11" ht="16.2">
      <c r="B24" s="85" t="s">
        <v>207</v>
      </c>
      <c r="C24" s="85"/>
      <c r="D24" s="85"/>
      <c r="E24" s="90">
        <f>E22*(1-E23)</f>
        <v>7.2072902739999681E-2</v>
      </c>
      <c r="F24" s="186"/>
      <c r="G24" t="s">
        <v>211</v>
      </c>
      <c r="K24" s="66">
        <f>K34</f>
        <v>0.87292882790951642</v>
      </c>
    </row>
    <row r="25" spans="2:11">
      <c r="G25" s="85" t="s">
        <v>208</v>
      </c>
      <c r="H25" s="85"/>
      <c r="I25" s="85"/>
      <c r="J25" s="85"/>
      <c r="K25" s="91">
        <f>K22+(K23*K24)</f>
        <v>0.14243665259493435</v>
      </c>
    </row>
    <row r="29" spans="2:11">
      <c r="B29" s="78" t="s">
        <v>212</v>
      </c>
      <c r="C29" s="78"/>
      <c r="D29" s="78"/>
      <c r="E29" s="78"/>
      <c r="F29" s="2"/>
      <c r="G29" s="78" t="s">
        <v>217</v>
      </c>
      <c r="H29" s="78"/>
      <c r="I29" s="78"/>
      <c r="J29" s="78"/>
      <c r="K29" s="73"/>
    </row>
    <row r="31" spans="2:11">
      <c r="D31" s="86" t="s">
        <v>213</v>
      </c>
      <c r="E31" s="86" t="s">
        <v>214</v>
      </c>
      <c r="F31" s="171"/>
      <c r="G31" t="s">
        <v>218</v>
      </c>
      <c r="K31" s="66">
        <f>K17</f>
        <v>0.82725060827250607</v>
      </c>
    </row>
    <row r="32" spans="2:11">
      <c r="B32" t="s">
        <v>215</v>
      </c>
      <c r="C32" s="123">
        <f>E10</f>
        <v>712.91</v>
      </c>
      <c r="D32" s="22">
        <f>C32/$C$34</f>
        <v>2.7863052652614124E-3</v>
      </c>
      <c r="E32" s="124">
        <f>I16</f>
        <v>7.3113970556721988E-2</v>
      </c>
      <c r="F32" s="124"/>
      <c r="G32" t="s">
        <v>221</v>
      </c>
      <c r="K32" s="5">
        <f>E36</f>
        <v>7.8881295255509395E-2</v>
      </c>
    </row>
    <row r="33" spans="2:11">
      <c r="B33" t="s">
        <v>70</v>
      </c>
      <c r="C33" s="123">
        <f>F10</f>
        <v>255149.22</v>
      </c>
      <c r="D33" s="98">
        <f>C33/$C$34</f>
        <v>0.99721369473473853</v>
      </c>
      <c r="E33" s="5">
        <f>E34-E32</f>
        <v>0.92688602944327803</v>
      </c>
      <c r="F33" s="5"/>
      <c r="G33" t="s">
        <v>196</v>
      </c>
      <c r="K33" s="74">
        <f>E23</f>
        <v>0.3</v>
      </c>
    </row>
    <row r="34" spans="2:11">
      <c r="B34" s="85" t="s">
        <v>216</v>
      </c>
      <c r="C34" s="97">
        <f>SUM(C32:C33)</f>
        <v>255862.13</v>
      </c>
      <c r="D34" s="22">
        <f>C34/$C$34</f>
        <v>1</v>
      </c>
      <c r="E34" s="87">
        <f>D34</f>
        <v>1</v>
      </c>
      <c r="F34" s="5"/>
      <c r="G34" s="85" t="s">
        <v>217</v>
      </c>
      <c r="H34" s="85"/>
      <c r="I34" s="85"/>
      <c r="J34" s="85"/>
      <c r="K34" s="92">
        <f>K31*(1+(1-K33)*K32)</f>
        <v>0.87292882790951642</v>
      </c>
    </row>
    <row r="36" spans="2:11">
      <c r="B36" t="s">
        <v>219</v>
      </c>
      <c r="D36" s="89">
        <f>D32/D33</f>
        <v>2.7940904542055824E-3</v>
      </c>
      <c r="E36" s="89">
        <f>E32/E33</f>
        <v>7.8881295255509395E-2</v>
      </c>
      <c r="F36" s="5"/>
      <c r="G36" s="78" t="s">
        <v>220</v>
      </c>
      <c r="H36" s="78"/>
      <c r="I36" s="78"/>
      <c r="J36" s="78"/>
      <c r="K36" s="73"/>
    </row>
    <row r="38" spans="2:11">
      <c r="B38" s="99" t="s">
        <v>222</v>
      </c>
      <c r="G38" t="s">
        <v>205</v>
      </c>
      <c r="K38" s="5">
        <f>E24</f>
        <v>7.2072902739999681E-2</v>
      </c>
    </row>
    <row r="39" spans="2:11">
      <c r="B39" s="100" t="s">
        <v>223</v>
      </c>
      <c r="C39" s="100"/>
      <c r="D39" s="100"/>
      <c r="G39" t="s">
        <v>345</v>
      </c>
      <c r="K39" s="5">
        <f>E32</f>
        <v>7.3113970556721988E-2</v>
      </c>
    </row>
    <row r="40" spans="2:11">
      <c r="B40" s="100" t="s">
        <v>224</v>
      </c>
      <c r="C40" s="100"/>
      <c r="D40" s="100"/>
    </row>
    <row r="41" spans="2:11">
      <c r="B41" s="100" t="s">
        <v>225</v>
      </c>
      <c r="C41" s="100"/>
      <c r="D41" s="100"/>
      <c r="G41" t="s">
        <v>208</v>
      </c>
      <c r="K41" s="5">
        <f>K25</f>
        <v>0.14243665259493435</v>
      </c>
    </row>
    <row r="42" spans="2:11">
      <c r="B42" s="100" t="s">
        <v>226</v>
      </c>
      <c r="C42" s="100"/>
      <c r="D42" s="100"/>
      <c r="G42" t="s">
        <v>344</v>
      </c>
      <c r="K42" s="22">
        <f>E33</f>
        <v>0.92688602944327803</v>
      </c>
    </row>
    <row r="44" spans="2:11">
      <c r="G44" s="183" t="s">
        <v>343</v>
      </c>
      <c r="H44" s="183"/>
      <c r="I44" s="183"/>
      <c r="J44" s="183"/>
      <c r="K44" s="185">
        <f>(K38*K39)+(K41*K42)</f>
        <v>0.13729207945978011</v>
      </c>
    </row>
  </sheetData>
  <pageMargins left="0.7" right="0.7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U115"/>
  <sheetViews>
    <sheetView showGridLines="0" workbookViewId="0">
      <selection activeCell="B4" sqref="B4:D4"/>
    </sheetView>
  </sheetViews>
  <sheetFormatPr defaultColWidth="9.109375" defaultRowHeight="14.4"/>
  <cols>
    <col min="1" max="1" width="1.5546875" customWidth="1"/>
    <col min="2" max="3" width="15.33203125" bestFit="1" customWidth="1"/>
    <col min="4" max="4" width="8.5546875" bestFit="1" customWidth="1"/>
    <col min="6" max="6" width="14" bestFit="1" customWidth="1"/>
    <col min="7" max="7" width="10.88671875" bestFit="1" customWidth="1"/>
    <col min="8" max="8" width="10.109375" bestFit="1" customWidth="1"/>
    <col min="9" max="10" width="10.109375" customWidth="1"/>
    <col min="11" max="11" width="7.109375" bestFit="1" customWidth="1"/>
    <col min="12" max="12" width="10.109375" bestFit="1" customWidth="1"/>
    <col min="13" max="13" width="18.88671875" bestFit="1" customWidth="1"/>
    <col min="14" max="14" width="12" bestFit="1" customWidth="1"/>
    <col min="15" max="15" width="13.44140625" bestFit="1" customWidth="1"/>
    <col min="16" max="17" width="12" bestFit="1" customWidth="1"/>
    <col min="18" max="18" width="12.6640625" bestFit="1" customWidth="1"/>
    <col min="19" max="20" width="12" bestFit="1" customWidth="1"/>
    <col min="21" max="21" width="13.44140625" bestFit="1" customWidth="1"/>
    <col min="22" max="22" width="12" bestFit="1" customWidth="1"/>
    <col min="23" max="23" width="12.6640625" bestFit="1" customWidth="1"/>
    <col min="24" max="24" width="12.5546875" bestFit="1" customWidth="1"/>
  </cols>
  <sheetData>
    <row r="2" spans="2:16">
      <c r="B2" s="2" t="s">
        <v>270</v>
      </c>
    </row>
    <row r="4" spans="2:16">
      <c r="B4" s="282" t="s">
        <v>233</v>
      </c>
      <c r="C4" s="282"/>
      <c r="D4" s="282"/>
      <c r="F4" s="282" t="s">
        <v>236</v>
      </c>
      <c r="G4" s="282"/>
      <c r="H4" s="116"/>
      <c r="I4" s="282" t="s">
        <v>240</v>
      </c>
      <c r="J4" s="282"/>
      <c r="K4" s="116"/>
      <c r="M4" t="s">
        <v>237</v>
      </c>
      <c r="N4" s="66">
        <f>SLOPE(D8:D112,G8:G112)</f>
        <v>1.0290054550429841</v>
      </c>
    </row>
    <row r="5" spans="2:16">
      <c r="M5" t="s">
        <v>238</v>
      </c>
      <c r="N5" s="66">
        <f>COVAR(D7:D112,G7:G112)/VAR(G7:G112)</f>
        <v>1.0192054030901938</v>
      </c>
    </row>
    <row r="6" spans="2:16">
      <c r="B6" s="108" t="s">
        <v>230</v>
      </c>
      <c r="C6" s="109" t="s">
        <v>232</v>
      </c>
      <c r="D6" s="109" t="s">
        <v>234</v>
      </c>
      <c r="F6" s="108" t="s">
        <v>235</v>
      </c>
      <c r="G6" s="109" t="s">
        <v>234</v>
      </c>
      <c r="I6" s="119" t="s">
        <v>268</v>
      </c>
      <c r="J6" s="111"/>
      <c r="K6" s="66">
        <f>N5</f>
        <v>1.0192054030901938</v>
      </c>
    </row>
    <row r="7" spans="2:16">
      <c r="B7" s="104">
        <v>44956</v>
      </c>
      <c r="C7" s="107">
        <v>3470.35</v>
      </c>
      <c r="F7" s="113">
        <v>17854.05</v>
      </c>
      <c r="G7" s="110"/>
      <c r="I7" s="17" t="s">
        <v>241</v>
      </c>
      <c r="K7" s="22">
        <v>0.75</v>
      </c>
      <c r="M7" t="s">
        <v>239</v>
      </c>
      <c r="N7" s="66">
        <f>N29</f>
        <v>1.2421196304007405</v>
      </c>
    </row>
    <row r="8" spans="2:16">
      <c r="B8" s="104">
        <v>44963</v>
      </c>
      <c r="C8" s="107">
        <v>3498.85</v>
      </c>
      <c r="D8" s="22">
        <f t="shared" ref="D8:D39" si="0">C8/C7-1</f>
        <v>8.2124281412536693E-3</v>
      </c>
      <c r="F8" s="113">
        <v>17856.5</v>
      </c>
      <c r="G8" s="22">
        <f t="shared" ref="G8:G39" si="1">F8/F7-1</f>
        <v>1.372237671564136E-4</v>
      </c>
      <c r="H8" s="111"/>
      <c r="K8" s="111"/>
      <c r="L8" s="283"/>
      <c r="M8" s="283"/>
      <c r="N8" s="283"/>
      <c r="P8" s="283"/>
    </row>
    <row r="9" spans="2:16">
      <c r="B9" s="104">
        <v>44970</v>
      </c>
      <c r="C9" s="107">
        <v>3545</v>
      </c>
      <c r="D9" s="22">
        <f t="shared" si="0"/>
        <v>1.3190048158680634E-2</v>
      </c>
      <c r="F9" s="113">
        <v>17944.2</v>
      </c>
      <c r="G9" s="22">
        <f t="shared" si="1"/>
        <v>4.9113768095652155E-3</v>
      </c>
      <c r="H9" s="111"/>
      <c r="I9" t="s">
        <v>269</v>
      </c>
      <c r="K9" s="22">
        <v>0.25</v>
      </c>
      <c r="L9" s="283"/>
      <c r="M9" s="283"/>
      <c r="N9" s="283"/>
      <c r="P9" s="283"/>
    </row>
    <row r="10" spans="2:16">
      <c r="B10" s="104">
        <v>44977</v>
      </c>
      <c r="C10" s="107">
        <v>3499.2</v>
      </c>
      <c r="D10" s="22">
        <f t="shared" si="0"/>
        <v>-1.2919605077574059E-2</v>
      </c>
      <c r="F10" s="113">
        <v>17465.8</v>
      </c>
      <c r="G10" s="22">
        <f t="shared" si="1"/>
        <v>-2.6660425095574092E-2</v>
      </c>
      <c r="H10" s="113"/>
      <c r="I10" s="17" t="s">
        <v>243</v>
      </c>
      <c r="J10" s="111"/>
      <c r="K10" s="120">
        <v>1</v>
      </c>
      <c r="L10" s="113"/>
      <c r="M10" s="113"/>
      <c r="N10" s="113"/>
      <c r="P10" s="114"/>
    </row>
    <row r="11" spans="2:16">
      <c r="B11" s="104">
        <v>44984</v>
      </c>
      <c r="C11" s="107">
        <v>3463.25</v>
      </c>
      <c r="D11" s="22">
        <f t="shared" si="0"/>
        <v>-1.0273776863283013E-2</v>
      </c>
      <c r="F11" s="113">
        <v>17594.349999999999</v>
      </c>
      <c r="G11" s="22">
        <f t="shared" si="1"/>
        <v>7.360098020130712E-3</v>
      </c>
      <c r="H11" s="113"/>
      <c r="I11" s="113"/>
      <c r="J11" s="113"/>
      <c r="K11" s="113"/>
      <c r="L11" s="113"/>
      <c r="M11" s="113"/>
      <c r="N11" s="113"/>
      <c r="P11" s="115"/>
    </row>
    <row r="12" spans="2:16">
      <c r="B12" s="104">
        <v>44991</v>
      </c>
      <c r="C12" s="107">
        <v>3391.85</v>
      </c>
      <c r="D12" s="22">
        <f t="shared" si="0"/>
        <v>-2.061647296614455E-2</v>
      </c>
      <c r="F12" s="113">
        <v>17412.900000000001</v>
      </c>
      <c r="G12" s="22">
        <f t="shared" si="1"/>
        <v>-1.0312969788596749E-2</v>
      </c>
      <c r="H12" s="113"/>
      <c r="I12" s="121" t="s">
        <v>245</v>
      </c>
      <c r="J12" s="122"/>
      <c r="K12" s="122">
        <f>(K6*K7)+(K9*K10)</f>
        <v>1.0144040523176454</v>
      </c>
      <c r="L12" s="113"/>
      <c r="M12" t="s">
        <v>242</v>
      </c>
    </row>
    <row r="13" spans="2:16" ht="15" thickBot="1">
      <c r="B13" s="104">
        <v>44998</v>
      </c>
      <c r="C13" s="107">
        <v>3311.3</v>
      </c>
      <c r="D13" s="22">
        <f t="shared" si="0"/>
        <v>-2.3748102068192778E-2</v>
      </c>
      <c r="F13" s="113">
        <v>17100.05</v>
      </c>
      <c r="G13" s="22">
        <f t="shared" si="1"/>
        <v>-1.796656501788918E-2</v>
      </c>
      <c r="H13" s="113"/>
      <c r="I13" s="113"/>
      <c r="J13" s="113"/>
      <c r="K13" s="113"/>
      <c r="L13" s="113"/>
    </row>
    <row r="14" spans="2:16">
      <c r="B14" s="104">
        <v>45005</v>
      </c>
      <c r="C14" s="107">
        <v>3358.4</v>
      </c>
      <c r="D14" s="22">
        <f t="shared" si="0"/>
        <v>1.4224020777338087E-2</v>
      </c>
      <c r="F14" s="113">
        <v>16945.05</v>
      </c>
      <c r="G14" s="22">
        <f t="shared" si="1"/>
        <v>-9.0643009815760678E-3</v>
      </c>
      <c r="H14" s="113"/>
      <c r="I14" s="113"/>
      <c r="J14" s="113"/>
      <c r="K14" s="113"/>
      <c r="L14" s="113"/>
      <c r="M14" s="118" t="s">
        <v>244</v>
      </c>
      <c r="N14" s="118"/>
    </row>
    <row r="15" spans="2:16">
      <c r="B15" s="104">
        <v>45012</v>
      </c>
      <c r="C15" s="107">
        <v>3401.05</v>
      </c>
      <c r="D15" s="22">
        <f t="shared" si="0"/>
        <v>1.26994997617913E-2</v>
      </c>
      <c r="F15" s="113">
        <v>17359.75</v>
      </c>
      <c r="G15" s="22">
        <f t="shared" si="1"/>
        <v>2.4473223743807226E-2</v>
      </c>
      <c r="H15" s="113"/>
      <c r="I15" s="113"/>
      <c r="J15" s="113"/>
      <c r="K15" s="113"/>
      <c r="L15" s="113"/>
      <c r="M15" t="s">
        <v>246</v>
      </c>
      <c r="N15">
        <v>0.51108084476327509</v>
      </c>
    </row>
    <row r="16" spans="2:16">
      <c r="B16" s="104">
        <v>45019</v>
      </c>
      <c r="C16" s="107">
        <v>3496.1</v>
      </c>
      <c r="D16" s="22">
        <f t="shared" si="0"/>
        <v>2.7947251584069521E-2</v>
      </c>
      <c r="F16" s="113">
        <v>17599.150000000001</v>
      </c>
      <c r="G16" s="22">
        <f t="shared" si="1"/>
        <v>1.3790521176860304E-2</v>
      </c>
      <c r="H16" s="113"/>
      <c r="I16" s="113"/>
      <c r="J16" s="113"/>
      <c r="K16" s="113"/>
      <c r="L16" s="113"/>
      <c r="M16" t="s">
        <v>247</v>
      </c>
      <c r="N16">
        <v>0.26120362988394291</v>
      </c>
    </row>
    <row r="17" spans="2:21">
      <c r="B17" s="104">
        <v>45026</v>
      </c>
      <c r="C17" s="107">
        <v>3501.05</v>
      </c>
      <c r="D17" s="22">
        <f t="shared" si="0"/>
        <v>1.4158633906353746E-3</v>
      </c>
      <c r="F17" s="113">
        <v>17828</v>
      </c>
      <c r="G17" s="22">
        <f t="shared" si="1"/>
        <v>1.3003468917532901E-2</v>
      </c>
      <c r="H17" s="113"/>
      <c r="I17" s="113"/>
      <c r="J17" s="113"/>
      <c r="K17" s="113"/>
      <c r="L17" s="113"/>
      <c r="M17" t="s">
        <v>248</v>
      </c>
      <c r="N17">
        <v>0.2539605282161384</v>
      </c>
    </row>
    <row r="18" spans="2:21">
      <c r="B18" s="104">
        <v>45033</v>
      </c>
      <c r="C18" s="107">
        <v>3455.9</v>
      </c>
      <c r="D18" s="22">
        <f t="shared" si="0"/>
        <v>-1.2896131160651803E-2</v>
      </c>
      <c r="F18" s="113">
        <v>17624.05</v>
      </c>
      <c r="G18" s="22">
        <f t="shared" si="1"/>
        <v>-1.143986986762402E-2</v>
      </c>
      <c r="H18" s="113"/>
      <c r="I18" s="113"/>
      <c r="J18" s="113"/>
      <c r="K18" s="113"/>
      <c r="L18" s="113"/>
      <c r="M18" t="s">
        <v>249</v>
      </c>
      <c r="N18">
        <v>4.2285168880719627E-2</v>
      </c>
    </row>
    <row r="19" spans="2:21" ht="15" thickBot="1">
      <c r="B19" s="104">
        <v>45040</v>
      </c>
      <c r="C19" s="107">
        <v>3511.95</v>
      </c>
      <c r="D19" s="22">
        <f t="shared" si="0"/>
        <v>1.6218640585665023E-2</v>
      </c>
      <c r="F19" s="113">
        <v>18065</v>
      </c>
      <c r="G19" s="22">
        <f t="shared" si="1"/>
        <v>2.5019788300645995E-2</v>
      </c>
      <c r="H19" s="113"/>
      <c r="I19" s="113"/>
      <c r="J19" s="113"/>
      <c r="K19" s="113"/>
      <c r="L19" s="113"/>
      <c r="M19" s="117" t="s">
        <v>250</v>
      </c>
      <c r="N19" s="117">
        <v>104</v>
      </c>
    </row>
    <row r="20" spans="2:21">
      <c r="B20" s="104">
        <v>45047</v>
      </c>
      <c r="C20" s="107">
        <v>3598.2</v>
      </c>
      <c r="D20" s="22">
        <f t="shared" si="0"/>
        <v>2.4559005680604873E-2</v>
      </c>
      <c r="F20" s="113">
        <v>18069</v>
      </c>
      <c r="G20" s="22">
        <f t="shared" si="1"/>
        <v>2.2142264046509652E-4</v>
      </c>
      <c r="H20" s="113"/>
      <c r="I20" s="113"/>
      <c r="J20" s="113"/>
      <c r="K20" s="113"/>
      <c r="L20" s="113"/>
    </row>
    <row r="21" spans="2:21" ht="15" thickBot="1">
      <c r="B21" s="104">
        <v>45054</v>
      </c>
      <c r="C21" s="107">
        <v>3677.55</v>
      </c>
      <c r="D21" s="22">
        <f t="shared" si="0"/>
        <v>2.2052693013173252E-2</v>
      </c>
      <c r="F21" s="113">
        <v>18314.8</v>
      </c>
      <c r="G21" s="22">
        <f t="shared" si="1"/>
        <v>1.3603409153799317E-2</v>
      </c>
      <c r="H21" s="113"/>
      <c r="I21" s="113"/>
      <c r="J21" s="113"/>
      <c r="K21" s="113"/>
      <c r="L21" s="113"/>
      <c r="M21" t="s">
        <v>251</v>
      </c>
    </row>
    <row r="22" spans="2:21">
      <c r="B22" s="104">
        <v>45061</v>
      </c>
      <c r="C22" s="107">
        <v>3395.25</v>
      </c>
      <c r="D22" s="22">
        <f t="shared" si="0"/>
        <v>-7.6763062364889723E-2</v>
      </c>
      <c r="F22" s="113">
        <v>18203.400000000001</v>
      </c>
      <c r="G22" s="22">
        <f t="shared" si="1"/>
        <v>-6.0825125035489647E-3</v>
      </c>
      <c r="H22" s="113"/>
      <c r="I22" s="113"/>
      <c r="J22" s="113"/>
      <c r="K22" s="113"/>
      <c r="L22" s="113"/>
      <c r="M22" s="118"/>
      <c r="N22" s="118" t="s">
        <v>252</v>
      </c>
      <c r="O22" s="118" t="s">
        <v>253</v>
      </c>
      <c r="P22" s="118" t="s">
        <v>254</v>
      </c>
      <c r="Q22" s="118" t="s">
        <v>255</v>
      </c>
      <c r="R22" s="118" t="s">
        <v>256</v>
      </c>
    </row>
    <row r="23" spans="2:21">
      <c r="B23" s="104">
        <v>45068</v>
      </c>
      <c r="C23" s="107">
        <v>3501.75</v>
      </c>
      <c r="D23" s="22">
        <f t="shared" si="0"/>
        <v>3.1367351446874414E-2</v>
      </c>
      <c r="F23" s="113">
        <v>18499.349999999999</v>
      </c>
      <c r="G23" s="22">
        <f t="shared" si="1"/>
        <v>1.6257951811200044E-2</v>
      </c>
      <c r="H23" s="113"/>
      <c r="I23" s="113"/>
      <c r="J23" s="113"/>
      <c r="K23" s="113"/>
      <c r="L23" s="113"/>
      <c r="M23" t="s">
        <v>257</v>
      </c>
      <c r="N23">
        <v>1</v>
      </c>
      <c r="O23">
        <v>6.4480851751198193E-2</v>
      </c>
      <c r="P23">
        <v>6.4480851751198193E-2</v>
      </c>
      <c r="Q23">
        <v>36.062400041268319</v>
      </c>
      <c r="R23">
        <v>2.9630301858897445E-8</v>
      </c>
    </row>
    <row r="24" spans="2:21">
      <c r="B24" s="104">
        <v>45075</v>
      </c>
      <c r="C24" s="107">
        <v>3531.6</v>
      </c>
      <c r="D24" s="22">
        <f t="shared" si="0"/>
        <v>8.5243092739344384E-3</v>
      </c>
      <c r="F24" s="113">
        <v>18534.099999999999</v>
      </c>
      <c r="G24" s="22">
        <f t="shared" si="1"/>
        <v>1.8784443777755122E-3</v>
      </c>
      <c r="H24" s="113"/>
      <c r="I24" s="113"/>
      <c r="J24" s="113"/>
      <c r="K24" s="113"/>
      <c r="L24" s="113"/>
      <c r="M24" t="s">
        <v>258</v>
      </c>
      <c r="N24">
        <v>102</v>
      </c>
      <c r="O24">
        <v>0.18237962174163994</v>
      </c>
      <c r="P24">
        <v>1.7880355072709797E-3</v>
      </c>
    </row>
    <row r="25" spans="2:21" ht="15" thickBot="1">
      <c r="B25" s="104">
        <v>45082</v>
      </c>
      <c r="C25" s="107">
        <v>3632.1</v>
      </c>
      <c r="D25" s="22">
        <f t="shared" si="0"/>
        <v>2.8457356439007819E-2</v>
      </c>
      <c r="F25" s="113">
        <v>18563.400000000001</v>
      </c>
      <c r="G25" s="22">
        <f t="shared" si="1"/>
        <v>1.5808698561032841E-3</v>
      </c>
      <c r="H25" s="113"/>
      <c r="I25" s="113"/>
      <c r="J25" s="113"/>
      <c r="K25" s="113"/>
      <c r="L25" s="113"/>
      <c r="M25" s="117" t="s">
        <v>26</v>
      </c>
      <c r="N25" s="117">
        <v>103</v>
      </c>
      <c r="O25" s="117">
        <v>0.24686047349283813</v>
      </c>
      <c r="P25" s="117"/>
      <c r="Q25" s="117"/>
      <c r="R25" s="117"/>
    </row>
    <row r="26" spans="2:21" ht="15" thickBot="1">
      <c r="B26" s="104">
        <v>45089</v>
      </c>
      <c r="C26" s="107">
        <v>4085.6</v>
      </c>
      <c r="D26" s="22">
        <f t="shared" si="0"/>
        <v>0.1248588970567992</v>
      </c>
      <c r="F26" s="113">
        <v>18826</v>
      </c>
      <c r="G26" s="22">
        <f t="shared" si="1"/>
        <v>1.4146115474535925E-2</v>
      </c>
      <c r="H26" s="113"/>
      <c r="I26" s="113"/>
      <c r="J26" s="113"/>
      <c r="K26" s="113"/>
      <c r="L26" s="113"/>
    </row>
    <row r="27" spans="2:21">
      <c r="B27" s="104">
        <v>45096</v>
      </c>
      <c r="C27" s="107">
        <v>3744.05</v>
      </c>
      <c r="D27" s="22">
        <f t="shared" si="0"/>
        <v>-8.3598492265517854E-2</v>
      </c>
      <c r="F27" s="113">
        <v>18665.5</v>
      </c>
      <c r="G27" s="22">
        <f t="shared" si="1"/>
        <v>-8.5254435355359703E-3</v>
      </c>
      <c r="H27" s="113"/>
      <c r="I27" s="113"/>
      <c r="J27" s="113"/>
      <c r="K27" s="113"/>
      <c r="L27" s="113"/>
      <c r="M27" s="118"/>
      <c r="N27" s="118" t="s">
        <v>259</v>
      </c>
      <c r="O27" s="118" t="s">
        <v>249</v>
      </c>
      <c r="P27" s="118" t="s">
        <v>260</v>
      </c>
      <c r="Q27" s="118" t="s">
        <v>261</v>
      </c>
      <c r="R27" s="118" t="s">
        <v>262</v>
      </c>
      <c r="S27" s="118" t="s">
        <v>263</v>
      </c>
      <c r="T27" s="118" t="s">
        <v>264</v>
      </c>
      <c r="U27" s="118" t="s">
        <v>265</v>
      </c>
    </row>
    <row r="28" spans="2:21">
      <c r="B28" s="104">
        <v>45103</v>
      </c>
      <c r="C28" s="107">
        <v>3889.2</v>
      </c>
      <c r="D28" s="22">
        <f t="shared" si="0"/>
        <v>3.8768178843765266E-2</v>
      </c>
      <c r="F28" s="113">
        <v>19189.05</v>
      </c>
      <c r="G28" s="22">
        <f t="shared" si="1"/>
        <v>2.8049074495727355E-2</v>
      </c>
      <c r="H28" s="113"/>
      <c r="I28" s="113"/>
      <c r="J28" s="113"/>
      <c r="K28" s="113"/>
      <c r="L28" s="113"/>
      <c r="M28" t="s">
        <v>266</v>
      </c>
      <c r="N28">
        <v>1.0669115618811139E-4</v>
      </c>
      <c r="O28">
        <v>4.1708464646725736E-3</v>
      </c>
      <c r="P28">
        <v>2.5580216651894194E-2</v>
      </c>
      <c r="Q28">
        <v>0.97964214464629351</v>
      </c>
      <c r="R28">
        <v>-8.166163030683694E-3</v>
      </c>
      <c r="S28">
        <v>8.3795453430599177E-3</v>
      </c>
      <c r="T28">
        <v>-8.166163030683694E-3</v>
      </c>
      <c r="U28">
        <v>8.3795453430599177E-3</v>
      </c>
    </row>
    <row r="29" spans="2:21" ht="15" thickBot="1">
      <c r="B29" s="104">
        <v>45110</v>
      </c>
      <c r="C29" s="107">
        <v>3808.95</v>
      </c>
      <c r="D29" s="22">
        <f t="shared" si="0"/>
        <v>-2.0634063560629468E-2</v>
      </c>
      <c r="F29" s="113">
        <v>19331.8</v>
      </c>
      <c r="G29" s="22">
        <f t="shared" si="1"/>
        <v>7.4391384669902916E-3</v>
      </c>
      <c r="H29" s="113"/>
      <c r="I29" s="113"/>
      <c r="J29" s="113"/>
      <c r="K29" s="113"/>
      <c r="L29" s="113"/>
      <c r="M29" s="117" t="s">
        <v>267</v>
      </c>
      <c r="N29" s="117">
        <v>1.2421196304007405</v>
      </c>
      <c r="O29" s="117">
        <v>0.20684075390789466</v>
      </c>
      <c r="P29" s="117">
        <v>6.0051977520535011</v>
      </c>
      <c r="Q29" s="117">
        <v>2.9630301858896244E-8</v>
      </c>
      <c r="R29" s="117">
        <v>0.83185197574685965</v>
      </c>
      <c r="S29" s="117">
        <v>1.6523872850546213</v>
      </c>
      <c r="T29" s="117">
        <v>0.83185197574685965</v>
      </c>
      <c r="U29" s="117">
        <v>1.6523872850546213</v>
      </c>
    </row>
    <row r="30" spans="2:21">
      <c r="B30" s="104">
        <v>45117</v>
      </c>
      <c r="C30" s="107">
        <v>3838.75</v>
      </c>
      <c r="D30" s="22">
        <f t="shared" si="0"/>
        <v>7.8236784415652849E-3</v>
      </c>
      <c r="F30" s="113">
        <v>19564.5</v>
      </c>
      <c r="G30" s="22">
        <f t="shared" si="1"/>
        <v>1.2037161567986399E-2</v>
      </c>
      <c r="H30" s="113"/>
      <c r="I30" s="113"/>
      <c r="J30" s="113"/>
      <c r="K30" s="113"/>
      <c r="L30" s="113"/>
    </row>
    <row r="31" spans="2:21">
      <c r="B31" s="104">
        <v>45124</v>
      </c>
      <c r="C31" s="107">
        <v>3675.7</v>
      </c>
      <c r="D31" s="22">
        <f t="shared" si="0"/>
        <v>-4.2474763920547054E-2</v>
      </c>
      <c r="F31" s="113">
        <v>19745</v>
      </c>
      <c r="G31" s="22">
        <f t="shared" si="1"/>
        <v>9.225893838329613E-3</v>
      </c>
      <c r="H31" s="113"/>
      <c r="I31" s="113"/>
      <c r="J31" s="113"/>
      <c r="K31" s="113"/>
      <c r="L31" s="113"/>
    </row>
    <row r="32" spans="2:21">
      <c r="B32" s="104">
        <v>45131</v>
      </c>
      <c r="C32" s="107">
        <v>3713.9</v>
      </c>
      <c r="D32" s="22">
        <f t="shared" si="0"/>
        <v>1.0392578284408538E-2</v>
      </c>
      <c r="F32" s="113">
        <v>19646.05</v>
      </c>
      <c r="G32" s="22">
        <f t="shared" si="1"/>
        <v>-5.0113952899468739E-3</v>
      </c>
      <c r="H32" s="113"/>
      <c r="I32" s="113"/>
      <c r="J32" s="113"/>
      <c r="K32" s="113"/>
      <c r="L32" s="113"/>
    </row>
    <row r="33" spans="2:16">
      <c r="B33" s="104">
        <v>45138</v>
      </c>
      <c r="C33" s="107">
        <v>3652.1</v>
      </c>
      <c r="D33" s="22">
        <f t="shared" si="0"/>
        <v>-1.6640189558146501E-2</v>
      </c>
      <c r="F33" s="113">
        <v>19517</v>
      </c>
      <c r="G33" s="22">
        <f t="shared" si="1"/>
        <v>-6.568750461288575E-3</v>
      </c>
      <c r="H33" s="113"/>
      <c r="I33" s="113"/>
      <c r="J33" s="113"/>
      <c r="K33" s="113"/>
      <c r="L33" s="113"/>
    </row>
    <row r="34" spans="2:16">
      <c r="B34" s="104">
        <v>45145</v>
      </c>
      <c r="C34" s="107">
        <v>3550.05</v>
      </c>
      <c r="D34" s="22">
        <f t="shared" si="0"/>
        <v>-2.7942827414364269E-2</v>
      </c>
      <c r="F34" s="113">
        <v>19428.3</v>
      </c>
      <c r="G34" s="22">
        <f t="shared" si="1"/>
        <v>-4.5447558538710409E-3</v>
      </c>
      <c r="H34" s="113"/>
      <c r="I34" s="113"/>
      <c r="J34" s="113"/>
      <c r="K34" s="113"/>
      <c r="L34" s="113"/>
    </row>
    <row r="35" spans="2:16">
      <c r="B35" s="104">
        <v>45152</v>
      </c>
      <c r="C35" s="107">
        <v>3540.95</v>
      </c>
      <c r="D35" s="22">
        <f t="shared" si="0"/>
        <v>-2.5633441782511035E-3</v>
      </c>
      <c r="F35" s="113">
        <v>19310.150000000001</v>
      </c>
      <c r="G35" s="22">
        <f t="shared" si="1"/>
        <v>-6.0813349598265454E-3</v>
      </c>
      <c r="H35" s="113"/>
      <c r="I35" s="113"/>
      <c r="J35" s="113"/>
      <c r="K35" s="113"/>
      <c r="L35" s="113"/>
    </row>
    <row r="36" spans="2:16">
      <c r="B36" s="104">
        <v>45159</v>
      </c>
      <c r="C36" s="107">
        <v>3534.6</v>
      </c>
      <c r="D36" s="22">
        <f t="shared" si="0"/>
        <v>-1.7933040568208769E-3</v>
      </c>
      <c r="F36" s="113">
        <v>19265.8</v>
      </c>
      <c r="G36" s="22">
        <f t="shared" si="1"/>
        <v>-2.2967196008317758E-3</v>
      </c>
      <c r="H36" s="113"/>
      <c r="I36" s="113"/>
      <c r="J36" s="113"/>
      <c r="K36" s="113"/>
      <c r="L36" s="113"/>
      <c r="M36" s="113"/>
      <c r="N36" s="113"/>
      <c r="P36" s="115"/>
    </row>
    <row r="37" spans="2:16">
      <c r="B37" s="104">
        <v>45166</v>
      </c>
      <c r="C37" s="107">
        <v>3761.05</v>
      </c>
      <c r="D37" s="22">
        <f t="shared" si="0"/>
        <v>6.4066655349968915E-2</v>
      </c>
      <c r="F37" s="113">
        <v>19435.3</v>
      </c>
      <c r="G37" s="22">
        <f t="shared" si="1"/>
        <v>8.7979736112697715E-3</v>
      </c>
      <c r="H37" s="113"/>
      <c r="I37" s="113"/>
      <c r="J37" s="113"/>
      <c r="K37" s="113"/>
      <c r="L37" s="113"/>
      <c r="M37" s="113"/>
      <c r="N37" s="113"/>
      <c r="P37" s="115"/>
    </row>
    <row r="38" spans="2:16">
      <c r="B38" s="104">
        <v>45173</v>
      </c>
      <c r="C38" s="107">
        <v>3782.4</v>
      </c>
      <c r="D38" s="22">
        <f t="shared" si="0"/>
        <v>5.6766062668669459E-3</v>
      </c>
      <c r="F38" s="113">
        <v>19819.95</v>
      </c>
      <c r="G38" s="22">
        <f t="shared" si="1"/>
        <v>1.9791307569216876E-2</v>
      </c>
      <c r="H38" s="113"/>
      <c r="I38" s="113"/>
      <c r="J38" s="113"/>
      <c r="K38" s="113"/>
      <c r="L38" s="113"/>
      <c r="M38" s="113"/>
      <c r="N38" s="113"/>
      <c r="P38" s="115"/>
    </row>
    <row r="39" spans="2:16">
      <c r="B39" s="104">
        <v>45180</v>
      </c>
      <c r="C39" s="107">
        <v>3796</v>
      </c>
      <c r="D39" s="22">
        <f t="shared" si="0"/>
        <v>3.5956006768189663E-3</v>
      </c>
      <c r="F39" s="113">
        <v>20192.349999999999</v>
      </c>
      <c r="G39" s="22">
        <f t="shared" si="1"/>
        <v>1.8789149316723597E-2</v>
      </c>
      <c r="H39" s="113"/>
      <c r="I39" s="113"/>
      <c r="J39" s="113"/>
      <c r="K39" s="113"/>
      <c r="L39" s="113"/>
      <c r="M39" s="113"/>
      <c r="N39" s="113"/>
      <c r="P39" s="115"/>
    </row>
    <row r="40" spans="2:16">
      <c r="B40" s="104">
        <v>45187</v>
      </c>
      <c r="C40" s="107">
        <v>3689.1</v>
      </c>
      <c r="D40" s="22">
        <f t="shared" ref="D40:D71" si="2">C40/C39-1</f>
        <v>-2.8161222339304515E-2</v>
      </c>
      <c r="F40" s="113">
        <v>19674.25</v>
      </c>
      <c r="G40" s="22">
        <f t="shared" ref="G40:G71" si="3">F40/F39-1</f>
        <v>-2.5658231954180599E-2</v>
      </c>
      <c r="H40" s="113"/>
      <c r="I40" s="113"/>
      <c r="J40" s="113"/>
      <c r="K40" s="113"/>
      <c r="L40" s="113"/>
      <c r="M40" s="113"/>
      <c r="N40" s="113"/>
      <c r="P40" s="115"/>
    </row>
    <row r="41" spans="2:16">
      <c r="B41" s="104">
        <v>45194</v>
      </c>
      <c r="C41" s="107">
        <v>3675.6</v>
      </c>
      <c r="D41" s="22">
        <f t="shared" si="2"/>
        <v>-3.6594291290558134E-3</v>
      </c>
      <c r="F41" s="113">
        <v>19638.3</v>
      </c>
      <c r="G41" s="22">
        <f t="shared" si="3"/>
        <v>-1.8272615220402688E-3</v>
      </c>
      <c r="H41" s="113"/>
      <c r="I41" s="113"/>
      <c r="J41" s="113"/>
      <c r="K41" s="113"/>
      <c r="L41" s="113"/>
      <c r="M41" s="113"/>
      <c r="N41" s="113"/>
      <c r="P41" s="115"/>
    </row>
    <row r="42" spans="2:16">
      <c r="B42" s="104">
        <v>45201</v>
      </c>
      <c r="C42" s="107">
        <v>3833.95</v>
      </c>
      <c r="D42" s="22">
        <f t="shared" si="2"/>
        <v>4.3081401675916897E-2</v>
      </c>
      <c r="F42" s="113">
        <v>19653.5</v>
      </c>
      <c r="G42" s="22">
        <f t="shared" si="3"/>
        <v>7.7399774929598486E-4</v>
      </c>
      <c r="H42" s="113"/>
      <c r="I42" s="113"/>
      <c r="J42" s="113"/>
      <c r="K42" s="113"/>
      <c r="L42" s="113"/>
      <c r="M42" s="113"/>
      <c r="N42" s="113"/>
      <c r="P42" s="115"/>
    </row>
    <row r="43" spans="2:16">
      <c r="B43" s="104">
        <v>45208</v>
      </c>
      <c r="C43" s="107">
        <v>3935.85</v>
      </c>
      <c r="D43" s="22">
        <f t="shared" si="2"/>
        <v>2.6578333050770064E-2</v>
      </c>
      <c r="F43" s="113">
        <v>19751.05</v>
      </c>
      <c r="G43" s="22">
        <f t="shared" si="3"/>
        <v>4.9634925076957881E-3</v>
      </c>
      <c r="H43" s="113"/>
      <c r="I43" s="113"/>
      <c r="J43" s="113"/>
      <c r="K43" s="113"/>
      <c r="L43" s="113"/>
      <c r="M43" s="113"/>
      <c r="N43" s="113"/>
      <c r="P43" s="115"/>
    </row>
    <row r="44" spans="2:16">
      <c r="B44" s="104">
        <v>45215</v>
      </c>
      <c r="C44" s="107">
        <v>3749.5</v>
      </c>
      <c r="D44" s="22">
        <f t="shared" si="2"/>
        <v>-4.7346824701144596E-2</v>
      </c>
      <c r="F44" s="113">
        <v>19542.650000000001</v>
      </c>
      <c r="G44" s="22">
        <f t="shared" si="3"/>
        <v>-1.0551337776978809E-2</v>
      </c>
      <c r="H44" s="113"/>
      <c r="I44" s="113"/>
      <c r="J44" s="113"/>
      <c r="K44" s="113"/>
      <c r="L44" s="113"/>
      <c r="M44" s="113"/>
      <c r="N44" s="113"/>
      <c r="P44" s="115"/>
    </row>
    <row r="45" spans="2:16">
      <c r="B45" s="104">
        <v>45222</v>
      </c>
      <c r="C45" s="107">
        <v>3665.45</v>
      </c>
      <c r="D45" s="22">
        <f t="shared" si="2"/>
        <v>-2.2416322176290193E-2</v>
      </c>
      <c r="F45" s="113">
        <v>19047.25</v>
      </c>
      <c r="G45" s="22">
        <f t="shared" si="3"/>
        <v>-2.5349683896503383E-2</v>
      </c>
      <c r="H45" s="113"/>
      <c r="I45" s="113"/>
      <c r="J45" s="113"/>
      <c r="K45" s="113"/>
      <c r="L45" s="113"/>
      <c r="M45" s="113"/>
      <c r="N45" s="113"/>
      <c r="P45" s="115"/>
    </row>
    <row r="46" spans="2:16">
      <c r="B46" s="104">
        <v>45229</v>
      </c>
      <c r="C46" s="107">
        <v>3649.7</v>
      </c>
      <c r="D46" s="22">
        <f t="shared" si="2"/>
        <v>-4.2968803284726409E-3</v>
      </c>
      <c r="F46" s="113">
        <v>19230.599999999999</v>
      </c>
      <c r="G46" s="22">
        <f t="shared" si="3"/>
        <v>9.6260615049414966E-3</v>
      </c>
      <c r="H46" s="113"/>
      <c r="I46" s="113"/>
      <c r="J46" s="113"/>
      <c r="K46" s="113"/>
      <c r="L46" s="113"/>
      <c r="M46" s="113"/>
      <c r="N46" s="113"/>
      <c r="P46" s="115"/>
    </row>
    <row r="47" spans="2:16">
      <c r="B47" s="104">
        <v>45236</v>
      </c>
      <c r="C47" s="107">
        <v>3798.4</v>
      </c>
      <c r="D47" s="22">
        <f t="shared" si="2"/>
        <v>4.0743074773269106E-2</v>
      </c>
      <c r="F47" s="113">
        <v>19425.349999999999</v>
      </c>
      <c r="G47" s="22">
        <f t="shared" si="3"/>
        <v>1.0127089118384225E-2</v>
      </c>
      <c r="H47" s="113"/>
      <c r="I47" s="113"/>
      <c r="J47" s="113"/>
      <c r="K47" s="113"/>
      <c r="L47" s="113"/>
      <c r="M47" s="113"/>
      <c r="N47" s="113"/>
      <c r="P47" s="115"/>
    </row>
    <row r="48" spans="2:16">
      <c r="B48" s="104">
        <v>45243</v>
      </c>
      <c r="C48" s="107">
        <v>3810.9</v>
      </c>
      <c r="D48" s="22">
        <f t="shared" si="2"/>
        <v>3.2908593091827143E-3</v>
      </c>
      <c r="F48" s="113">
        <v>19731.8</v>
      </c>
      <c r="G48" s="22">
        <f t="shared" si="3"/>
        <v>1.5775777527818002E-2</v>
      </c>
      <c r="H48" s="113"/>
      <c r="I48" s="113"/>
      <c r="J48" s="113"/>
      <c r="K48" s="113"/>
      <c r="L48" s="113"/>
      <c r="M48" s="113"/>
      <c r="N48" s="113"/>
      <c r="P48" s="115"/>
    </row>
    <row r="49" spans="2:16">
      <c r="B49" s="104">
        <v>45250</v>
      </c>
      <c r="C49" s="107">
        <v>3842.9</v>
      </c>
      <c r="D49" s="22">
        <f t="shared" si="2"/>
        <v>8.3969665958172346E-3</v>
      </c>
      <c r="F49" s="113">
        <v>19794.7</v>
      </c>
      <c r="G49" s="22">
        <f t="shared" si="3"/>
        <v>3.1877476966115648E-3</v>
      </c>
      <c r="H49" s="113"/>
      <c r="I49" s="113"/>
      <c r="J49" s="113"/>
      <c r="K49" s="113"/>
      <c r="L49" s="113"/>
      <c r="M49" s="113"/>
      <c r="N49" s="113"/>
      <c r="P49" s="115"/>
    </row>
    <row r="50" spans="2:16">
      <c r="B50" s="104">
        <v>45257</v>
      </c>
      <c r="C50" s="107">
        <v>3988.4</v>
      </c>
      <c r="D50" s="22">
        <f t="shared" si="2"/>
        <v>3.7862031278461661E-2</v>
      </c>
      <c r="F50" s="113">
        <v>20267.900000000001</v>
      </c>
      <c r="G50" s="22">
        <f t="shared" si="3"/>
        <v>2.3905388816198414E-2</v>
      </c>
      <c r="H50" s="113"/>
      <c r="I50" s="113"/>
      <c r="J50" s="113"/>
      <c r="K50" s="113"/>
      <c r="L50" s="113"/>
      <c r="M50" s="113"/>
      <c r="N50" s="113"/>
      <c r="P50" s="115"/>
    </row>
    <row r="51" spans="2:16">
      <c r="B51" s="104">
        <v>45264</v>
      </c>
      <c r="C51" s="107">
        <v>4070.65</v>
      </c>
      <c r="D51" s="22">
        <f t="shared" si="2"/>
        <v>2.0622304683582282E-2</v>
      </c>
      <c r="F51" s="113">
        <v>20969.400000000001</v>
      </c>
      <c r="G51" s="22">
        <f t="shared" si="3"/>
        <v>3.4611380557433069E-2</v>
      </c>
      <c r="H51" s="113"/>
      <c r="I51" s="113"/>
      <c r="J51" s="113"/>
      <c r="K51" s="113"/>
      <c r="L51" s="113"/>
      <c r="M51" s="113"/>
      <c r="N51" s="113"/>
      <c r="P51" s="115"/>
    </row>
    <row r="52" spans="2:16">
      <c r="B52" s="104">
        <v>45271</v>
      </c>
      <c r="C52" s="107">
        <v>4045.65</v>
      </c>
      <c r="D52" s="22">
        <f t="shared" si="2"/>
        <v>-6.1415253092258482E-3</v>
      </c>
      <c r="F52" s="113">
        <v>21456.65</v>
      </c>
      <c r="G52" s="22">
        <f t="shared" si="3"/>
        <v>2.3236239472755438E-2</v>
      </c>
      <c r="H52" s="113"/>
      <c r="I52" s="113"/>
      <c r="J52" s="113"/>
      <c r="K52" s="113"/>
      <c r="L52" s="113"/>
      <c r="M52" s="113"/>
      <c r="N52" s="113"/>
      <c r="P52" s="115"/>
    </row>
    <row r="53" spans="2:16">
      <c r="B53" s="104">
        <v>45278</v>
      </c>
      <c r="C53" s="107">
        <v>4007.95</v>
      </c>
      <c r="D53" s="22">
        <f t="shared" si="2"/>
        <v>-9.3186508966421888E-3</v>
      </c>
      <c r="F53" s="113">
        <v>21349.4</v>
      </c>
      <c r="G53" s="22">
        <f t="shared" si="3"/>
        <v>-4.9984503638732525E-3</v>
      </c>
      <c r="H53" s="113"/>
      <c r="I53" s="113"/>
      <c r="J53" s="113"/>
      <c r="K53" s="113"/>
      <c r="L53" s="113"/>
      <c r="M53" s="113"/>
      <c r="N53" s="113"/>
      <c r="P53" s="115"/>
    </row>
    <row r="54" spans="2:16">
      <c r="B54" s="104">
        <v>45285</v>
      </c>
      <c r="C54" s="107">
        <v>4082.65</v>
      </c>
      <c r="D54" s="22">
        <f t="shared" si="2"/>
        <v>1.8637957060342547E-2</v>
      </c>
      <c r="F54" s="113">
        <v>21731.4</v>
      </c>
      <c r="G54" s="22">
        <f t="shared" si="3"/>
        <v>1.7892774504201459E-2</v>
      </c>
      <c r="H54" s="113"/>
      <c r="I54" s="113"/>
      <c r="J54" s="113"/>
      <c r="K54" s="113"/>
      <c r="L54" s="113"/>
      <c r="M54" s="113"/>
      <c r="N54" s="113"/>
      <c r="P54" s="115"/>
    </row>
    <row r="55" spans="2:16">
      <c r="B55" s="104">
        <v>45292</v>
      </c>
      <c r="C55" s="107">
        <v>3863.5</v>
      </c>
      <c r="D55" s="22">
        <f t="shared" si="2"/>
        <v>-5.3678370666111475E-2</v>
      </c>
      <c r="F55" s="113">
        <v>21710.799999999999</v>
      </c>
      <c r="G55" s="22">
        <f t="shared" si="3"/>
        <v>-9.479370864280412E-4</v>
      </c>
      <c r="H55" s="113"/>
      <c r="I55" s="113"/>
      <c r="J55" s="113"/>
      <c r="K55" s="113"/>
      <c r="L55" s="113"/>
      <c r="M55" s="113"/>
      <c r="N55" s="113"/>
      <c r="P55" s="115"/>
    </row>
    <row r="56" spans="2:16">
      <c r="B56" s="104">
        <v>45299</v>
      </c>
      <c r="C56" s="107">
        <v>3841</v>
      </c>
      <c r="D56" s="22">
        <f t="shared" si="2"/>
        <v>-5.8237349553513784E-3</v>
      </c>
      <c r="F56" s="113">
        <v>21894.55</v>
      </c>
      <c r="G56" s="22">
        <f t="shared" si="3"/>
        <v>8.4635296718684749E-3</v>
      </c>
      <c r="H56" s="113"/>
      <c r="I56" s="113"/>
      <c r="J56" s="113"/>
      <c r="K56" s="113"/>
      <c r="L56" s="113"/>
      <c r="M56" s="113"/>
      <c r="N56" s="113"/>
      <c r="P56" s="115"/>
    </row>
    <row r="57" spans="2:16">
      <c r="B57" s="104">
        <v>45306</v>
      </c>
      <c r="C57" s="107">
        <v>3731.7</v>
      </c>
      <c r="D57" s="22">
        <f t="shared" si="2"/>
        <v>-2.8456131215829239E-2</v>
      </c>
      <c r="F57" s="113">
        <v>21622.400000000001</v>
      </c>
      <c r="G57" s="22">
        <f t="shared" si="3"/>
        <v>-1.2430033958222397E-2</v>
      </c>
      <c r="H57" s="113"/>
      <c r="I57" s="113"/>
      <c r="J57" s="113"/>
      <c r="K57" s="113"/>
      <c r="L57" s="113"/>
      <c r="M57" s="113"/>
      <c r="N57" s="113"/>
      <c r="P57" s="115"/>
    </row>
    <row r="58" spans="2:16">
      <c r="B58" s="104">
        <v>45313</v>
      </c>
      <c r="C58" s="107">
        <v>3734.25</v>
      </c>
      <c r="D58" s="22">
        <f t="shared" si="2"/>
        <v>6.8333467320536023E-4</v>
      </c>
      <c r="F58" s="113">
        <v>21352.6</v>
      </c>
      <c r="G58" s="22">
        <f t="shared" si="3"/>
        <v>-1.2477800799171379E-2</v>
      </c>
      <c r="H58" s="113"/>
      <c r="I58" s="113"/>
      <c r="J58" s="113"/>
      <c r="K58" s="113"/>
      <c r="L58" s="113"/>
      <c r="M58" s="113"/>
      <c r="N58" s="113"/>
      <c r="P58" s="115"/>
    </row>
    <row r="59" spans="2:16">
      <c r="B59" s="104">
        <v>45320</v>
      </c>
      <c r="C59" s="107">
        <v>3784.3</v>
      </c>
      <c r="D59" s="22">
        <f t="shared" si="2"/>
        <v>1.3402959094865219E-2</v>
      </c>
      <c r="F59" s="113">
        <v>21853.8</v>
      </c>
      <c r="G59" s="22">
        <f t="shared" si="3"/>
        <v>2.3472551352060167E-2</v>
      </c>
      <c r="H59" s="113"/>
      <c r="I59" s="113"/>
      <c r="J59" s="113"/>
      <c r="K59" s="113"/>
      <c r="L59" s="113"/>
      <c r="M59" s="113"/>
      <c r="N59" s="113"/>
      <c r="P59" s="115"/>
    </row>
    <row r="60" spans="2:16">
      <c r="B60" s="104">
        <v>45327</v>
      </c>
      <c r="C60" s="107">
        <v>3719.2</v>
      </c>
      <c r="D60" s="22">
        <f t="shared" si="2"/>
        <v>-1.720265306661739E-2</v>
      </c>
      <c r="F60" s="113">
        <v>21782.5</v>
      </c>
      <c r="G60" s="22">
        <f t="shared" si="3"/>
        <v>-3.2625904876955047E-3</v>
      </c>
      <c r="H60" s="113"/>
      <c r="I60" s="113"/>
      <c r="J60" s="113"/>
      <c r="K60" s="113"/>
      <c r="L60" s="113"/>
      <c r="M60" s="113"/>
      <c r="N60" s="113"/>
      <c r="P60" s="115"/>
    </row>
    <row r="61" spans="2:16">
      <c r="B61" s="104">
        <v>45334</v>
      </c>
      <c r="C61" s="107">
        <v>3693.3</v>
      </c>
      <c r="D61" s="22">
        <f t="shared" si="2"/>
        <v>-6.9638631963861997E-3</v>
      </c>
      <c r="F61" s="113">
        <v>22040.7</v>
      </c>
      <c r="G61" s="22">
        <f t="shared" si="3"/>
        <v>1.1853552163433978E-2</v>
      </c>
      <c r="H61" s="113"/>
      <c r="I61" s="113"/>
      <c r="J61" s="113"/>
      <c r="K61" s="113"/>
      <c r="L61" s="113"/>
      <c r="M61" s="113"/>
      <c r="N61" s="113"/>
      <c r="P61" s="115"/>
    </row>
    <row r="62" spans="2:16">
      <c r="B62" s="104">
        <v>45341</v>
      </c>
      <c r="C62" s="107">
        <v>3840.55</v>
      </c>
      <c r="D62" s="22">
        <f t="shared" si="2"/>
        <v>3.9869493406980094E-2</v>
      </c>
      <c r="F62" s="113">
        <v>22212.7</v>
      </c>
      <c r="G62" s="22">
        <f t="shared" si="3"/>
        <v>7.8037448901351336E-3</v>
      </c>
      <c r="H62" s="113"/>
      <c r="I62" s="113"/>
      <c r="J62" s="113"/>
      <c r="K62" s="113"/>
      <c r="L62" s="113"/>
      <c r="M62" s="113"/>
      <c r="N62" s="113"/>
      <c r="P62" s="115"/>
    </row>
    <row r="63" spans="2:16">
      <c r="B63" s="104">
        <v>45348</v>
      </c>
      <c r="C63" s="107">
        <v>3884.15</v>
      </c>
      <c r="D63" s="22">
        <f t="shared" si="2"/>
        <v>1.1352540651729637E-2</v>
      </c>
      <c r="F63" s="113">
        <v>22338.75</v>
      </c>
      <c r="G63" s="22">
        <f t="shared" si="3"/>
        <v>5.6746816010659895E-3</v>
      </c>
      <c r="H63" s="113"/>
      <c r="I63" s="113"/>
      <c r="J63" s="113"/>
      <c r="K63" s="113"/>
      <c r="L63" s="113"/>
      <c r="M63" s="113"/>
      <c r="N63" s="113"/>
      <c r="P63" s="115"/>
    </row>
    <row r="64" spans="2:16">
      <c r="B64" s="104">
        <v>45355</v>
      </c>
      <c r="C64" s="107">
        <v>3925.95</v>
      </c>
      <c r="D64" s="22">
        <f t="shared" si="2"/>
        <v>1.076168531081434E-2</v>
      </c>
      <c r="F64" s="113">
        <v>22493.55</v>
      </c>
      <c r="G64" s="22">
        <f t="shared" si="3"/>
        <v>6.929662581836471E-3</v>
      </c>
      <c r="H64" s="113"/>
      <c r="I64" s="113"/>
      <c r="J64" s="113"/>
      <c r="K64" s="113"/>
      <c r="L64" s="113"/>
      <c r="M64" s="113"/>
      <c r="N64" s="113"/>
      <c r="P64" s="115"/>
    </row>
    <row r="65" spans="2:16">
      <c r="B65" s="104">
        <v>45362</v>
      </c>
      <c r="C65" s="107">
        <v>3932.1</v>
      </c>
      <c r="D65" s="22">
        <f t="shared" si="2"/>
        <v>1.5664998280671139E-3</v>
      </c>
      <c r="F65" s="113">
        <v>22023.35</v>
      </c>
      <c r="G65" s="22">
        <f t="shared" si="3"/>
        <v>-2.0903770191899484E-2</v>
      </c>
      <c r="H65" s="113"/>
      <c r="I65" s="113"/>
      <c r="J65" s="113"/>
      <c r="K65" s="113"/>
      <c r="L65" s="113"/>
      <c r="M65" s="113"/>
      <c r="N65" s="113"/>
      <c r="P65" s="115"/>
    </row>
    <row r="66" spans="2:16">
      <c r="B66" s="104">
        <v>45369</v>
      </c>
      <c r="C66" s="107">
        <v>4297.6000000000004</v>
      </c>
      <c r="D66" s="22">
        <f t="shared" si="2"/>
        <v>9.2952875054042483E-2</v>
      </c>
      <c r="F66" s="113">
        <v>22096.75</v>
      </c>
      <c r="G66" s="22">
        <f t="shared" si="3"/>
        <v>3.3328262957270649E-3</v>
      </c>
      <c r="H66" s="113"/>
      <c r="I66" s="113"/>
      <c r="J66" s="113"/>
      <c r="K66" s="113"/>
      <c r="L66" s="113"/>
      <c r="M66" s="113"/>
      <c r="N66" s="113"/>
      <c r="P66" s="115"/>
    </row>
    <row r="67" spans="2:16">
      <c r="B67" s="104">
        <v>45376</v>
      </c>
      <c r="C67" s="107">
        <v>4525.6000000000004</v>
      </c>
      <c r="D67" s="22">
        <f t="shared" si="2"/>
        <v>5.3052866716306823E-2</v>
      </c>
      <c r="F67" s="113">
        <v>22326.9</v>
      </c>
      <c r="G67" s="22">
        <f t="shared" si="3"/>
        <v>1.0415558849152129E-2</v>
      </c>
      <c r="H67" s="113"/>
      <c r="I67" s="113"/>
      <c r="J67" s="113"/>
      <c r="K67" s="113"/>
      <c r="L67" s="113"/>
      <c r="M67" s="113"/>
      <c r="N67" s="113"/>
      <c r="P67" s="115"/>
    </row>
    <row r="68" spans="2:16">
      <c r="B68" s="104">
        <v>45383</v>
      </c>
      <c r="C68" s="107">
        <v>4619.25</v>
      </c>
      <c r="D68" s="22">
        <f t="shared" si="2"/>
        <v>2.0693388721937378E-2</v>
      </c>
      <c r="F68" s="113">
        <v>22513.7</v>
      </c>
      <c r="G68" s="22">
        <f t="shared" si="3"/>
        <v>8.3665891816597782E-3</v>
      </c>
      <c r="H68" s="113"/>
      <c r="I68" s="113"/>
      <c r="J68" s="113"/>
      <c r="K68" s="113"/>
      <c r="L68" s="113"/>
      <c r="M68" s="113"/>
      <c r="N68" s="113"/>
      <c r="P68" s="115"/>
    </row>
    <row r="69" spans="2:16">
      <c r="B69" s="104">
        <v>45390</v>
      </c>
      <c r="C69" s="107">
        <v>4765.05</v>
      </c>
      <c r="D69" s="22">
        <f t="shared" si="2"/>
        <v>3.1563565513882175E-2</v>
      </c>
      <c r="F69" s="113">
        <v>22519.4</v>
      </c>
      <c r="G69" s="22">
        <f t="shared" si="3"/>
        <v>2.5317917534661838E-4</v>
      </c>
      <c r="H69" s="113"/>
      <c r="I69" s="113"/>
      <c r="J69" s="113"/>
      <c r="K69" s="113"/>
      <c r="L69" s="113"/>
      <c r="M69" s="113"/>
      <c r="N69" s="113"/>
      <c r="P69" s="115"/>
    </row>
    <row r="70" spans="2:16">
      <c r="B70" s="104">
        <v>45397</v>
      </c>
      <c r="C70" s="107">
        <v>4696</v>
      </c>
      <c r="D70" s="22">
        <f t="shared" si="2"/>
        <v>-1.4490928741566211E-2</v>
      </c>
      <c r="F70" s="113">
        <v>22147</v>
      </c>
      <c r="G70" s="22">
        <f t="shared" si="3"/>
        <v>-1.6536852669254087E-2</v>
      </c>
      <c r="H70" s="113"/>
      <c r="I70" s="113"/>
      <c r="J70" s="113"/>
      <c r="K70" s="113"/>
      <c r="L70" s="113"/>
      <c r="M70" s="113"/>
      <c r="N70" s="113"/>
      <c r="P70" s="115"/>
    </row>
    <row r="71" spans="2:16">
      <c r="B71" s="104">
        <v>45404</v>
      </c>
      <c r="C71" s="107">
        <v>4553.1499999999996</v>
      </c>
      <c r="D71" s="22">
        <f t="shared" si="2"/>
        <v>-3.0419505962521409E-2</v>
      </c>
      <c r="F71" s="113">
        <v>22419.95</v>
      </c>
      <c r="G71" s="22">
        <f t="shared" si="3"/>
        <v>1.2324468325281002E-2</v>
      </c>
      <c r="H71" s="113"/>
      <c r="I71" s="113"/>
      <c r="J71" s="113"/>
      <c r="K71" s="113"/>
      <c r="L71" s="113"/>
      <c r="M71" s="113"/>
      <c r="N71" s="113"/>
      <c r="P71" s="115"/>
    </row>
    <row r="72" spans="2:16">
      <c r="B72" s="104">
        <v>45411</v>
      </c>
      <c r="C72" s="107">
        <v>4612.3500000000004</v>
      </c>
      <c r="D72" s="22">
        <f t="shared" ref="D72:D103" si="4">C72/C71-1</f>
        <v>1.300198763493432E-2</v>
      </c>
      <c r="F72" s="113">
        <v>22475.85</v>
      </c>
      <c r="G72" s="22">
        <f t="shared" ref="G72:G103" si="5">F72/F71-1</f>
        <v>2.4933151055197555E-3</v>
      </c>
      <c r="H72" s="113"/>
      <c r="I72" s="113"/>
      <c r="J72" s="113"/>
      <c r="K72" s="113"/>
      <c r="L72" s="113"/>
      <c r="M72" s="113"/>
      <c r="N72" s="113"/>
      <c r="P72" s="115"/>
    </row>
    <row r="73" spans="2:16">
      <c r="B73" s="104">
        <v>45418</v>
      </c>
      <c r="C73" s="107">
        <v>4796.8</v>
      </c>
      <c r="D73" s="22">
        <f t="shared" si="4"/>
        <v>3.9990460394375926E-2</v>
      </c>
      <c r="F73" s="113">
        <v>22055.200000000001</v>
      </c>
      <c r="G73" s="22">
        <f t="shared" si="5"/>
        <v>-1.8715643679771743E-2</v>
      </c>
      <c r="H73" s="113"/>
      <c r="I73" s="113"/>
      <c r="J73" s="113"/>
      <c r="K73" s="113"/>
      <c r="L73" s="113"/>
      <c r="M73" s="113"/>
      <c r="N73" s="113"/>
      <c r="P73" s="115"/>
    </row>
    <row r="74" spans="2:16">
      <c r="B74" s="104">
        <v>45425</v>
      </c>
      <c r="C74" s="107">
        <v>4670.6499999999996</v>
      </c>
      <c r="D74" s="22">
        <f t="shared" si="4"/>
        <v>-2.6298782521681274E-2</v>
      </c>
      <c r="F74" s="113">
        <v>22466.1</v>
      </c>
      <c r="G74" s="22">
        <f t="shared" si="5"/>
        <v>1.8630527041241907E-2</v>
      </c>
      <c r="H74" s="113"/>
      <c r="I74" s="113"/>
      <c r="J74" s="113"/>
      <c r="K74" s="113"/>
      <c r="L74" s="113"/>
      <c r="M74" s="113"/>
      <c r="N74" s="113"/>
      <c r="P74" s="115"/>
    </row>
    <row r="75" spans="2:16">
      <c r="B75" s="104">
        <v>45432</v>
      </c>
      <c r="C75" s="107">
        <v>4684.5</v>
      </c>
      <c r="D75" s="22">
        <f t="shared" si="4"/>
        <v>2.9653260252855418E-3</v>
      </c>
      <c r="F75" s="113">
        <v>22957.1</v>
      </c>
      <c r="G75" s="22">
        <f t="shared" si="5"/>
        <v>2.1855150649200406E-2</v>
      </c>
      <c r="H75" s="113"/>
      <c r="I75" s="113"/>
      <c r="J75" s="113"/>
      <c r="K75" s="113"/>
      <c r="L75" s="113"/>
      <c r="M75" s="113"/>
      <c r="N75" s="113"/>
      <c r="P75" s="115"/>
    </row>
    <row r="76" spans="2:16">
      <c r="B76" s="104">
        <v>45439</v>
      </c>
      <c r="C76" s="107">
        <v>4302.1499999999996</v>
      </c>
      <c r="D76" s="22">
        <f t="shared" si="4"/>
        <v>-8.1620236951649106E-2</v>
      </c>
      <c r="F76" s="113">
        <v>22530.7</v>
      </c>
      <c r="G76" s="22">
        <f t="shared" si="5"/>
        <v>-1.8573774562117951E-2</v>
      </c>
      <c r="H76" s="113"/>
      <c r="I76" s="113"/>
      <c r="J76" s="113"/>
      <c r="K76" s="113"/>
      <c r="L76" s="113"/>
      <c r="M76" s="113"/>
      <c r="N76" s="113"/>
      <c r="P76" s="115"/>
    </row>
    <row r="77" spans="2:16">
      <c r="B77" s="104">
        <v>45446</v>
      </c>
      <c r="C77" s="107">
        <v>4747.25</v>
      </c>
      <c r="D77" s="22">
        <f t="shared" si="4"/>
        <v>0.10345989795799793</v>
      </c>
      <c r="F77" s="113">
        <v>23290.15</v>
      </c>
      <c r="G77" s="22">
        <f t="shared" si="5"/>
        <v>3.3707341538434354E-2</v>
      </c>
      <c r="H77" s="113"/>
      <c r="I77" s="113"/>
      <c r="J77" s="113"/>
      <c r="K77" s="113"/>
      <c r="L77" s="113"/>
      <c r="M77" s="113"/>
      <c r="N77" s="113"/>
      <c r="P77" s="115"/>
    </row>
    <row r="78" spans="2:16">
      <c r="B78" s="104">
        <v>45453</v>
      </c>
      <c r="C78" s="107">
        <v>4739.95</v>
      </c>
      <c r="D78" s="22">
        <f t="shared" si="4"/>
        <v>-1.5377323713728908E-3</v>
      </c>
      <c r="F78" s="113">
        <v>23465.599999999999</v>
      </c>
      <c r="G78" s="22">
        <f t="shared" si="5"/>
        <v>7.5332275661599279E-3</v>
      </c>
      <c r="H78" s="113"/>
      <c r="I78" s="113"/>
      <c r="J78" s="113"/>
      <c r="K78" s="113"/>
      <c r="L78" s="113"/>
      <c r="M78" s="113"/>
      <c r="N78" s="113"/>
      <c r="P78" s="115"/>
    </row>
    <row r="79" spans="2:16">
      <c r="B79" s="104">
        <v>45460</v>
      </c>
      <c r="C79" s="107">
        <v>4804.8500000000004</v>
      </c>
      <c r="D79" s="22">
        <f t="shared" si="4"/>
        <v>1.3692127554088218E-2</v>
      </c>
      <c r="F79" s="113">
        <v>23501.1</v>
      </c>
      <c r="G79" s="22">
        <f t="shared" si="5"/>
        <v>1.5128528569481325E-3</v>
      </c>
      <c r="H79" s="113"/>
      <c r="I79" s="113"/>
      <c r="J79" s="113"/>
      <c r="K79" s="113"/>
      <c r="L79" s="113"/>
      <c r="M79" s="113"/>
      <c r="N79" s="113"/>
      <c r="P79" s="115"/>
    </row>
    <row r="80" spans="2:16">
      <c r="B80" s="104">
        <v>45467</v>
      </c>
      <c r="C80" s="107">
        <v>4716.75</v>
      </c>
      <c r="D80" s="22">
        <f t="shared" si="4"/>
        <v>-1.8335640030386013E-2</v>
      </c>
      <c r="F80" s="113">
        <v>24010.6</v>
      </c>
      <c r="G80" s="22">
        <f t="shared" si="5"/>
        <v>2.1679836262983532E-2</v>
      </c>
      <c r="H80" s="113"/>
      <c r="I80" s="113"/>
      <c r="J80" s="113"/>
      <c r="K80" s="113"/>
      <c r="L80" s="113"/>
      <c r="M80" s="113"/>
      <c r="N80" s="113"/>
      <c r="P80" s="115"/>
    </row>
    <row r="81" spans="2:16">
      <c r="B81" s="104">
        <v>45474</v>
      </c>
      <c r="C81" s="107">
        <v>4853.1000000000004</v>
      </c>
      <c r="D81" s="22">
        <f t="shared" si="4"/>
        <v>2.8907616473207165E-2</v>
      </c>
      <c r="F81" s="113">
        <v>24323.85</v>
      </c>
      <c r="G81" s="22">
        <f t="shared" si="5"/>
        <v>1.3046321208133094E-2</v>
      </c>
      <c r="H81" s="113"/>
      <c r="I81" s="113"/>
      <c r="J81" s="113"/>
      <c r="K81" s="113"/>
      <c r="L81" s="113"/>
      <c r="M81" s="113"/>
      <c r="N81" s="113"/>
      <c r="P81" s="115"/>
    </row>
    <row r="82" spans="2:16">
      <c r="B82" s="104">
        <v>45481</v>
      </c>
      <c r="C82" s="107">
        <v>4943.6499999999996</v>
      </c>
      <c r="D82" s="22">
        <f t="shared" si="4"/>
        <v>1.865817724753227E-2</v>
      </c>
      <c r="F82" s="113">
        <v>24502.15</v>
      </c>
      <c r="G82" s="22">
        <f t="shared" si="5"/>
        <v>7.3302540510651326E-3</v>
      </c>
      <c r="H82" s="113"/>
      <c r="I82" s="113"/>
      <c r="J82" s="113"/>
      <c r="K82" s="113"/>
      <c r="L82" s="113"/>
      <c r="M82" s="113"/>
      <c r="N82" s="113"/>
      <c r="P82" s="115"/>
    </row>
    <row r="83" spans="2:16">
      <c r="B83" s="104">
        <v>45488</v>
      </c>
      <c r="C83" s="107">
        <v>5010.7</v>
      </c>
      <c r="D83" s="22">
        <f t="shared" si="4"/>
        <v>1.3562853357337312E-2</v>
      </c>
      <c r="F83" s="113">
        <v>24530.9</v>
      </c>
      <c r="G83" s="22">
        <f t="shared" si="5"/>
        <v>1.1733664188653403E-3</v>
      </c>
      <c r="H83" s="113"/>
      <c r="I83" s="113"/>
      <c r="J83" s="113"/>
      <c r="K83" s="113"/>
      <c r="L83" s="113"/>
      <c r="M83" s="113"/>
      <c r="N83" s="113"/>
      <c r="P83" s="115"/>
    </row>
    <row r="84" spans="2:16">
      <c r="B84" s="104">
        <v>45495</v>
      </c>
      <c r="C84" s="107">
        <v>5071.6000000000004</v>
      </c>
      <c r="D84" s="22">
        <f t="shared" si="4"/>
        <v>1.2153990460414876E-2</v>
      </c>
      <c r="F84" s="113">
        <v>24834.85</v>
      </c>
      <c r="G84" s="22">
        <f t="shared" si="5"/>
        <v>1.2390495252925682E-2</v>
      </c>
      <c r="H84" s="113"/>
      <c r="I84" s="113"/>
      <c r="J84" s="113"/>
      <c r="K84" s="113"/>
      <c r="L84" s="113"/>
      <c r="M84" s="113"/>
      <c r="N84" s="113"/>
      <c r="P84" s="115"/>
    </row>
    <row r="85" spans="2:16">
      <c r="B85" s="104">
        <v>45502</v>
      </c>
      <c r="C85" s="107">
        <v>4909.7</v>
      </c>
      <c r="D85" s="22">
        <f t="shared" si="4"/>
        <v>-3.1922864579225552E-2</v>
      </c>
      <c r="F85" s="113">
        <v>24717.7</v>
      </c>
      <c r="G85" s="22">
        <f t="shared" si="5"/>
        <v>-4.7171615693268887E-3</v>
      </c>
      <c r="H85" s="113"/>
      <c r="I85" s="113"/>
      <c r="J85" s="113"/>
      <c r="K85" s="113"/>
      <c r="L85" s="113"/>
      <c r="M85" s="113"/>
      <c r="N85" s="113"/>
      <c r="P85" s="115"/>
    </row>
    <row r="86" spans="2:16">
      <c r="B86" s="104">
        <v>45509</v>
      </c>
      <c r="C86" s="107">
        <v>4989.95</v>
      </c>
      <c r="D86" s="22">
        <f t="shared" si="4"/>
        <v>1.6345194207385338E-2</v>
      </c>
      <c r="F86" s="113">
        <v>24367.5</v>
      </c>
      <c r="G86" s="22">
        <f t="shared" si="5"/>
        <v>-1.4167984885325113E-2</v>
      </c>
      <c r="H86" s="113"/>
      <c r="I86" s="113"/>
      <c r="J86" s="113"/>
      <c r="K86" s="113"/>
      <c r="L86" s="113"/>
      <c r="M86" s="113"/>
      <c r="N86" s="113"/>
      <c r="P86" s="115"/>
    </row>
    <row r="87" spans="2:16">
      <c r="B87" s="104">
        <v>45516</v>
      </c>
      <c r="C87" s="107">
        <v>5021.3</v>
      </c>
      <c r="D87" s="22">
        <f t="shared" si="4"/>
        <v>6.2826280824457292E-3</v>
      </c>
      <c r="F87" s="113">
        <v>24541.15</v>
      </c>
      <c r="G87" s="22">
        <f t="shared" si="5"/>
        <v>7.1262952703396998E-3</v>
      </c>
      <c r="H87" s="113"/>
      <c r="I87" s="113"/>
      <c r="J87" s="113"/>
      <c r="K87" s="113"/>
      <c r="L87" s="113"/>
      <c r="M87" s="113"/>
      <c r="N87" s="113"/>
      <c r="P87" s="115"/>
    </row>
    <row r="88" spans="2:16">
      <c r="B88" s="104">
        <v>45523</v>
      </c>
      <c r="C88" s="107">
        <v>4901.5</v>
      </c>
      <c r="D88" s="22">
        <f t="shared" si="4"/>
        <v>-2.3858363372035174E-2</v>
      </c>
      <c r="F88" s="113">
        <v>24823.15</v>
      </c>
      <c r="G88" s="22">
        <f t="shared" si="5"/>
        <v>1.1490904052988471E-2</v>
      </c>
      <c r="H88" s="113"/>
      <c r="I88" s="113"/>
      <c r="J88" s="113"/>
      <c r="K88" s="113"/>
      <c r="L88" s="113"/>
      <c r="M88" s="113"/>
      <c r="N88" s="113"/>
      <c r="P88" s="115"/>
    </row>
    <row r="89" spans="2:16">
      <c r="B89" s="104">
        <v>45530</v>
      </c>
      <c r="C89" s="107">
        <v>4927.45</v>
      </c>
      <c r="D89" s="22">
        <f t="shared" si="4"/>
        <v>5.2942976639804851E-3</v>
      </c>
      <c r="F89" s="113">
        <v>25235.9</v>
      </c>
      <c r="G89" s="22">
        <f t="shared" si="5"/>
        <v>1.6627623810837822E-2</v>
      </c>
      <c r="H89" s="113"/>
      <c r="I89" s="113"/>
      <c r="J89" s="113"/>
      <c r="K89" s="113"/>
      <c r="L89" s="113"/>
      <c r="M89" s="113"/>
      <c r="N89" s="113"/>
      <c r="P89" s="115"/>
    </row>
    <row r="90" spans="2:16">
      <c r="B90" s="104">
        <v>45537</v>
      </c>
      <c r="C90" s="107">
        <v>5303.45</v>
      </c>
      <c r="D90" s="22">
        <f t="shared" si="4"/>
        <v>7.630721772925142E-2</v>
      </c>
      <c r="F90" s="113">
        <v>24852.15</v>
      </c>
      <c r="G90" s="22">
        <f t="shared" si="5"/>
        <v>-1.5206511358818231E-2</v>
      </c>
      <c r="H90" s="113"/>
      <c r="I90" s="113"/>
      <c r="J90" s="113"/>
      <c r="K90" s="113"/>
      <c r="L90" s="113"/>
      <c r="M90" s="113"/>
      <c r="N90" s="113"/>
      <c r="P90" s="115"/>
    </row>
    <row r="91" spans="2:16">
      <c r="B91" s="104">
        <v>45544</v>
      </c>
      <c r="C91" s="107">
        <v>5187.05</v>
      </c>
      <c r="D91" s="22">
        <f t="shared" si="4"/>
        <v>-2.194797726008535E-2</v>
      </c>
      <c r="F91" s="113">
        <v>25356.5</v>
      </c>
      <c r="G91" s="22">
        <f t="shared" si="5"/>
        <v>2.0294018827344829E-2</v>
      </c>
      <c r="H91" s="113"/>
      <c r="I91" s="113"/>
      <c r="J91" s="113"/>
      <c r="K91" s="113"/>
      <c r="L91" s="113"/>
      <c r="M91" s="113"/>
      <c r="N91" s="113"/>
      <c r="P91" s="115"/>
    </row>
    <row r="92" spans="2:16">
      <c r="B92" s="104">
        <v>45551</v>
      </c>
      <c r="C92" s="107">
        <v>5320.55</v>
      </c>
      <c r="D92" s="22">
        <f t="shared" si="4"/>
        <v>2.5737172381218532E-2</v>
      </c>
      <c r="F92" s="113">
        <v>25790.95</v>
      </c>
      <c r="G92" s="22">
        <f t="shared" si="5"/>
        <v>1.7133673811448702E-2</v>
      </c>
      <c r="H92" s="113"/>
      <c r="I92" s="113"/>
      <c r="J92" s="113"/>
      <c r="K92" s="113"/>
      <c r="L92" s="113"/>
      <c r="M92" s="113"/>
      <c r="N92" s="113"/>
      <c r="P92" s="115"/>
    </row>
    <row r="93" spans="2:16">
      <c r="B93" s="104">
        <v>45558</v>
      </c>
      <c r="C93" s="107">
        <v>5102.3</v>
      </c>
      <c r="D93" s="22">
        <f t="shared" si="4"/>
        <v>-4.102019528056311E-2</v>
      </c>
      <c r="F93" s="113">
        <v>26178.95</v>
      </c>
      <c r="G93" s="22">
        <f t="shared" si="5"/>
        <v>1.5044036764834123E-2</v>
      </c>
      <c r="H93" s="113"/>
      <c r="I93" s="113"/>
      <c r="J93" s="113"/>
      <c r="K93" s="113"/>
      <c r="L93" s="113"/>
      <c r="M93" s="113"/>
      <c r="N93" s="113"/>
      <c r="P93" s="115"/>
    </row>
    <row r="94" spans="2:16">
      <c r="B94" s="104">
        <v>45565</v>
      </c>
      <c r="C94" s="107">
        <v>4737.55</v>
      </c>
      <c r="D94" s="22">
        <f t="shared" si="4"/>
        <v>-7.148736844168313E-2</v>
      </c>
      <c r="F94" s="113">
        <v>25014.6</v>
      </c>
      <c r="G94" s="22">
        <f t="shared" si="5"/>
        <v>-4.4476573735768743E-2</v>
      </c>
      <c r="H94" s="113"/>
      <c r="I94" s="113"/>
      <c r="J94" s="113"/>
      <c r="K94" s="113"/>
      <c r="L94" s="113"/>
      <c r="M94" s="113"/>
      <c r="N94" s="113"/>
      <c r="P94" s="115"/>
    </row>
    <row r="95" spans="2:16">
      <c r="B95" s="104">
        <v>45572</v>
      </c>
      <c r="C95" s="107">
        <v>4572.7</v>
      </c>
      <c r="D95" s="22">
        <f t="shared" si="4"/>
        <v>-3.479646652805779E-2</v>
      </c>
      <c r="F95" s="113">
        <v>24964.25</v>
      </c>
      <c r="G95" s="22">
        <f t="shared" si="5"/>
        <v>-2.0128245104857889E-3</v>
      </c>
      <c r="H95" s="113"/>
      <c r="I95" s="113"/>
      <c r="J95" s="113"/>
      <c r="K95" s="113"/>
      <c r="L95" s="113"/>
      <c r="M95" s="113"/>
      <c r="N95" s="113"/>
      <c r="P95" s="115"/>
    </row>
    <row r="96" spans="2:16">
      <c r="B96" s="104">
        <v>45579</v>
      </c>
      <c r="C96" s="107">
        <v>3986.7</v>
      </c>
      <c r="D96" s="22">
        <f t="shared" si="4"/>
        <v>-0.12815185776455928</v>
      </c>
      <c r="F96" s="113">
        <v>24854.05</v>
      </c>
      <c r="G96" s="22">
        <f t="shared" si="5"/>
        <v>-4.4143124668275524E-3</v>
      </c>
      <c r="H96" s="113"/>
      <c r="I96" s="113"/>
      <c r="J96" s="113"/>
      <c r="K96" s="113"/>
      <c r="L96" s="113"/>
      <c r="M96" s="113"/>
      <c r="N96" s="113"/>
      <c r="P96" s="115"/>
    </row>
    <row r="97" spans="2:16">
      <c r="B97" s="104">
        <v>45586</v>
      </c>
      <c r="C97" s="107">
        <v>4052.2</v>
      </c>
      <c r="D97" s="22">
        <f t="shared" si="4"/>
        <v>1.6429628514811778E-2</v>
      </c>
      <c r="F97" s="113">
        <v>24180.799999999999</v>
      </c>
      <c r="G97" s="22">
        <f t="shared" si="5"/>
        <v>-2.7088140564616281E-2</v>
      </c>
      <c r="H97" s="113"/>
      <c r="I97" s="113"/>
      <c r="J97" s="113"/>
      <c r="K97" s="113"/>
      <c r="L97" s="113"/>
      <c r="M97" s="113"/>
      <c r="N97" s="113"/>
      <c r="P97" s="115"/>
    </row>
    <row r="98" spans="2:16">
      <c r="B98" s="104">
        <v>45593</v>
      </c>
      <c r="C98" s="107">
        <v>4001.6</v>
      </c>
      <c r="D98" s="22">
        <f t="shared" si="4"/>
        <v>-1.2487044074823483E-2</v>
      </c>
      <c r="F98" s="113">
        <v>24304.35</v>
      </c>
      <c r="G98" s="22">
        <f t="shared" si="5"/>
        <v>5.1094256600276999E-3</v>
      </c>
      <c r="H98" s="113"/>
      <c r="I98" s="113"/>
      <c r="J98" s="113"/>
      <c r="K98" s="113"/>
      <c r="L98" s="113"/>
      <c r="M98" s="113"/>
      <c r="N98" s="113"/>
      <c r="P98" s="115"/>
    </row>
    <row r="99" spans="2:16">
      <c r="B99" s="104">
        <v>45600</v>
      </c>
      <c r="C99" s="107">
        <v>3874.5</v>
      </c>
      <c r="D99" s="22">
        <f t="shared" si="4"/>
        <v>-3.1762295081967151E-2</v>
      </c>
      <c r="F99" s="113">
        <v>24148.2</v>
      </c>
      <c r="G99" s="22">
        <f t="shared" si="5"/>
        <v>-6.4247758117372822E-3</v>
      </c>
      <c r="H99" s="113"/>
      <c r="I99" s="113"/>
      <c r="J99" s="113"/>
      <c r="K99" s="113"/>
      <c r="L99" s="113"/>
      <c r="M99" s="113"/>
      <c r="N99" s="113"/>
      <c r="P99" s="115"/>
    </row>
    <row r="100" spans="2:16">
      <c r="B100" s="104">
        <v>45607</v>
      </c>
      <c r="C100" s="107">
        <v>3823.85</v>
      </c>
      <c r="D100" s="22">
        <f t="shared" si="4"/>
        <v>-1.3072654536069206E-2</v>
      </c>
      <c r="F100" s="113">
        <v>23532.7</v>
      </c>
      <c r="G100" s="22">
        <f t="shared" si="5"/>
        <v>-2.5488442202731498E-2</v>
      </c>
      <c r="H100" s="113"/>
      <c r="I100" s="113"/>
      <c r="J100" s="113"/>
      <c r="K100" s="113"/>
      <c r="L100" s="113"/>
      <c r="M100" s="113"/>
      <c r="N100" s="113"/>
      <c r="P100" s="115"/>
    </row>
    <row r="101" spans="2:16">
      <c r="B101" s="104">
        <v>45614</v>
      </c>
      <c r="C101" s="107">
        <v>3613.65</v>
      </c>
      <c r="D101" s="22">
        <f t="shared" si="4"/>
        <v>-5.4970775527282689E-2</v>
      </c>
      <c r="F101" s="113">
        <v>23907.25</v>
      </c>
      <c r="G101" s="22">
        <f t="shared" si="5"/>
        <v>1.5916150717937061E-2</v>
      </c>
      <c r="H101" s="113"/>
      <c r="I101" s="113"/>
      <c r="J101" s="113"/>
      <c r="K101" s="113"/>
      <c r="L101" s="113"/>
      <c r="M101" s="113"/>
      <c r="N101" s="113"/>
      <c r="P101" s="115"/>
    </row>
    <row r="102" spans="2:16">
      <c r="B102" s="104">
        <v>45621</v>
      </c>
      <c r="C102" s="107">
        <v>3709.6</v>
      </c>
      <c r="D102" s="22">
        <f t="shared" si="4"/>
        <v>2.6552101061253719E-2</v>
      </c>
      <c r="F102" s="113">
        <v>24131.1</v>
      </c>
      <c r="G102" s="22">
        <f t="shared" si="5"/>
        <v>9.3632684645870157E-3</v>
      </c>
      <c r="H102" s="113"/>
      <c r="I102" s="113"/>
      <c r="J102" s="113"/>
      <c r="K102" s="113"/>
      <c r="L102" s="113"/>
      <c r="M102" s="113"/>
      <c r="N102" s="113"/>
      <c r="P102" s="115"/>
    </row>
    <row r="103" spans="2:16">
      <c r="B103" s="104">
        <v>45628</v>
      </c>
      <c r="C103" s="107">
        <v>3805.55</v>
      </c>
      <c r="D103" s="22">
        <f t="shared" si="4"/>
        <v>2.5865322406728453E-2</v>
      </c>
      <c r="F103" s="113">
        <v>24677.8</v>
      </c>
      <c r="G103" s="22">
        <f t="shared" si="5"/>
        <v>2.2655411481449228E-2</v>
      </c>
      <c r="H103" s="113"/>
      <c r="I103" s="113"/>
      <c r="J103" s="113"/>
      <c r="K103" s="113"/>
      <c r="L103" s="113"/>
      <c r="M103" s="113"/>
      <c r="N103" s="113"/>
      <c r="P103" s="115"/>
    </row>
    <row r="104" spans="2:16">
      <c r="B104" s="104">
        <v>45635</v>
      </c>
      <c r="C104" s="107">
        <v>3652.3</v>
      </c>
      <c r="D104" s="22">
        <f t="shared" ref="D104:D112" si="6">C104/C103-1</f>
        <v>-4.0270131781214302E-2</v>
      </c>
      <c r="F104" s="113">
        <v>24768.3</v>
      </c>
      <c r="G104" s="22">
        <f t="shared" ref="G104:G112" si="7">F104/F103-1</f>
        <v>3.6672636944945491E-3</v>
      </c>
      <c r="H104" s="113"/>
      <c r="I104" s="113"/>
      <c r="J104" s="113"/>
      <c r="K104" s="113"/>
      <c r="L104" s="113"/>
      <c r="M104" s="113"/>
      <c r="N104" s="113"/>
      <c r="P104" s="115"/>
    </row>
    <row r="105" spans="2:16">
      <c r="B105" s="104">
        <v>45642</v>
      </c>
      <c r="C105" s="107">
        <v>3408.3</v>
      </c>
      <c r="D105" s="22">
        <f t="shared" si="6"/>
        <v>-6.6807217369876493E-2</v>
      </c>
      <c r="F105" s="113">
        <v>23587.5</v>
      </c>
      <c r="G105" s="22">
        <f t="shared" si="7"/>
        <v>-4.7673841159869612E-2</v>
      </c>
      <c r="H105" s="113"/>
      <c r="I105" s="113"/>
      <c r="J105" s="113"/>
      <c r="K105" s="113"/>
      <c r="L105" s="113"/>
      <c r="M105" s="113"/>
      <c r="N105" s="113"/>
      <c r="P105" s="115"/>
    </row>
    <row r="106" spans="2:16">
      <c r="B106" s="104">
        <v>45649</v>
      </c>
      <c r="C106" s="107">
        <v>3568.35</v>
      </c>
      <c r="D106" s="22">
        <f t="shared" si="6"/>
        <v>4.6958894463515533E-2</v>
      </c>
      <c r="F106" s="113">
        <v>23813.4</v>
      </c>
      <c r="G106" s="22">
        <f t="shared" si="7"/>
        <v>9.5771065182830295E-3</v>
      </c>
      <c r="H106" s="113"/>
      <c r="I106" s="113"/>
      <c r="J106" s="113"/>
      <c r="K106" s="113"/>
      <c r="L106" s="113"/>
      <c r="M106" s="113"/>
      <c r="N106" s="113"/>
      <c r="P106" s="115"/>
    </row>
    <row r="107" spans="2:16">
      <c r="B107" s="104">
        <v>45656</v>
      </c>
      <c r="C107" s="107">
        <v>4025.2</v>
      </c>
      <c r="D107" s="22">
        <f t="shared" si="6"/>
        <v>0.12802836044670496</v>
      </c>
      <c r="F107" s="113">
        <v>24004.75</v>
      </c>
      <c r="G107" s="22">
        <f t="shared" si="7"/>
        <v>8.035391838208783E-3</v>
      </c>
      <c r="H107" s="113"/>
      <c r="I107" s="113"/>
      <c r="J107" s="113"/>
      <c r="K107" s="113"/>
      <c r="L107" s="113"/>
      <c r="M107" s="113"/>
      <c r="N107" s="113"/>
      <c r="P107" s="115"/>
    </row>
    <row r="108" spans="2:16">
      <c r="B108" s="104">
        <v>45663</v>
      </c>
      <c r="C108" s="107">
        <v>3686.25</v>
      </c>
      <c r="D108" s="22">
        <f t="shared" si="6"/>
        <v>-8.4206995925668271E-2</v>
      </c>
      <c r="F108" s="113">
        <v>23431.5</v>
      </c>
      <c r="G108" s="22">
        <f t="shared" si="7"/>
        <v>-2.3880690280048689E-2</v>
      </c>
      <c r="H108" s="113"/>
      <c r="I108" s="113"/>
      <c r="J108" s="113"/>
      <c r="K108" s="113"/>
      <c r="L108" s="113"/>
      <c r="M108" s="113"/>
      <c r="N108" s="113"/>
      <c r="P108" s="115"/>
    </row>
    <row r="109" spans="2:16">
      <c r="B109" s="104">
        <v>45670</v>
      </c>
      <c r="C109" s="107">
        <v>3620.65</v>
      </c>
      <c r="D109" s="22">
        <f t="shared" si="6"/>
        <v>-1.7795863004408274E-2</v>
      </c>
      <c r="F109" s="113">
        <v>23203.200000000001</v>
      </c>
      <c r="G109" s="22">
        <f t="shared" si="7"/>
        <v>-9.7432942833365344E-3</v>
      </c>
      <c r="H109" s="113"/>
      <c r="I109" s="113"/>
      <c r="J109" s="113"/>
      <c r="K109" s="113"/>
      <c r="L109" s="113"/>
      <c r="M109" s="113"/>
      <c r="N109" s="113"/>
      <c r="P109" s="115"/>
    </row>
    <row r="110" spans="2:16">
      <c r="B110" s="104">
        <v>45677</v>
      </c>
      <c r="C110" s="107">
        <v>3579.95</v>
      </c>
      <c r="D110" s="22">
        <f t="shared" si="6"/>
        <v>-1.1241075497493647E-2</v>
      </c>
      <c r="F110" s="113">
        <v>23092.2</v>
      </c>
      <c r="G110" s="22">
        <f t="shared" si="7"/>
        <v>-4.7838229209764549E-3</v>
      </c>
      <c r="H110" s="113"/>
      <c r="I110" s="113"/>
      <c r="J110" s="113"/>
      <c r="K110" s="113"/>
      <c r="L110" s="113"/>
      <c r="M110" s="113"/>
      <c r="N110" s="113"/>
      <c r="P110" s="115"/>
    </row>
    <row r="111" spans="2:16">
      <c r="B111" s="104">
        <v>45684</v>
      </c>
      <c r="C111" s="107">
        <v>3664.65</v>
      </c>
      <c r="D111" s="22">
        <f t="shared" si="6"/>
        <v>2.3659548317713996E-2</v>
      </c>
      <c r="F111" s="113">
        <v>23508.400000000001</v>
      </c>
      <c r="G111" s="22">
        <f t="shared" si="7"/>
        <v>1.8023401841314346E-2</v>
      </c>
      <c r="H111" s="113"/>
      <c r="I111" s="113"/>
      <c r="J111" s="113"/>
      <c r="K111" s="113"/>
      <c r="L111" s="113"/>
      <c r="M111" s="113"/>
      <c r="N111" s="113"/>
      <c r="P111" s="115"/>
    </row>
    <row r="112" spans="2:16">
      <c r="B112" s="104">
        <v>45691</v>
      </c>
      <c r="C112" s="107">
        <v>3943.65</v>
      </c>
      <c r="D112" s="22">
        <f t="shared" si="6"/>
        <v>7.613278212107577E-2</v>
      </c>
      <c r="F112" s="113">
        <v>23359.3</v>
      </c>
      <c r="G112" s="22">
        <f t="shared" si="7"/>
        <v>-6.3424137755015986E-3</v>
      </c>
      <c r="H112" s="113"/>
      <c r="I112" s="113"/>
      <c r="J112" s="113"/>
      <c r="K112" s="113"/>
      <c r="L112" s="113"/>
      <c r="M112" s="113"/>
      <c r="N112" s="113"/>
      <c r="P112" s="115"/>
    </row>
    <row r="113" spans="7:16">
      <c r="G113" s="112"/>
      <c r="H113" s="113"/>
      <c r="I113" s="113"/>
      <c r="J113" s="113"/>
      <c r="K113" s="113"/>
      <c r="L113" s="113"/>
      <c r="M113" s="113"/>
      <c r="N113" s="113"/>
      <c r="P113" s="115"/>
    </row>
    <row r="114" spans="7:16">
      <c r="G114" s="112"/>
      <c r="H114" s="113"/>
      <c r="I114" s="113"/>
      <c r="J114" s="113"/>
      <c r="K114" s="113"/>
      <c r="L114" s="113"/>
      <c r="M114" s="113"/>
      <c r="N114" s="113"/>
      <c r="P114" s="115"/>
    </row>
    <row r="115" spans="7:16">
      <c r="G115" s="112"/>
      <c r="H115" s="113"/>
      <c r="I115" s="113"/>
      <c r="J115" s="113"/>
      <c r="K115" s="113"/>
      <c r="L115" s="113"/>
      <c r="M115" s="113"/>
      <c r="N115" s="113"/>
      <c r="P115" s="115"/>
    </row>
  </sheetData>
  <mergeCells count="7">
    <mergeCell ref="I4:J4"/>
    <mergeCell ref="P8:P9"/>
    <mergeCell ref="F4:G4"/>
    <mergeCell ref="B4:D4"/>
    <mergeCell ref="L8:L9"/>
    <mergeCell ref="M8:M9"/>
    <mergeCell ref="N8:N9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B2:H109"/>
  <sheetViews>
    <sheetView showGridLines="0" workbookViewId="0">
      <selection activeCell="D6" sqref="D6"/>
    </sheetView>
  </sheetViews>
  <sheetFormatPr defaultColWidth="9.109375" defaultRowHeight="14.4"/>
  <cols>
    <col min="1" max="1" width="1.88671875" customWidth="1"/>
    <col min="2" max="2" width="10.6640625" customWidth="1"/>
    <col min="3" max="3" width="10.88671875" bestFit="1" customWidth="1"/>
    <col min="5" max="5" width="10.5546875" bestFit="1" customWidth="1"/>
    <col min="6" max="6" width="14" bestFit="1" customWidth="1"/>
  </cols>
  <sheetData>
    <row r="2" spans="2:8" ht="15.75" customHeight="1">
      <c r="B2" s="102" t="s">
        <v>230</v>
      </c>
      <c r="C2" s="103" t="s">
        <v>231</v>
      </c>
      <c r="D2" s="103"/>
      <c r="E2" s="284" t="s">
        <v>230</v>
      </c>
      <c r="F2" s="111" t="s">
        <v>235</v>
      </c>
      <c r="H2" s="103"/>
    </row>
    <row r="3" spans="2:8">
      <c r="B3" s="104">
        <v>45691</v>
      </c>
      <c r="C3" s="105">
        <v>3943.65</v>
      </c>
      <c r="D3" s="105"/>
      <c r="E3" s="284"/>
      <c r="F3" s="111"/>
      <c r="H3" s="106"/>
    </row>
    <row r="4" spans="2:8">
      <c r="B4" s="104">
        <v>45684</v>
      </c>
      <c r="C4" s="105">
        <v>3664.65</v>
      </c>
      <c r="D4" s="105"/>
      <c r="E4" s="112">
        <v>44956</v>
      </c>
      <c r="F4" s="113">
        <v>17854.05</v>
      </c>
      <c r="H4" s="106"/>
    </row>
    <row r="5" spans="2:8">
      <c r="B5" s="104">
        <v>45677</v>
      </c>
      <c r="C5" s="105">
        <v>3579.95</v>
      </c>
      <c r="D5" s="105"/>
      <c r="E5" s="112">
        <v>44963</v>
      </c>
      <c r="F5" s="113">
        <v>17856.5</v>
      </c>
      <c r="H5" s="106"/>
    </row>
    <row r="6" spans="2:8">
      <c r="B6" s="104">
        <v>45670</v>
      </c>
      <c r="C6" s="105">
        <v>3620.65</v>
      </c>
      <c r="D6" s="105"/>
      <c r="E6" s="112">
        <v>44970</v>
      </c>
      <c r="F6" s="113">
        <v>17944.2</v>
      </c>
      <c r="H6" s="106"/>
    </row>
    <row r="7" spans="2:8">
      <c r="B7" s="104">
        <v>45663</v>
      </c>
      <c r="C7" s="105">
        <v>3686.25</v>
      </c>
      <c r="D7" s="105"/>
      <c r="E7" s="112">
        <v>44977</v>
      </c>
      <c r="F7" s="113">
        <v>17465.8</v>
      </c>
      <c r="H7" s="106"/>
    </row>
    <row r="8" spans="2:8">
      <c r="B8" s="104">
        <v>45656</v>
      </c>
      <c r="C8" s="105">
        <v>4025.2</v>
      </c>
      <c r="D8" s="105"/>
      <c r="E8" s="112">
        <v>44984</v>
      </c>
      <c r="F8" s="113">
        <v>17594.349999999999</v>
      </c>
      <c r="H8" s="106"/>
    </row>
    <row r="9" spans="2:8">
      <c r="B9" s="104">
        <v>45649</v>
      </c>
      <c r="C9" s="105">
        <v>3568.35</v>
      </c>
      <c r="D9" s="105"/>
      <c r="E9" s="112">
        <v>44991</v>
      </c>
      <c r="F9" s="113">
        <v>17412.900000000001</v>
      </c>
      <c r="H9" s="106"/>
    </row>
    <row r="10" spans="2:8">
      <c r="B10" s="104">
        <v>45642</v>
      </c>
      <c r="C10" s="105">
        <v>3408.3</v>
      </c>
      <c r="D10" s="105"/>
      <c r="E10" s="112">
        <v>44998</v>
      </c>
      <c r="F10" s="113">
        <v>17100.05</v>
      </c>
      <c r="H10" s="106"/>
    </row>
    <row r="11" spans="2:8">
      <c r="B11" s="104">
        <v>45635</v>
      </c>
      <c r="C11" s="105">
        <v>3652.3</v>
      </c>
      <c r="D11" s="105"/>
      <c r="E11" s="112">
        <v>45005</v>
      </c>
      <c r="F11" s="113">
        <v>16945.05</v>
      </c>
      <c r="H11" s="106"/>
    </row>
    <row r="12" spans="2:8">
      <c r="B12" s="104">
        <v>45628</v>
      </c>
      <c r="C12" s="105">
        <v>3805.55</v>
      </c>
      <c r="D12" s="105"/>
      <c r="E12" s="112">
        <v>45012</v>
      </c>
      <c r="F12" s="113">
        <v>17359.75</v>
      </c>
      <c r="H12" s="106"/>
    </row>
    <row r="13" spans="2:8">
      <c r="B13" s="104">
        <v>45621</v>
      </c>
      <c r="C13" s="105">
        <v>3709.6</v>
      </c>
      <c r="D13" s="105"/>
      <c r="E13" s="112">
        <v>45019</v>
      </c>
      <c r="F13" s="113">
        <v>17599.150000000001</v>
      </c>
      <c r="H13" s="106"/>
    </row>
    <row r="14" spans="2:8">
      <c r="B14" s="104">
        <v>45614</v>
      </c>
      <c r="C14" s="105">
        <v>3613.65</v>
      </c>
      <c r="D14" s="105"/>
      <c r="E14" s="112">
        <v>45026</v>
      </c>
      <c r="F14" s="113">
        <v>17828</v>
      </c>
      <c r="H14" s="106"/>
    </row>
    <row r="15" spans="2:8">
      <c r="B15" s="104">
        <v>45607</v>
      </c>
      <c r="C15" s="105">
        <v>3823.85</v>
      </c>
      <c r="D15" s="105"/>
      <c r="E15" s="112">
        <v>45033</v>
      </c>
      <c r="F15" s="113">
        <v>17624.05</v>
      </c>
      <c r="H15" s="106"/>
    </row>
    <row r="16" spans="2:8">
      <c r="B16" s="104">
        <v>45600</v>
      </c>
      <c r="C16" s="105">
        <v>3874.5</v>
      </c>
      <c r="D16" s="105"/>
      <c r="E16" s="112">
        <v>45040</v>
      </c>
      <c r="F16" s="113">
        <v>18065</v>
      </c>
      <c r="H16" s="106"/>
    </row>
    <row r="17" spans="2:8">
      <c r="B17" s="104">
        <v>45593</v>
      </c>
      <c r="C17" s="105">
        <v>4001.6</v>
      </c>
      <c r="D17" s="105"/>
      <c r="E17" s="112">
        <v>45047</v>
      </c>
      <c r="F17" s="113">
        <v>18069</v>
      </c>
      <c r="H17" s="106"/>
    </row>
    <row r="18" spans="2:8">
      <c r="B18" s="104">
        <v>45586</v>
      </c>
      <c r="C18" s="105">
        <v>4052.2</v>
      </c>
      <c r="D18" s="105"/>
      <c r="E18" s="112">
        <v>45054</v>
      </c>
      <c r="F18" s="113">
        <v>18314.8</v>
      </c>
      <c r="H18" s="106"/>
    </row>
    <row r="19" spans="2:8">
      <c r="B19" s="104">
        <v>45579</v>
      </c>
      <c r="C19" s="105">
        <v>3986.7</v>
      </c>
      <c r="D19" s="105"/>
      <c r="E19" s="112">
        <v>45061</v>
      </c>
      <c r="F19" s="113">
        <v>18203.400000000001</v>
      </c>
      <c r="H19" s="106"/>
    </row>
    <row r="20" spans="2:8">
      <c r="B20" s="104">
        <v>45572</v>
      </c>
      <c r="C20" s="105">
        <v>4572.7</v>
      </c>
      <c r="D20" s="105"/>
      <c r="E20" s="112">
        <v>45068</v>
      </c>
      <c r="F20" s="113">
        <v>18499.349999999999</v>
      </c>
      <c r="H20" s="106"/>
    </row>
    <row r="21" spans="2:8">
      <c r="B21" s="104">
        <v>45565</v>
      </c>
      <c r="C21" s="105">
        <v>4737.55</v>
      </c>
      <c r="D21" s="105"/>
      <c r="E21" s="112">
        <v>45075</v>
      </c>
      <c r="F21" s="113">
        <v>18534.099999999999</v>
      </c>
      <c r="H21" s="106"/>
    </row>
    <row r="22" spans="2:8">
      <c r="B22" s="104">
        <v>45558</v>
      </c>
      <c r="C22" s="105">
        <v>5102.3</v>
      </c>
      <c r="D22" s="105"/>
      <c r="E22" s="112">
        <v>45082</v>
      </c>
      <c r="F22" s="113">
        <v>18563.400000000001</v>
      </c>
      <c r="H22" s="106"/>
    </row>
    <row r="23" spans="2:8">
      <c r="B23" s="104">
        <v>45551</v>
      </c>
      <c r="C23" s="105">
        <v>5320.55</v>
      </c>
      <c r="D23" s="105"/>
      <c r="E23" s="112">
        <v>45089</v>
      </c>
      <c r="F23" s="113">
        <v>18826</v>
      </c>
      <c r="H23" s="106"/>
    </row>
    <row r="24" spans="2:8">
      <c r="B24" s="104">
        <v>45544</v>
      </c>
      <c r="C24" s="105">
        <v>5187.05</v>
      </c>
      <c r="D24" s="105"/>
      <c r="E24" s="112">
        <v>45096</v>
      </c>
      <c r="F24" s="113">
        <v>18665.5</v>
      </c>
      <c r="H24" s="106"/>
    </row>
    <row r="25" spans="2:8">
      <c r="B25" s="104">
        <v>45537</v>
      </c>
      <c r="C25" s="105">
        <v>5303.45</v>
      </c>
      <c r="D25" s="105"/>
      <c r="E25" s="112">
        <v>45103</v>
      </c>
      <c r="F25" s="113">
        <v>19189.05</v>
      </c>
      <c r="H25" s="106"/>
    </row>
    <row r="26" spans="2:8">
      <c r="B26" s="104">
        <v>45530</v>
      </c>
      <c r="C26" s="105">
        <v>4927.45</v>
      </c>
      <c r="D26" s="105"/>
      <c r="E26" s="112">
        <v>45110</v>
      </c>
      <c r="F26" s="113">
        <v>19331.8</v>
      </c>
      <c r="H26" s="106"/>
    </row>
    <row r="27" spans="2:8">
      <c r="B27" s="104">
        <v>45523</v>
      </c>
      <c r="C27" s="105">
        <v>4901.5</v>
      </c>
      <c r="D27" s="105"/>
      <c r="E27" s="112">
        <v>45117</v>
      </c>
      <c r="F27" s="113">
        <v>19564.5</v>
      </c>
      <c r="H27" s="106"/>
    </row>
    <row r="28" spans="2:8">
      <c r="B28" s="104">
        <v>45516</v>
      </c>
      <c r="C28" s="105">
        <v>5021.3</v>
      </c>
      <c r="D28" s="105"/>
      <c r="E28" s="112">
        <v>45124</v>
      </c>
      <c r="F28" s="113">
        <v>19745</v>
      </c>
      <c r="H28" s="106"/>
    </row>
    <row r="29" spans="2:8">
      <c r="B29" s="104">
        <v>45509</v>
      </c>
      <c r="C29" s="105">
        <v>4989.95</v>
      </c>
      <c r="D29" s="105"/>
      <c r="E29" s="112">
        <v>45131</v>
      </c>
      <c r="F29" s="113">
        <v>19646.05</v>
      </c>
      <c r="H29" s="106"/>
    </row>
    <row r="30" spans="2:8">
      <c r="B30" s="104">
        <v>45502</v>
      </c>
      <c r="C30" s="105">
        <v>4909.7</v>
      </c>
      <c r="D30" s="105"/>
      <c r="E30" s="112">
        <v>45138</v>
      </c>
      <c r="F30" s="113">
        <v>19517</v>
      </c>
      <c r="H30" s="106"/>
    </row>
    <row r="31" spans="2:8">
      <c r="B31" s="104">
        <v>45495</v>
      </c>
      <c r="C31" s="105">
        <v>5071.6000000000004</v>
      </c>
      <c r="D31" s="105"/>
      <c r="E31" s="112">
        <v>45145</v>
      </c>
      <c r="F31" s="113">
        <v>19428.3</v>
      </c>
      <c r="H31" s="106"/>
    </row>
    <row r="32" spans="2:8">
      <c r="B32" s="104">
        <v>45488</v>
      </c>
      <c r="C32" s="105">
        <v>5010.7</v>
      </c>
      <c r="D32" s="105"/>
      <c r="E32" s="112">
        <v>45152</v>
      </c>
      <c r="F32" s="113">
        <v>19310.150000000001</v>
      </c>
      <c r="H32" s="106"/>
    </row>
    <row r="33" spans="2:8">
      <c r="B33" s="104">
        <v>45481</v>
      </c>
      <c r="C33" s="105">
        <v>4943.6499999999996</v>
      </c>
      <c r="D33" s="105"/>
      <c r="E33" s="112">
        <v>45159</v>
      </c>
      <c r="F33" s="113">
        <v>19265.8</v>
      </c>
      <c r="H33" s="106"/>
    </row>
    <row r="34" spans="2:8">
      <c r="B34" s="104">
        <v>45474</v>
      </c>
      <c r="C34" s="105">
        <v>4853.1000000000004</v>
      </c>
      <c r="D34" s="105"/>
      <c r="E34" s="112">
        <v>45166</v>
      </c>
      <c r="F34" s="113">
        <v>19435.3</v>
      </c>
      <c r="H34" s="106"/>
    </row>
    <row r="35" spans="2:8">
      <c r="B35" s="104">
        <v>45467</v>
      </c>
      <c r="C35" s="105">
        <v>4716.75</v>
      </c>
      <c r="D35" s="105"/>
      <c r="E35" s="112">
        <v>45173</v>
      </c>
      <c r="F35" s="113">
        <v>19819.95</v>
      </c>
      <c r="H35" s="106"/>
    </row>
    <row r="36" spans="2:8">
      <c r="B36" s="104">
        <v>45460</v>
      </c>
      <c r="C36" s="105">
        <v>4804.8500000000004</v>
      </c>
      <c r="D36" s="105"/>
      <c r="E36" s="112">
        <v>45180</v>
      </c>
      <c r="F36" s="113">
        <v>20192.349999999999</v>
      </c>
      <c r="H36" s="106"/>
    </row>
    <row r="37" spans="2:8">
      <c r="B37" s="104">
        <v>45453</v>
      </c>
      <c r="C37" s="105">
        <v>4739.95</v>
      </c>
      <c r="D37" s="105"/>
      <c r="E37" s="112">
        <v>45187</v>
      </c>
      <c r="F37" s="113">
        <v>19674.25</v>
      </c>
      <c r="H37" s="106"/>
    </row>
    <row r="38" spans="2:8">
      <c r="B38" s="104">
        <v>45446</v>
      </c>
      <c r="C38" s="105">
        <v>4747.25</v>
      </c>
      <c r="D38" s="105"/>
      <c r="E38" s="112">
        <v>45194</v>
      </c>
      <c r="F38" s="113">
        <v>19638.3</v>
      </c>
      <c r="H38" s="106"/>
    </row>
    <row r="39" spans="2:8">
      <c r="B39" s="104">
        <v>45439</v>
      </c>
      <c r="C39" s="105">
        <v>4302.1499999999996</v>
      </c>
      <c r="D39" s="105"/>
      <c r="E39" s="112">
        <v>45201</v>
      </c>
      <c r="F39" s="113">
        <v>19653.5</v>
      </c>
      <c r="H39" s="106"/>
    </row>
    <row r="40" spans="2:8">
      <c r="B40" s="104">
        <v>45432</v>
      </c>
      <c r="C40" s="105">
        <v>4684.5</v>
      </c>
      <c r="D40" s="105"/>
      <c r="E40" s="112">
        <v>45208</v>
      </c>
      <c r="F40" s="113">
        <v>19751.05</v>
      </c>
      <c r="H40" s="106"/>
    </row>
    <row r="41" spans="2:8">
      <c r="B41" s="104">
        <v>45425</v>
      </c>
      <c r="C41" s="105">
        <v>4670.6499999999996</v>
      </c>
      <c r="D41" s="105"/>
      <c r="E41" s="112">
        <v>45215</v>
      </c>
      <c r="F41" s="113">
        <v>19542.650000000001</v>
      </c>
      <c r="H41" s="106"/>
    </row>
    <row r="42" spans="2:8">
      <c r="B42" s="104">
        <v>45418</v>
      </c>
      <c r="C42" s="105">
        <v>4796.8</v>
      </c>
      <c r="D42" s="105"/>
      <c r="E42" s="112">
        <v>45222</v>
      </c>
      <c r="F42" s="113">
        <v>19047.25</v>
      </c>
      <c r="H42" s="106"/>
    </row>
    <row r="43" spans="2:8">
      <c r="B43" s="104">
        <v>45411</v>
      </c>
      <c r="C43" s="105">
        <v>4612.3500000000004</v>
      </c>
      <c r="D43" s="105"/>
      <c r="E43" s="112">
        <v>45229</v>
      </c>
      <c r="F43" s="113">
        <v>19230.599999999999</v>
      </c>
      <c r="H43" s="106"/>
    </row>
    <row r="44" spans="2:8">
      <c r="B44" s="104">
        <v>45404</v>
      </c>
      <c r="C44" s="105">
        <v>4553.1499999999996</v>
      </c>
      <c r="D44" s="105"/>
      <c r="E44" s="112">
        <v>45236</v>
      </c>
      <c r="F44" s="113">
        <v>19425.349999999999</v>
      </c>
      <c r="H44" s="106"/>
    </row>
    <row r="45" spans="2:8">
      <c r="B45" s="104">
        <v>45397</v>
      </c>
      <c r="C45" s="105">
        <v>4696</v>
      </c>
      <c r="D45" s="105"/>
      <c r="E45" s="112">
        <v>45243</v>
      </c>
      <c r="F45" s="113">
        <v>19731.8</v>
      </c>
      <c r="H45" s="106"/>
    </row>
    <row r="46" spans="2:8">
      <c r="B46" s="104">
        <v>45390</v>
      </c>
      <c r="C46" s="105">
        <v>4765.05</v>
      </c>
      <c r="D46" s="105"/>
      <c r="E46" s="112">
        <v>45250</v>
      </c>
      <c r="F46" s="113">
        <v>19794.7</v>
      </c>
      <c r="H46" s="106"/>
    </row>
    <row r="47" spans="2:8">
      <c r="B47" s="104">
        <v>45383</v>
      </c>
      <c r="C47" s="105">
        <v>4619.25</v>
      </c>
      <c r="D47" s="105"/>
      <c r="E47" s="112">
        <v>45257</v>
      </c>
      <c r="F47" s="113">
        <v>20267.900000000001</v>
      </c>
      <c r="H47" s="106"/>
    </row>
    <row r="48" spans="2:8">
      <c r="B48" s="104">
        <v>45376</v>
      </c>
      <c r="C48" s="105">
        <v>4525.6000000000004</v>
      </c>
      <c r="D48" s="105"/>
      <c r="E48" s="112">
        <v>45264</v>
      </c>
      <c r="F48" s="113">
        <v>20969.400000000001</v>
      </c>
      <c r="H48" s="106"/>
    </row>
    <row r="49" spans="2:8">
      <c r="B49" s="104">
        <v>45369</v>
      </c>
      <c r="C49" s="105">
        <v>4297.6000000000004</v>
      </c>
      <c r="D49" s="105"/>
      <c r="E49" s="112">
        <v>45271</v>
      </c>
      <c r="F49" s="113">
        <v>21456.65</v>
      </c>
      <c r="H49" s="106"/>
    </row>
    <row r="50" spans="2:8">
      <c r="B50" s="104">
        <v>45362</v>
      </c>
      <c r="C50" s="105">
        <v>3932.1</v>
      </c>
      <c r="D50" s="105"/>
      <c r="E50" s="112">
        <v>45278</v>
      </c>
      <c r="F50" s="113">
        <v>21349.4</v>
      </c>
      <c r="H50" s="106"/>
    </row>
    <row r="51" spans="2:8">
      <c r="B51" s="104">
        <v>45355</v>
      </c>
      <c r="C51" s="105">
        <v>3925.95</v>
      </c>
      <c r="D51" s="105"/>
      <c r="E51" s="112">
        <v>45285</v>
      </c>
      <c r="F51" s="113">
        <v>21731.4</v>
      </c>
      <c r="H51" s="106"/>
    </row>
    <row r="52" spans="2:8">
      <c r="B52" s="104">
        <v>45348</v>
      </c>
      <c r="C52" s="105">
        <v>3884.15</v>
      </c>
      <c r="D52" s="105"/>
      <c r="E52" s="112">
        <v>45292</v>
      </c>
      <c r="F52" s="113">
        <v>21710.799999999999</v>
      </c>
      <c r="H52" s="106"/>
    </row>
    <row r="53" spans="2:8">
      <c r="B53" s="104">
        <v>45341</v>
      </c>
      <c r="C53" s="105">
        <v>3840.55</v>
      </c>
      <c r="D53" s="105"/>
      <c r="E53" s="112">
        <v>45299</v>
      </c>
      <c r="F53" s="113">
        <v>21894.55</v>
      </c>
      <c r="H53" s="106"/>
    </row>
    <row r="54" spans="2:8">
      <c r="B54" s="104">
        <v>45334</v>
      </c>
      <c r="C54" s="105">
        <v>3693.3</v>
      </c>
      <c r="D54" s="105"/>
      <c r="E54" s="112">
        <v>45306</v>
      </c>
      <c r="F54" s="113">
        <v>21622.400000000001</v>
      </c>
      <c r="H54" s="106"/>
    </row>
    <row r="55" spans="2:8">
      <c r="B55" s="104">
        <v>45327</v>
      </c>
      <c r="C55" s="105">
        <v>3719.2</v>
      </c>
      <c r="D55" s="105"/>
      <c r="E55" s="112">
        <v>45313</v>
      </c>
      <c r="F55" s="113">
        <v>21352.6</v>
      </c>
      <c r="H55" s="106"/>
    </row>
    <row r="56" spans="2:8">
      <c r="B56" s="104">
        <v>45320</v>
      </c>
      <c r="C56" s="105">
        <v>3784.3</v>
      </c>
      <c r="D56" s="105"/>
      <c r="E56" s="112">
        <v>45320</v>
      </c>
      <c r="F56" s="113">
        <v>21853.8</v>
      </c>
      <c r="H56" s="106"/>
    </row>
    <row r="57" spans="2:8">
      <c r="B57" s="104">
        <v>45313</v>
      </c>
      <c r="C57" s="105">
        <v>3734.25</v>
      </c>
      <c r="D57" s="105"/>
      <c r="E57" s="112">
        <v>45327</v>
      </c>
      <c r="F57" s="113">
        <v>21782.5</v>
      </c>
      <c r="H57" s="106"/>
    </row>
    <row r="58" spans="2:8">
      <c r="B58" s="104">
        <v>45306</v>
      </c>
      <c r="C58" s="105">
        <v>3731.7</v>
      </c>
      <c r="D58" s="105"/>
      <c r="E58" s="112">
        <v>45334</v>
      </c>
      <c r="F58" s="113">
        <v>22040.7</v>
      </c>
      <c r="H58" s="106"/>
    </row>
    <row r="59" spans="2:8">
      <c r="B59" s="104">
        <v>45299</v>
      </c>
      <c r="C59" s="105">
        <v>3841</v>
      </c>
      <c r="D59" s="105"/>
      <c r="E59" s="112">
        <v>45341</v>
      </c>
      <c r="F59" s="113">
        <v>22212.7</v>
      </c>
      <c r="H59" s="106"/>
    </row>
    <row r="60" spans="2:8">
      <c r="B60" s="104">
        <v>45292</v>
      </c>
      <c r="C60" s="105">
        <v>3863.5</v>
      </c>
      <c r="D60" s="105"/>
      <c r="E60" s="112">
        <v>45348</v>
      </c>
      <c r="F60" s="113">
        <v>22338.75</v>
      </c>
      <c r="H60" s="106"/>
    </row>
    <row r="61" spans="2:8">
      <c r="B61" s="104">
        <v>45285</v>
      </c>
      <c r="C61" s="105">
        <v>4082.65</v>
      </c>
      <c r="D61" s="105"/>
      <c r="E61" s="112">
        <v>45355</v>
      </c>
      <c r="F61" s="113">
        <v>22493.55</v>
      </c>
      <c r="H61" s="106"/>
    </row>
    <row r="62" spans="2:8">
      <c r="B62" s="104">
        <v>45278</v>
      </c>
      <c r="C62" s="105">
        <v>4007.95</v>
      </c>
      <c r="D62" s="105"/>
      <c r="E62" s="112">
        <v>45362</v>
      </c>
      <c r="F62" s="113">
        <v>22023.35</v>
      </c>
      <c r="H62" s="106"/>
    </row>
    <row r="63" spans="2:8">
      <c r="B63" s="104">
        <v>45271</v>
      </c>
      <c r="C63" s="105">
        <v>4045.65</v>
      </c>
      <c r="D63" s="105"/>
      <c r="E63" s="112">
        <v>45369</v>
      </c>
      <c r="F63" s="113">
        <v>22096.75</v>
      </c>
      <c r="H63" s="106"/>
    </row>
    <row r="64" spans="2:8">
      <c r="B64" s="104">
        <v>45264</v>
      </c>
      <c r="C64" s="105">
        <v>4070.65</v>
      </c>
      <c r="D64" s="105"/>
      <c r="E64" s="112">
        <v>45376</v>
      </c>
      <c r="F64" s="113">
        <v>22326.9</v>
      </c>
      <c r="H64" s="106"/>
    </row>
    <row r="65" spans="2:8">
      <c r="B65" s="104">
        <v>45257</v>
      </c>
      <c r="C65" s="105">
        <v>3988.4</v>
      </c>
      <c r="D65" s="105"/>
      <c r="E65" s="112">
        <v>45383</v>
      </c>
      <c r="F65" s="113">
        <v>22513.7</v>
      </c>
      <c r="H65" s="106"/>
    </row>
    <row r="66" spans="2:8">
      <c r="B66" s="104">
        <v>45250</v>
      </c>
      <c r="C66" s="105">
        <v>3842.9</v>
      </c>
      <c r="D66" s="105"/>
      <c r="E66" s="112">
        <v>45390</v>
      </c>
      <c r="F66" s="113">
        <v>22519.4</v>
      </c>
      <c r="H66" s="106"/>
    </row>
    <row r="67" spans="2:8">
      <c r="B67" s="104">
        <v>45243</v>
      </c>
      <c r="C67" s="105">
        <v>3810.9</v>
      </c>
      <c r="D67" s="105"/>
      <c r="E67" s="112">
        <v>45397</v>
      </c>
      <c r="F67" s="113">
        <v>22147</v>
      </c>
      <c r="H67" s="106"/>
    </row>
    <row r="68" spans="2:8">
      <c r="B68" s="104">
        <v>45236</v>
      </c>
      <c r="C68" s="105">
        <v>3798.4</v>
      </c>
      <c r="D68" s="105"/>
      <c r="E68" s="112">
        <v>45404</v>
      </c>
      <c r="F68" s="113">
        <v>22419.95</v>
      </c>
      <c r="H68" s="106"/>
    </row>
    <row r="69" spans="2:8">
      <c r="B69" s="104">
        <v>45229</v>
      </c>
      <c r="C69" s="105">
        <v>3649.7</v>
      </c>
      <c r="D69" s="105"/>
      <c r="E69" s="112">
        <v>45411</v>
      </c>
      <c r="F69" s="113">
        <v>22475.85</v>
      </c>
      <c r="H69" s="106"/>
    </row>
    <row r="70" spans="2:8">
      <c r="B70" s="104">
        <v>45222</v>
      </c>
      <c r="C70" s="105">
        <v>3665.45</v>
      </c>
      <c r="D70" s="105"/>
      <c r="E70" s="112">
        <v>45418</v>
      </c>
      <c r="F70" s="113">
        <v>22055.200000000001</v>
      </c>
      <c r="H70" s="106"/>
    </row>
    <row r="71" spans="2:8">
      <c r="B71" s="104">
        <v>45215</v>
      </c>
      <c r="C71" s="105">
        <v>3749.5</v>
      </c>
      <c r="D71" s="105"/>
      <c r="E71" s="112">
        <v>45425</v>
      </c>
      <c r="F71" s="113">
        <v>22466.1</v>
      </c>
      <c r="H71" s="106"/>
    </row>
    <row r="72" spans="2:8">
      <c r="B72" s="104">
        <v>45208</v>
      </c>
      <c r="C72" s="105">
        <v>3935.85</v>
      </c>
      <c r="D72" s="105"/>
      <c r="E72" s="112">
        <v>45432</v>
      </c>
      <c r="F72" s="113">
        <v>22957.1</v>
      </c>
      <c r="H72" s="106"/>
    </row>
    <row r="73" spans="2:8">
      <c r="B73" s="104">
        <v>45201</v>
      </c>
      <c r="C73" s="105">
        <v>3833.95</v>
      </c>
      <c r="D73" s="105"/>
      <c r="E73" s="112">
        <v>45439</v>
      </c>
      <c r="F73" s="113">
        <v>22530.7</v>
      </c>
      <c r="H73" s="106"/>
    </row>
    <row r="74" spans="2:8">
      <c r="B74" s="104">
        <v>45194</v>
      </c>
      <c r="C74" s="105">
        <v>3675.6</v>
      </c>
      <c r="D74" s="105"/>
      <c r="E74" s="112">
        <v>45446</v>
      </c>
      <c r="F74" s="113">
        <v>23290.15</v>
      </c>
      <c r="H74" s="106"/>
    </row>
    <row r="75" spans="2:8">
      <c r="B75" s="104">
        <v>45187</v>
      </c>
      <c r="C75" s="105">
        <v>3689.1</v>
      </c>
      <c r="D75" s="105"/>
      <c r="E75" s="112">
        <v>45453</v>
      </c>
      <c r="F75" s="113">
        <v>23465.599999999999</v>
      </c>
      <c r="H75" s="106"/>
    </row>
    <row r="76" spans="2:8">
      <c r="B76" s="104">
        <v>45180</v>
      </c>
      <c r="C76" s="105">
        <v>3796</v>
      </c>
      <c r="D76" s="105"/>
      <c r="E76" s="112">
        <v>45460</v>
      </c>
      <c r="F76" s="113">
        <v>23501.1</v>
      </c>
      <c r="H76" s="106"/>
    </row>
    <row r="77" spans="2:8">
      <c r="B77" s="104">
        <v>45173</v>
      </c>
      <c r="C77" s="105">
        <v>3782.4</v>
      </c>
      <c r="D77" s="105"/>
      <c r="E77" s="112">
        <v>45467</v>
      </c>
      <c r="F77" s="113">
        <v>24010.6</v>
      </c>
      <c r="H77" s="106"/>
    </row>
    <row r="78" spans="2:8">
      <c r="B78" s="104">
        <v>45166</v>
      </c>
      <c r="C78" s="105">
        <v>3761.05</v>
      </c>
      <c r="D78" s="105"/>
      <c r="E78" s="112">
        <v>45474</v>
      </c>
      <c r="F78" s="113">
        <v>24323.85</v>
      </c>
      <c r="H78" s="106"/>
    </row>
    <row r="79" spans="2:8">
      <c r="B79" s="104">
        <v>45159</v>
      </c>
      <c r="C79" s="105">
        <v>3534.6</v>
      </c>
      <c r="D79" s="105"/>
      <c r="E79" s="112">
        <v>45481</v>
      </c>
      <c r="F79" s="113">
        <v>24502.15</v>
      </c>
      <c r="H79" s="106"/>
    </row>
    <row r="80" spans="2:8">
      <c r="B80" s="104">
        <v>45152</v>
      </c>
      <c r="C80" s="105">
        <v>3540.95</v>
      </c>
      <c r="D80" s="105"/>
      <c r="E80" s="112">
        <v>45488</v>
      </c>
      <c r="F80" s="113">
        <v>24530.9</v>
      </c>
      <c r="H80" s="106"/>
    </row>
    <row r="81" spans="2:8">
      <c r="B81" s="104">
        <v>45145</v>
      </c>
      <c r="C81" s="105">
        <v>3550.05</v>
      </c>
      <c r="D81" s="105"/>
      <c r="E81" s="112">
        <v>45495</v>
      </c>
      <c r="F81" s="113">
        <v>24834.85</v>
      </c>
      <c r="H81" s="106"/>
    </row>
    <row r="82" spans="2:8">
      <c r="B82" s="104">
        <v>45138</v>
      </c>
      <c r="C82" s="105">
        <v>3652.1</v>
      </c>
      <c r="D82" s="105"/>
      <c r="E82" s="112">
        <v>45502</v>
      </c>
      <c r="F82" s="113">
        <v>24717.7</v>
      </c>
      <c r="H82" s="106"/>
    </row>
    <row r="83" spans="2:8">
      <c r="B83" s="104">
        <v>45131</v>
      </c>
      <c r="C83" s="105">
        <v>3713.9</v>
      </c>
      <c r="D83" s="105"/>
      <c r="E83" s="112">
        <v>45509</v>
      </c>
      <c r="F83" s="113">
        <v>24367.5</v>
      </c>
      <c r="H83" s="106"/>
    </row>
    <row r="84" spans="2:8">
      <c r="B84" s="104">
        <v>45124</v>
      </c>
      <c r="C84" s="105">
        <v>3675.7</v>
      </c>
      <c r="D84" s="105"/>
      <c r="E84" s="112">
        <v>45516</v>
      </c>
      <c r="F84" s="113">
        <v>24541.15</v>
      </c>
      <c r="H84" s="106"/>
    </row>
    <row r="85" spans="2:8">
      <c r="B85" s="104">
        <v>45117</v>
      </c>
      <c r="C85" s="105">
        <v>3838.75</v>
      </c>
      <c r="D85" s="105"/>
      <c r="E85" s="112">
        <v>45523</v>
      </c>
      <c r="F85" s="113">
        <v>24823.15</v>
      </c>
      <c r="H85" s="106"/>
    </row>
    <row r="86" spans="2:8">
      <c r="B86" s="104">
        <v>45110</v>
      </c>
      <c r="C86" s="105">
        <v>3808.95</v>
      </c>
      <c r="D86" s="105"/>
      <c r="E86" s="112">
        <v>45530</v>
      </c>
      <c r="F86" s="113">
        <v>25235.9</v>
      </c>
      <c r="H86" s="106"/>
    </row>
    <row r="87" spans="2:8">
      <c r="B87" s="104">
        <v>45103</v>
      </c>
      <c r="C87" s="105">
        <v>3889.2</v>
      </c>
      <c r="D87" s="105"/>
      <c r="E87" s="112">
        <v>45537</v>
      </c>
      <c r="F87" s="113">
        <v>24852.15</v>
      </c>
      <c r="H87" s="106"/>
    </row>
    <row r="88" spans="2:8">
      <c r="B88" s="104">
        <v>45096</v>
      </c>
      <c r="C88" s="105">
        <v>3744.05</v>
      </c>
      <c r="D88" s="105"/>
      <c r="E88" s="112">
        <v>45544</v>
      </c>
      <c r="F88" s="113">
        <v>25356.5</v>
      </c>
      <c r="H88" s="106"/>
    </row>
    <row r="89" spans="2:8">
      <c r="B89" s="104">
        <v>45089</v>
      </c>
      <c r="C89" s="105">
        <v>4085.6</v>
      </c>
      <c r="D89" s="105"/>
      <c r="E89" s="112">
        <v>45551</v>
      </c>
      <c r="F89" s="113">
        <v>25790.95</v>
      </c>
      <c r="H89" s="106"/>
    </row>
    <row r="90" spans="2:8">
      <c r="B90" s="104">
        <v>45082</v>
      </c>
      <c r="C90" s="105">
        <v>3632.1</v>
      </c>
      <c r="D90" s="105"/>
      <c r="E90" s="112">
        <v>45558</v>
      </c>
      <c r="F90" s="113">
        <v>26178.95</v>
      </c>
      <c r="H90" s="106"/>
    </row>
    <row r="91" spans="2:8">
      <c r="B91" s="104">
        <v>45075</v>
      </c>
      <c r="C91" s="105">
        <v>3531.6</v>
      </c>
      <c r="D91" s="105"/>
      <c r="E91" s="112">
        <v>45565</v>
      </c>
      <c r="F91" s="113">
        <v>25014.6</v>
      </c>
      <c r="H91" s="106"/>
    </row>
    <row r="92" spans="2:8">
      <c r="B92" s="104">
        <v>45068</v>
      </c>
      <c r="C92" s="105">
        <v>3501.75</v>
      </c>
      <c r="D92" s="105"/>
      <c r="E92" s="112">
        <v>45572</v>
      </c>
      <c r="F92" s="113">
        <v>24964.25</v>
      </c>
      <c r="H92" s="106"/>
    </row>
    <row r="93" spans="2:8">
      <c r="B93" s="104">
        <v>45061</v>
      </c>
      <c r="C93" s="105">
        <v>3395.25</v>
      </c>
      <c r="D93" s="105"/>
      <c r="E93" s="112">
        <v>45579</v>
      </c>
      <c r="F93" s="113">
        <v>24854.05</v>
      </c>
      <c r="H93" s="106"/>
    </row>
    <row r="94" spans="2:8">
      <c r="B94" s="104">
        <v>45054</v>
      </c>
      <c r="C94" s="105">
        <v>3677.55</v>
      </c>
      <c r="D94" s="105"/>
      <c r="E94" s="112">
        <v>45586</v>
      </c>
      <c r="F94" s="113">
        <v>24180.799999999999</v>
      </c>
      <c r="H94" s="106"/>
    </row>
    <row r="95" spans="2:8">
      <c r="B95" s="104">
        <v>45047</v>
      </c>
      <c r="C95" s="105">
        <v>3598.2</v>
      </c>
      <c r="D95" s="105"/>
      <c r="E95" s="112">
        <v>45593</v>
      </c>
      <c r="F95" s="113">
        <v>24304.35</v>
      </c>
      <c r="H95" s="106"/>
    </row>
    <row r="96" spans="2:8">
      <c r="B96" s="104">
        <v>45040</v>
      </c>
      <c r="C96" s="105">
        <v>3511.95</v>
      </c>
      <c r="D96" s="105"/>
      <c r="E96" s="112">
        <v>45600</v>
      </c>
      <c r="F96" s="113">
        <v>24148.2</v>
      </c>
      <c r="H96" s="106"/>
    </row>
    <row r="97" spans="2:8">
      <c r="B97" s="104">
        <v>45033</v>
      </c>
      <c r="C97" s="105">
        <v>3455.9</v>
      </c>
      <c r="D97" s="105"/>
      <c r="E97" s="112">
        <v>45607</v>
      </c>
      <c r="F97" s="113">
        <v>23532.7</v>
      </c>
      <c r="H97" s="106"/>
    </row>
    <row r="98" spans="2:8">
      <c r="B98" s="104">
        <v>45026</v>
      </c>
      <c r="C98" s="105">
        <v>3501.05</v>
      </c>
      <c r="D98" s="105"/>
      <c r="E98" s="112">
        <v>45614</v>
      </c>
      <c r="F98" s="113">
        <v>23907.25</v>
      </c>
      <c r="H98" s="106"/>
    </row>
    <row r="99" spans="2:8">
      <c r="B99" s="104">
        <v>45019</v>
      </c>
      <c r="C99" s="105">
        <v>3496.1</v>
      </c>
      <c r="D99" s="105"/>
      <c r="E99" s="112">
        <v>45621</v>
      </c>
      <c r="F99" s="113">
        <v>24131.1</v>
      </c>
      <c r="H99" s="106"/>
    </row>
    <row r="100" spans="2:8">
      <c r="B100" s="104">
        <v>45012</v>
      </c>
      <c r="C100" s="105">
        <v>3401.05</v>
      </c>
      <c r="D100" s="105"/>
      <c r="E100" s="112">
        <v>45628</v>
      </c>
      <c r="F100" s="113">
        <v>24677.8</v>
      </c>
      <c r="H100" s="106"/>
    </row>
    <row r="101" spans="2:8">
      <c r="B101" s="104">
        <v>45005</v>
      </c>
      <c r="C101" s="105">
        <v>3358.4</v>
      </c>
      <c r="D101" s="105"/>
      <c r="E101" s="112">
        <v>45635</v>
      </c>
      <c r="F101" s="113">
        <v>24768.3</v>
      </c>
      <c r="H101" s="106"/>
    </row>
    <row r="102" spans="2:8">
      <c r="B102" s="104">
        <v>44998</v>
      </c>
      <c r="C102" s="105">
        <v>3311.3</v>
      </c>
      <c r="D102" s="105"/>
      <c r="E102" s="112">
        <v>45642</v>
      </c>
      <c r="F102" s="113">
        <v>23587.5</v>
      </c>
      <c r="H102" s="106"/>
    </row>
    <row r="103" spans="2:8">
      <c r="B103" s="104">
        <v>44991</v>
      </c>
      <c r="C103" s="105">
        <v>3391.85</v>
      </c>
      <c r="D103" s="105"/>
      <c r="E103" s="112">
        <v>45649</v>
      </c>
      <c r="F103" s="113">
        <v>23813.4</v>
      </c>
      <c r="H103" s="106"/>
    </row>
    <row r="104" spans="2:8">
      <c r="B104" s="104">
        <v>44984</v>
      </c>
      <c r="C104" s="105">
        <v>3463.25</v>
      </c>
      <c r="D104" s="105"/>
      <c r="E104" s="112">
        <v>45656</v>
      </c>
      <c r="F104" s="113">
        <v>24004.75</v>
      </c>
      <c r="H104" s="106"/>
    </row>
    <row r="105" spans="2:8">
      <c r="B105" s="104">
        <v>44977</v>
      </c>
      <c r="C105" s="105">
        <v>3499.2</v>
      </c>
      <c r="D105" s="105"/>
      <c r="E105" s="112">
        <v>45663</v>
      </c>
      <c r="F105" s="113">
        <v>23431.5</v>
      </c>
      <c r="H105" s="106"/>
    </row>
    <row r="106" spans="2:8">
      <c r="B106" s="104">
        <v>44970</v>
      </c>
      <c r="C106" s="105">
        <v>3545</v>
      </c>
      <c r="D106" s="105"/>
      <c r="E106" s="112">
        <v>45670</v>
      </c>
      <c r="F106" s="113">
        <v>23203.200000000001</v>
      </c>
      <c r="H106" s="106"/>
    </row>
    <row r="107" spans="2:8">
      <c r="B107" s="104">
        <v>44963</v>
      </c>
      <c r="C107" s="105">
        <v>3498.85</v>
      </c>
      <c r="D107" s="105"/>
      <c r="E107" s="112">
        <v>45677</v>
      </c>
      <c r="F107" s="113">
        <v>23092.2</v>
      </c>
      <c r="H107" s="106"/>
    </row>
    <row r="108" spans="2:8">
      <c r="B108" s="104">
        <v>44956</v>
      </c>
      <c r="C108" s="105">
        <v>3470.35</v>
      </c>
      <c r="D108" s="105"/>
      <c r="E108" s="112">
        <v>45684</v>
      </c>
      <c r="F108" s="113">
        <v>23508.400000000001</v>
      </c>
      <c r="H108" s="106"/>
    </row>
    <row r="109" spans="2:8">
      <c r="E109" s="112">
        <v>45691</v>
      </c>
      <c r="F109" s="113">
        <v>23359.3</v>
      </c>
    </row>
  </sheetData>
  <autoFilter ref="E2:F3" xr:uid="{00000000-0009-0000-0000-00000C000000}">
    <sortState xmlns:xlrd2="http://schemas.microsoft.com/office/spreadsheetml/2017/richdata2" ref="E5:F109">
      <sortCondition ref="E2:E3"/>
    </sortState>
  </autoFilter>
  <mergeCells count="1">
    <mergeCell ref="E2:E3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7"/>
  <sheetViews>
    <sheetView showGridLines="0" tabSelected="1" zoomScale="127" workbookViewId="0">
      <selection activeCell="D18" sqref="D18"/>
    </sheetView>
  </sheetViews>
  <sheetFormatPr defaultRowHeight="14.4"/>
  <cols>
    <col min="1" max="1" width="1.88671875" customWidth="1"/>
    <col min="2" max="2" width="5.88671875" bestFit="1" customWidth="1"/>
    <col min="3" max="3" width="14.6640625" bestFit="1" customWidth="1"/>
    <col min="4" max="4" width="8.33203125" bestFit="1" customWidth="1"/>
    <col min="5" max="5" width="13.88671875" bestFit="1" customWidth="1"/>
    <col min="6" max="6" width="10.6640625" bestFit="1" customWidth="1"/>
    <col min="7" max="7" width="8.88671875" bestFit="1" customWidth="1"/>
  </cols>
  <sheetData>
    <row r="2" spans="2:7">
      <c r="B2" s="294" t="s">
        <v>271</v>
      </c>
      <c r="C2" s="130" t="s">
        <v>272</v>
      </c>
      <c r="D2" s="171" t="s">
        <v>273</v>
      </c>
      <c r="E2" s="171" t="s">
        <v>274</v>
      </c>
      <c r="F2" s="171" t="s">
        <v>275</v>
      </c>
      <c r="G2" s="171" t="s">
        <v>276</v>
      </c>
    </row>
    <row r="3" spans="2:7">
      <c r="B3" s="17">
        <v>1</v>
      </c>
      <c r="C3" t="s">
        <v>277</v>
      </c>
      <c r="D3" s="295">
        <v>3920.95</v>
      </c>
      <c r="E3" s="295">
        <v>255149.22</v>
      </c>
      <c r="F3" s="295">
        <v>712.91</v>
      </c>
      <c r="G3" s="295">
        <v>0.04</v>
      </c>
    </row>
    <row r="4" spans="2:7">
      <c r="B4" s="17">
        <v>2</v>
      </c>
      <c r="C4" t="s">
        <v>278</v>
      </c>
      <c r="D4" s="295">
        <v>5781.05</v>
      </c>
      <c r="E4" s="295">
        <v>205509.06</v>
      </c>
      <c r="F4" s="295">
        <v>1842.2</v>
      </c>
      <c r="G4" s="295">
        <v>0.39</v>
      </c>
    </row>
    <row r="5" spans="2:7">
      <c r="B5" s="17">
        <v>3</v>
      </c>
      <c r="C5" t="s">
        <v>279</v>
      </c>
      <c r="D5" s="295">
        <v>282.10000000000002</v>
      </c>
      <c r="E5" s="295">
        <v>32153.19</v>
      </c>
      <c r="F5" s="295">
        <v>9999.18</v>
      </c>
      <c r="G5" s="295">
        <v>2.44</v>
      </c>
    </row>
    <row r="6" spans="2:7">
      <c r="B6" s="17">
        <v>4</v>
      </c>
      <c r="C6" t="s">
        <v>280</v>
      </c>
      <c r="D6" s="295">
        <v>478.6</v>
      </c>
      <c r="E6" s="295">
        <v>24848.15</v>
      </c>
      <c r="F6" s="295">
        <v>1573.61</v>
      </c>
      <c r="G6" s="295">
        <v>0.33</v>
      </c>
    </row>
    <row r="7" spans="2:7">
      <c r="B7" s="17">
        <v>5</v>
      </c>
      <c r="C7" t="s">
        <v>281</v>
      </c>
      <c r="D7" s="295">
        <v>194.25</v>
      </c>
      <c r="E7" s="295">
        <v>10737.97</v>
      </c>
      <c r="F7" s="295">
        <v>650.59</v>
      </c>
      <c r="G7" s="295">
        <v>0.92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G28"/>
  <sheetViews>
    <sheetView showGridLines="0" workbookViewId="0">
      <selection activeCell="D15" sqref="D15"/>
    </sheetView>
  </sheetViews>
  <sheetFormatPr defaultRowHeight="14.4"/>
  <cols>
    <col min="1" max="1" width="1.88671875" customWidth="1"/>
    <col min="6" max="6" width="18.109375" bestFit="1" customWidth="1"/>
  </cols>
  <sheetData>
    <row r="2" spans="2:7">
      <c r="B2" s="130" t="s">
        <v>187</v>
      </c>
      <c r="C2" s="2" t="s">
        <v>338</v>
      </c>
    </row>
    <row r="3" spans="2:7">
      <c r="B3" s="17">
        <v>2000</v>
      </c>
      <c r="C3" s="22">
        <v>-0.14649999999999999</v>
      </c>
    </row>
    <row r="4" spans="2:7">
      <c r="B4" s="17">
        <v>2001</v>
      </c>
      <c r="C4" s="22">
        <v>-0.1618</v>
      </c>
    </row>
    <row r="5" spans="2:7">
      <c r="B5" s="17">
        <v>2002</v>
      </c>
      <c r="C5" s="22">
        <v>3.2500000000000001E-2</v>
      </c>
    </row>
    <row r="6" spans="2:7">
      <c r="B6" s="17">
        <v>2003</v>
      </c>
      <c r="C6" s="22">
        <v>0.71900000000000008</v>
      </c>
      <c r="F6" s="180" t="s">
        <v>339</v>
      </c>
      <c r="G6" s="181">
        <f>AVERAGE(C3:C27)</f>
        <v>0.15334799999999998</v>
      </c>
    </row>
    <row r="7" spans="2:7" ht="16.2">
      <c r="B7" s="17">
        <v>2004</v>
      </c>
      <c r="C7" s="22">
        <v>0.10679999999999999</v>
      </c>
      <c r="F7" s="180" t="s">
        <v>340</v>
      </c>
      <c r="G7" s="182" t="s">
        <v>341</v>
      </c>
    </row>
    <row r="8" spans="2:7">
      <c r="B8" s="17">
        <v>2005</v>
      </c>
      <c r="C8" s="22">
        <v>0.36340000000000006</v>
      </c>
      <c r="F8" s="183" t="s">
        <v>342</v>
      </c>
      <c r="G8" s="184">
        <f>SUM(G6:G7)</f>
        <v>0.15334799999999998</v>
      </c>
    </row>
    <row r="9" spans="2:7">
      <c r="B9" s="17">
        <v>2006</v>
      </c>
      <c r="C9" s="22">
        <v>0.39829999999999999</v>
      </c>
    </row>
    <row r="10" spans="2:7">
      <c r="B10" s="17">
        <v>2007</v>
      </c>
      <c r="C10" s="22">
        <v>0.54770000000000008</v>
      </c>
    </row>
    <row r="11" spans="2:7">
      <c r="B11" s="17">
        <v>2008</v>
      </c>
      <c r="C11" s="22">
        <v>-0.51790000000000003</v>
      </c>
    </row>
    <row r="12" spans="2:7">
      <c r="B12" s="17">
        <v>2009</v>
      </c>
      <c r="C12" s="22">
        <v>0.75760000000000005</v>
      </c>
    </row>
    <row r="13" spans="2:7">
      <c r="B13" s="17">
        <v>2010</v>
      </c>
      <c r="C13" s="22">
        <v>0.17949999999999999</v>
      </c>
    </row>
    <row r="14" spans="2:7">
      <c r="B14" s="17">
        <v>2011</v>
      </c>
      <c r="C14" s="22">
        <v>-0.2462</v>
      </c>
    </row>
    <row r="15" spans="2:7">
      <c r="B15" s="17">
        <v>2012</v>
      </c>
      <c r="C15" s="22">
        <v>0.27699999999999997</v>
      </c>
    </row>
    <row r="16" spans="2:7">
      <c r="B16" s="17">
        <v>2013</v>
      </c>
      <c r="C16" s="22">
        <v>6.7599999999999993E-2</v>
      </c>
    </row>
    <row r="17" spans="2:3">
      <c r="B17" s="17">
        <v>2014</v>
      </c>
      <c r="C17" s="22">
        <v>0.31390000000000001</v>
      </c>
    </row>
    <row r="18" spans="2:3">
      <c r="B18" s="17">
        <v>2015</v>
      </c>
      <c r="C18" s="22">
        <v>-4.0599999999999997E-2</v>
      </c>
    </row>
    <row r="19" spans="2:3">
      <c r="B19" s="17">
        <v>2016</v>
      </c>
      <c r="C19" s="22">
        <v>3.0099999999999998E-2</v>
      </c>
    </row>
    <row r="20" spans="2:3">
      <c r="B20" s="17">
        <v>2017</v>
      </c>
      <c r="C20" s="22">
        <v>0.28649999999999998</v>
      </c>
    </row>
    <row r="21" spans="2:3">
      <c r="B21" s="17">
        <v>2018</v>
      </c>
      <c r="C21" s="22">
        <v>3.15E-2</v>
      </c>
    </row>
    <row r="22" spans="2:3">
      <c r="B22" s="17">
        <v>2019</v>
      </c>
      <c r="C22" s="22">
        <v>0.1202</v>
      </c>
    </row>
    <row r="23" spans="2:3">
      <c r="B23" s="17">
        <v>2020</v>
      </c>
      <c r="C23" s="22">
        <v>0.14899999999999999</v>
      </c>
    </row>
    <row r="24" spans="2:3">
      <c r="B24" s="17">
        <v>2021</v>
      </c>
      <c r="C24" s="22">
        <v>0.2412</v>
      </c>
    </row>
    <row r="25" spans="2:3">
      <c r="B25" s="17">
        <v>2022</v>
      </c>
      <c r="C25" s="22">
        <v>4.3200000000000002E-2</v>
      </c>
    </row>
    <row r="26" spans="2:3">
      <c r="B26" s="17">
        <v>2023</v>
      </c>
      <c r="C26" s="22">
        <v>0.19420000000000001</v>
      </c>
    </row>
    <row r="27" spans="2:3">
      <c r="B27" s="17">
        <v>2024</v>
      </c>
      <c r="C27" s="22">
        <v>8.7499999999999994E-2</v>
      </c>
    </row>
    <row r="28" spans="2:3">
      <c r="B28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3"/>
  <sheetViews>
    <sheetView showGridLines="0" workbookViewId="0">
      <pane ySplit="2" topLeftCell="A42" activePane="bottomLeft" state="frozen"/>
      <selection pane="bottomLeft" activeCell="N9" sqref="N9"/>
    </sheetView>
  </sheetViews>
  <sheetFormatPr defaultColWidth="9.109375" defaultRowHeight="14.4"/>
  <cols>
    <col min="1" max="1" width="1.44140625" customWidth="1"/>
    <col min="2" max="2" width="24.88671875" bestFit="1" customWidth="1"/>
    <col min="7" max="7" width="14.33203125" customWidth="1"/>
    <col min="8" max="8" width="12.5546875" bestFit="1" customWidth="1"/>
    <col min="9" max="9" width="12.33203125" bestFit="1" customWidth="1"/>
    <col min="10" max="10" width="14.33203125" bestFit="1" customWidth="1"/>
    <col min="11" max="11" width="13.6640625" bestFit="1" customWidth="1"/>
    <col min="14" max="14" width="13.5546875" bestFit="1" customWidth="1"/>
  </cols>
  <sheetData>
    <row r="2" spans="2:11">
      <c r="B2" s="134" t="s">
        <v>317</v>
      </c>
      <c r="C2" s="134"/>
      <c r="D2" s="134"/>
      <c r="E2" s="134"/>
      <c r="F2" s="134"/>
      <c r="G2" s="151">
        <f>'Raw FS'!$J$2</f>
        <v>43891</v>
      </c>
      <c r="H2" s="151">
        <f>'Raw FS'!$J$2</f>
        <v>43891</v>
      </c>
      <c r="I2" s="151">
        <f>'Raw FS'!$J$2</f>
        <v>43891</v>
      </c>
      <c r="J2" s="151">
        <f>'Raw FS'!$J$2</f>
        <v>43891</v>
      </c>
      <c r="K2" s="151">
        <f>'Raw FS'!$J$2</f>
        <v>43891</v>
      </c>
    </row>
    <row r="4" spans="2:11">
      <c r="B4" s="2" t="s">
        <v>318</v>
      </c>
    </row>
    <row r="5" spans="2:11">
      <c r="B5" s="154" t="str">
        <f>'Raw FS'!B35</f>
        <v>Inventories</v>
      </c>
      <c r="C5" s="154"/>
      <c r="D5" s="154"/>
      <c r="E5" s="154"/>
      <c r="F5" s="154"/>
      <c r="G5" s="163">
        <f>'Raw FS'!J35</f>
        <v>3390</v>
      </c>
      <c r="H5" s="163">
        <f>'Raw FS'!K35</f>
        <v>3799</v>
      </c>
      <c r="I5" s="163">
        <f>'Raw FS'!L35</f>
        <v>6153</v>
      </c>
      <c r="J5" s="163">
        <f>'Raw FS'!M35</f>
        <v>6211</v>
      </c>
      <c r="K5" s="163">
        <f>'Raw FS'!N35</f>
        <v>5923</v>
      </c>
    </row>
    <row r="6" spans="2:11">
      <c r="B6" s="154" t="str">
        <f>'Raw FS'!B36</f>
        <v>Trade receivables </v>
      </c>
      <c r="C6" s="154"/>
      <c r="D6" s="154"/>
      <c r="E6" s="154"/>
      <c r="F6" s="154"/>
      <c r="G6" s="163">
        <f>'Raw FS'!J36</f>
        <v>1795</v>
      </c>
      <c r="H6" s="163">
        <f>'Raw FS'!K36</f>
        <v>2602</v>
      </c>
      <c r="I6" s="163">
        <f>'Raw FS'!L36</f>
        <v>3871</v>
      </c>
      <c r="J6" s="163">
        <f>'Raw FS'!M36</f>
        <v>4637</v>
      </c>
      <c r="K6" s="163">
        <f>'Raw FS'!N36</f>
        <v>4889</v>
      </c>
    </row>
    <row r="7" spans="2:11">
      <c r="B7" s="154" t="str">
        <f>'Raw FS'!B41</f>
        <v>Loans n Advances</v>
      </c>
      <c r="C7" s="154"/>
      <c r="D7" s="154"/>
      <c r="E7" s="154"/>
      <c r="F7" s="154"/>
      <c r="G7" s="163">
        <f>'Raw FS'!J41</f>
        <v>12</v>
      </c>
      <c r="H7" s="163">
        <f>'Raw FS'!K41</f>
        <v>11</v>
      </c>
      <c r="I7" s="163">
        <f>'Raw FS'!L41</f>
        <v>8</v>
      </c>
      <c r="J7" s="163">
        <f>'Raw FS'!M41</f>
        <v>12</v>
      </c>
      <c r="K7" s="163">
        <f>'Raw FS'!N41</f>
        <v>17</v>
      </c>
    </row>
    <row r="8" spans="2:11">
      <c r="B8" s="85" t="str">
        <f>'Raw FS'!B42</f>
        <v>Other asset items</v>
      </c>
      <c r="C8" s="85"/>
      <c r="D8" s="85"/>
      <c r="E8" s="85"/>
      <c r="F8" s="85"/>
      <c r="G8" s="159">
        <f>'Raw FS'!J42</f>
        <v>1727</v>
      </c>
      <c r="H8" s="159">
        <f>'Raw FS'!K42</f>
        <v>2555</v>
      </c>
      <c r="I8" s="159">
        <f>'Raw FS'!L42</f>
        <v>2869</v>
      </c>
      <c r="J8" s="159">
        <f>'Raw FS'!M42</f>
        <v>3024</v>
      </c>
      <c r="K8" s="159">
        <f>'Raw FS'!N42</f>
        <v>3555</v>
      </c>
    </row>
    <row r="9" spans="2:11">
      <c r="B9" s="153" t="s">
        <v>319</v>
      </c>
      <c r="C9" s="152"/>
      <c r="D9" s="152"/>
      <c r="E9" s="152"/>
      <c r="F9" s="152"/>
      <c r="G9" s="162">
        <f>SUM(G5:G8)</f>
        <v>6924</v>
      </c>
      <c r="H9" s="162">
        <f t="shared" ref="H9:K9" si="0">SUM(H5:H8)</f>
        <v>8967</v>
      </c>
      <c r="I9" s="162">
        <f t="shared" si="0"/>
        <v>12901</v>
      </c>
      <c r="J9" s="162">
        <f t="shared" si="0"/>
        <v>13884</v>
      </c>
      <c r="K9" s="162">
        <f t="shared" si="0"/>
        <v>14384</v>
      </c>
    </row>
    <row r="10" spans="2:11">
      <c r="G10" s="159"/>
      <c r="H10" s="159"/>
      <c r="I10" s="159"/>
      <c r="J10" s="159"/>
      <c r="K10" s="159"/>
    </row>
    <row r="11" spans="2:11">
      <c r="B11" s="2" t="s">
        <v>321</v>
      </c>
      <c r="G11" s="159"/>
      <c r="H11" s="159"/>
      <c r="I11" s="159"/>
      <c r="J11" s="159"/>
      <c r="K11" s="159"/>
    </row>
    <row r="12" spans="2:11">
      <c r="B12" s="154" t="str">
        <f>'Raw FS'!B13</f>
        <v>Trade Payables</v>
      </c>
      <c r="C12" s="154"/>
      <c r="D12" s="154"/>
      <c r="E12" s="154"/>
      <c r="F12" s="154"/>
      <c r="G12" s="163">
        <f>'Raw FS'!J13</f>
        <v>2137</v>
      </c>
      <c r="H12" s="163">
        <f>'Raw FS'!K13</f>
        <v>3379</v>
      </c>
      <c r="I12" s="163">
        <f>'Raw FS'!L13</f>
        <v>4164</v>
      </c>
      <c r="J12" s="163">
        <f>'Raw FS'!M13</f>
        <v>3635</v>
      </c>
      <c r="K12" s="163">
        <f>'Raw FS'!N13</f>
        <v>3831</v>
      </c>
    </row>
    <row r="13" spans="2:11">
      <c r="B13" s="154" t="str">
        <f>'Raw FS'!B14</f>
        <v>Advance from Customers</v>
      </c>
      <c r="C13" s="154"/>
      <c r="D13" s="154"/>
      <c r="E13" s="154"/>
      <c r="F13" s="154"/>
      <c r="G13" s="163">
        <f>'Raw FS'!J14</f>
        <v>29</v>
      </c>
      <c r="H13" s="163">
        <f>'Raw FS'!K14</f>
        <v>41</v>
      </c>
      <c r="I13" s="163">
        <f>'Raw FS'!L14</f>
        <v>76</v>
      </c>
      <c r="J13" s="163">
        <f>'Raw FS'!M14</f>
        <v>108</v>
      </c>
      <c r="K13" s="163">
        <f>'Raw FS'!N14</f>
        <v>154</v>
      </c>
    </row>
    <row r="14" spans="2:11">
      <c r="B14" s="154" t="str">
        <f>'Raw FS'!B15</f>
        <v>Other liability items</v>
      </c>
      <c r="C14" s="154"/>
      <c r="D14" s="154"/>
      <c r="E14" s="154"/>
      <c r="F14" s="154"/>
      <c r="G14" s="159">
        <f>'Raw FS'!J15</f>
        <v>2320</v>
      </c>
      <c r="H14" s="159">
        <f>'Raw FS'!K15</f>
        <v>2613</v>
      </c>
      <c r="I14" s="159">
        <f>'Raw FS'!L15</f>
        <v>2932</v>
      </c>
      <c r="J14" s="159">
        <f>'Raw FS'!M15</f>
        <v>3657</v>
      </c>
      <c r="K14" s="159">
        <f>'Raw FS'!N15</f>
        <v>4017</v>
      </c>
    </row>
    <row r="15" spans="2:11">
      <c r="B15" s="153" t="s">
        <v>320</v>
      </c>
      <c r="C15" s="152"/>
      <c r="D15" s="152"/>
      <c r="E15" s="152"/>
      <c r="F15" s="152"/>
      <c r="G15" s="162">
        <f>SUM(G12:G14)</f>
        <v>4486</v>
      </c>
      <c r="H15" s="162">
        <f>SUM(H12:H14)</f>
        <v>6033</v>
      </c>
      <c r="I15" s="162">
        <f>SUM(I12:I14)</f>
        <v>7172</v>
      </c>
      <c r="J15" s="162">
        <f>SUM(J12:J14)</f>
        <v>7400</v>
      </c>
      <c r="K15" s="162">
        <f>SUM(K12:K14)</f>
        <v>8002</v>
      </c>
    </row>
    <row r="16" spans="2:11">
      <c r="G16" s="164"/>
      <c r="H16" s="164"/>
      <c r="I16" s="164"/>
      <c r="J16" s="164"/>
      <c r="K16" s="164"/>
    </row>
    <row r="17" spans="1:11" ht="15" thickBot="1">
      <c r="A17" t="s">
        <v>84</v>
      </c>
      <c r="B17" s="156" t="s">
        <v>322</v>
      </c>
      <c r="C17" s="156"/>
      <c r="D17" s="156"/>
      <c r="E17" s="156"/>
      <c r="F17" s="156"/>
      <c r="G17" s="167">
        <f>G9-G15</f>
        <v>2438</v>
      </c>
      <c r="H17" s="167">
        <f t="shared" ref="H17:K17" si="1">H9-H15</f>
        <v>2934</v>
      </c>
      <c r="I17" s="167">
        <f t="shared" si="1"/>
        <v>5729</v>
      </c>
      <c r="J17" s="167">
        <f t="shared" si="1"/>
        <v>6484</v>
      </c>
      <c r="K17" s="167">
        <f t="shared" si="1"/>
        <v>6382</v>
      </c>
    </row>
    <row r="18" spans="1:11">
      <c r="G18" s="159"/>
      <c r="H18" s="159"/>
      <c r="I18" s="159"/>
      <c r="J18" s="159"/>
      <c r="K18" s="159"/>
    </row>
    <row r="19" spans="1:11">
      <c r="B19" s="2" t="s">
        <v>323</v>
      </c>
      <c r="G19" s="159"/>
      <c r="H19" s="159"/>
      <c r="I19" s="159"/>
      <c r="J19" s="159"/>
      <c r="K19" s="159"/>
    </row>
    <row r="20" spans="1:11">
      <c r="B20" s="154" t="str">
        <f>'Raw FS'!B19</f>
        <v>Land</v>
      </c>
      <c r="C20" s="154"/>
      <c r="D20" s="154"/>
      <c r="E20" s="154"/>
      <c r="F20" s="154"/>
      <c r="G20" s="163">
        <f>'Raw FS'!J19</f>
        <v>640</v>
      </c>
      <c r="H20" s="163">
        <f>'Raw FS'!K19</f>
        <v>644</v>
      </c>
      <c r="I20" s="163">
        <f>'Raw FS'!L19</f>
        <v>644</v>
      </c>
      <c r="J20" s="163">
        <f>'Raw FS'!M19</f>
        <v>804</v>
      </c>
      <c r="K20" s="163">
        <f>'Raw FS'!N19</f>
        <v>1126</v>
      </c>
    </row>
    <row r="21" spans="1:11">
      <c r="B21" s="154" t="str">
        <f>'Raw FS'!B20</f>
        <v>Building</v>
      </c>
      <c r="C21" s="154"/>
      <c r="D21" s="154"/>
      <c r="E21" s="154"/>
      <c r="F21" s="154"/>
      <c r="G21" s="163">
        <f>'Raw FS'!J20</f>
        <v>2257</v>
      </c>
      <c r="H21" s="163">
        <f>'Raw FS'!K20</f>
        <v>2249</v>
      </c>
      <c r="I21" s="163">
        <f>'Raw FS'!L20</f>
        <v>2325</v>
      </c>
      <c r="J21" s="163">
        <f>'Raw FS'!M20</f>
        <v>2883</v>
      </c>
      <c r="K21" s="163">
        <f>'Raw FS'!N20</f>
        <v>3390</v>
      </c>
    </row>
    <row r="22" spans="1:11">
      <c r="B22" s="154" t="str">
        <f>'Raw FS'!B21</f>
        <v>Plant Machinery</v>
      </c>
      <c r="C22" s="154"/>
      <c r="D22" s="154"/>
      <c r="E22" s="154"/>
      <c r="F22" s="154"/>
      <c r="G22" s="163">
        <f>'Raw FS'!J21</f>
        <v>4208</v>
      </c>
      <c r="H22" s="163">
        <f>'Raw FS'!K21</f>
        <v>4340</v>
      </c>
      <c r="I22" s="163">
        <f>'Raw FS'!L21</f>
        <v>4531</v>
      </c>
      <c r="J22" s="163">
        <f>'Raw FS'!M21</f>
        <v>4825</v>
      </c>
      <c r="K22" s="163">
        <f>'Raw FS'!N21</f>
        <v>5422</v>
      </c>
    </row>
    <row r="23" spans="1:11">
      <c r="B23" s="154" t="str">
        <f>'Raw FS'!B22</f>
        <v>Equipments</v>
      </c>
      <c r="C23" s="154"/>
      <c r="D23" s="154"/>
      <c r="E23" s="154"/>
      <c r="F23" s="154"/>
      <c r="G23" s="163">
        <f>'Raw FS'!J22</f>
        <v>241</v>
      </c>
      <c r="H23" s="163">
        <f>'Raw FS'!K22</f>
        <v>243</v>
      </c>
      <c r="I23" s="163">
        <f>'Raw FS'!L22</f>
        <v>253</v>
      </c>
      <c r="J23" s="163">
        <f>'Raw FS'!M22</f>
        <v>270</v>
      </c>
      <c r="K23" s="163">
        <f>'Raw FS'!N22</f>
        <v>298</v>
      </c>
    </row>
    <row r="24" spans="1:11">
      <c r="B24" s="154" t="str">
        <f>'Raw FS'!B23</f>
        <v>Furniture n fittings</v>
      </c>
      <c r="C24" s="154"/>
      <c r="D24" s="154"/>
      <c r="E24" s="154"/>
      <c r="F24" s="154"/>
      <c r="G24" s="163">
        <f>'Raw FS'!J23</f>
        <v>94</v>
      </c>
      <c r="H24" s="163">
        <f>'Raw FS'!K23</f>
        <v>99</v>
      </c>
      <c r="I24" s="163">
        <f>'Raw FS'!L23</f>
        <v>113</v>
      </c>
      <c r="J24" s="163">
        <f>'Raw FS'!M23</f>
        <v>146</v>
      </c>
      <c r="K24" s="163">
        <f>'Raw FS'!N23</f>
        <v>175</v>
      </c>
    </row>
    <row r="25" spans="1:11">
      <c r="B25" s="154" t="str">
        <f>'Raw FS'!B24</f>
        <v>Vehicles</v>
      </c>
      <c r="C25" s="154"/>
      <c r="D25" s="154"/>
      <c r="E25" s="154"/>
      <c r="F25" s="154"/>
      <c r="G25" s="163">
        <f>'Raw FS'!J24</f>
        <v>43</v>
      </c>
      <c r="H25" s="163">
        <f>'Raw FS'!K24</f>
        <v>38</v>
      </c>
      <c r="I25" s="163">
        <f>'Raw FS'!L24</f>
        <v>32</v>
      </c>
      <c r="J25" s="163">
        <f>'Raw FS'!M24</f>
        <v>36</v>
      </c>
      <c r="K25" s="163">
        <f>'Raw FS'!N24</f>
        <v>40</v>
      </c>
    </row>
    <row r="26" spans="1:11">
      <c r="B26" s="154" t="str">
        <f>'Raw FS'!B25</f>
        <v>Intangible Assets</v>
      </c>
      <c r="C26" s="154"/>
      <c r="D26" s="154"/>
      <c r="E26" s="154"/>
      <c r="F26" s="154"/>
      <c r="G26" s="163">
        <f>'Raw FS'!J25</f>
        <v>505</v>
      </c>
      <c r="H26" s="163">
        <f>'Raw FS'!K25</f>
        <v>476</v>
      </c>
      <c r="I26" s="163">
        <f>'Raw FS'!L25</f>
        <v>345</v>
      </c>
      <c r="J26" s="163">
        <f>'Raw FS'!M25</f>
        <v>422</v>
      </c>
      <c r="K26" s="163">
        <f>'Raw FS'!N25</f>
        <v>850</v>
      </c>
    </row>
    <row r="27" spans="1:11">
      <c r="B27" s="154" t="str">
        <f>'Raw FS'!B26</f>
        <v>Other fixed assets</v>
      </c>
      <c r="C27" s="154"/>
      <c r="D27" s="154"/>
      <c r="E27" s="154"/>
      <c r="F27" s="154"/>
      <c r="G27" s="163">
        <f>'Raw FS'!J26</f>
        <v>293</v>
      </c>
      <c r="H27" s="163">
        <f>'Raw FS'!K26</f>
        <v>302</v>
      </c>
      <c r="I27" s="163">
        <f>'Raw FS'!L26</f>
        <v>294</v>
      </c>
      <c r="J27" s="163">
        <f>'Raw FS'!M26</f>
        <v>289</v>
      </c>
      <c r="K27" s="163">
        <f>'Raw FS'!N26</f>
        <v>321</v>
      </c>
    </row>
    <row r="28" spans="1:11" ht="4.5" customHeight="1">
      <c r="G28" s="159"/>
      <c r="H28" s="159"/>
      <c r="I28" s="159"/>
      <c r="J28" s="159"/>
      <c r="K28" s="159"/>
    </row>
    <row r="29" spans="1:11">
      <c r="B29" s="153" t="s">
        <v>311</v>
      </c>
      <c r="C29" s="152"/>
      <c r="D29" s="152"/>
      <c r="E29" s="152"/>
      <c r="F29" s="152"/>
      <c r="G29" s="162">
        <f>SUM(G20:G27)</f>
        <v>8281</v>
      </c>
      <c r="H29" s="162">
        <f>SUM(H20:H27)</f>
        <v>8391</v>
      </c>
      <c r="I29" s="162">
        <f>SUM(I20:I27)</f>
        <v>8537</v>
      </c>
      <c r="J29" s="162">
        <f>SUM(J20:J27)</f>
        <v>9675</v>
      </c>
      <c r="K29" s="162">
        <f>SUM(K20:K27)</f>
        <v>11622</v>
      </c>
    </row>
    <row r="30" spans="1:11">
      <c r="B30" t="str">
        <f>'Raw FS'!B28</f>
        <v>Accumulated Depreciation</v>
      </c>
      <c r="G30" s="162">
        <f>-'Raw FS'!J28</f>
        <v>-2010</v>
      </c>
      <c r="H30" s="162">
        <f>-'Raw FS'!K28</f>
        <v>-2533</v>
      </c>
      <c r="I30" s="162">
        <f>-'Raw FS'!L28</f>
        <v>-3019</v>
      </c>
      <c r="J30" s="162">
        <f>-'Raw FS'!M28</f>
        <v>-3814</v>
      </c>
      <c r="K30" s="162">
        <f>-'Raw FS'!N28</f>
        <v>-4381</v>
      </c>
    </row>
    <row r="31" spans="1:11" ht="15" thickBot="1">
      <c r="A31" t="s">
        <v>84</v>
      </c>
      <c r="B31" s="156" t="s">
        <v>324</v>
      </c>
      <c r="C31" s="156"/>
      <c r="D31" s="156"/>
      <c r="E31" s="156"/>
      <c r="F31" s="156"/>
      <c r="G31" s="167">
        <f>SUM(G29:G30)</f>
        <v>6271</v>
      </c>
      <c r="H31" s="167">
        <f t="shared" ref="H31:K31" si="2">SUM(H29:H30)</f>
        <v>5858</v>
      </c>
      <c r="I31" s="167">
        <f t="shared" si="2"/>
        <v>5518</v>
      </c>
      <c r="J31" s="167">
        <f t="shared" si="2"/>
        <v>5861</v>
      </c>
      <c r="K31" s="167">
        <f t="shared" si="2"/>
        <v>7241</v>
      </c>
    </row>
    <row r="32" spans="1:11">
      <c r="G32" s="159"/>
      <c r="H32" s="159"/>
      <c r="I32" s="159"/>
      <c r="J32" s="159"/>
      <c r="K32" s="159"/>
    </row>
    <row r="33" spans="1:11">
      <c r="A33" t="s">
        <v>84</v>
      </c>
      <c r="B33" s="2" t="s">
        <v>325</v>
      </c>
      <c r="G33" s="159">
        <f>G31+G17</f>
        <v>8709</v>
      </c>
      <c r="H33" s="159">
        <f t="shared" ref="H33:K33" si="3">H31+H17</f>
        <v>8792</v>
      </c>
      <c r="I33" s="159">
        <f t="shared" si="3"/>
        <v>11247</v>
      </c>
      <c r="J33" s="159">
        <f t="shared" si="3"/>
        <v>12345</v>
      </c>
      <c r="K33" s="159">
        <f t="shared" si="3"/>
        <v>13623</v>
      </c>
    </row>
    <row r="34" spans="1:11">
      <c r="B34" s="2" t="s">
        <v>326</v>
      </c>
      <c r="C34" s="2"/>
      <c r="D34" s="2"/>
      <c r="E34" s="2"/>
      <c r="F34" s="2"/>
      <c r="G34" s="159">
        <f>HistoricalFS!H26+HistoricalFS!H20</f>
        <v>1753.9000000000005</v>
      </c>
      <c r="H34" s="159">
        <f>HistoricalFS!I26+HistoricalFS!I20</f>
        <v>1330.6699999999985</v>
      </c>
      <c r="I34" s="159">
        <f>HistoricalFS!J26+HistoricalFS!J20</f>
        <v>2004.2700000000013</v>
      </c>
      <c r="J34" s="159">
        <f>HistoricalFS!K26+HistoricalFS!K20</f>
        <v>2999.8999999999969</v>
      </c>
      <c r="K34" s="159">
        <f>HistoricalFS!L26+HistoricalFS!L20</f>
        <v>3374.8800000000051</v>
      </c>
    </row>
    <row r="36" spans="1:11" ht="15" thickBot="1">
      <c r="B36" s="156" t="s">
        <v>327</v>
      </c>
      <c r="C36" s="155"/>
      <c r="D36" s="155"/>
      <c r="E36" s="155"/>
      <c r="F36" s="156"/>
      <c r="G36" s="160">
        <f>G34/G33</f>
        <v>0.20138936732116208</v>
      </c>
      <c r="H36" s="160">
        <f t="shared" ref="H36:K36" si="4">H34/H33</f>
        <v>0.15135009099181057</v>
      </c>
      <c r="I36" s="160">
        <f t="shared" si="4"/>
        <v>0.17820485462790089</v>
      </c>
      <c r="J36" s="160">
        <f t="shared" si="4"/>
        <v>0.24300526528959068</v>
      </c>
      <c r="K36" s="160">
        <f t="shared" si="4"/>
        <v>0.24773397929971411</v>
      </c>
    </row>
    <row r="39" spans="1:11">
      <c r="B39" s="134" t="s">
        <v>328</v>
      </c>
      <c r="C39" s="134"/>
      <c r="D39" s="134"/>
      <c r="E39" s="134"/>
      <c r="F39" s="134"/>
      <c r="G39" s="151">
        <f>'Raw FS'!$J$2</f>
        <v>43891</v>
      </c>
      <c r="H39" s="151">
        <f>'Raw FS'!$J$2</f>
        <v>43891</v>
      </c>
      <c r="I39" s="151">
        <f>'Raw FS'!$J$2</f>
        <v>43891</v>
      </c>
      <c r="J39" s="151">
        <f>'Raw FS'!$J$2</f>
        <v>43891</v>
      </c>
      <c r="K39" s="151">
        <f>'Raw FS'!$J$2</f>
        <v>43891</v>
      </c>
    </row>
    <row r="41" spans="1:11">
      <c r="B41" s="154" t="s">
        <v>329</v>
      </c>
      <c r="C41" s="154"/>
      <c r="D41" s="154"/>
      <c r="E41" s="154"/>
      <c r="F41" s="154"/>
      <c r="G41" s="163">
        <f>-SUM('Raw FS'!J61:J62)</f>
        <v>367</v>
      </c>
      <c r="H41" s="163">
        <f>-SUM('Raw FS'!K61:K62)</f>
        <v>254</v>
      </c>
      <c r="I41" s="163">
        <f>-SUM('Raw FS'!L61:L62)</f>
        <v>511</v>
      </c>
      <c r="J41" s="163">
        <f>-SUM('Raw FS'!M61:M62)</f>
        <v>1420</v>
      </c>
      <c r="K41" s="163">
        <f>-SUM('Raw FS'!N61:N62)</f>
        <v>2491</v>
      </c>
    </row>
    <row r="42" spans="1:11">
      <c r="B42" s="154" t="s">
        <v>330</v>
      </c>
      <c r="C42" s="154"/>
      <c r="D42" s="154"/>
      <c r="E42" s="154"/>
      <c r="F42" s="154"/>
      <c r="G42" s="163"/>
      <c r="H42" s="163">
        <f>H17-G17</f>
        <v>496</v>
      </c>
      <c r="I42" s="163">
        <f t="shared" ref="I42:K42" si="5">I17-H17</f>
        <v>2795</v>
      </c>
      <c r="J42" s="163">
        <f t="shared" si="5"/>
        <v>755</v>
      </c>
      <c r="K42" s="163">
        <f t="shared" si="5"/>
        <v>-102</v>
      </c>
    </row>
    <row r="43" spans="1:11">
      <c r="B43" s="154"/>
      <c r="C43" s="154"/>
      <c r="D43" s="154"/>
      <c r="E43" s="154"/>
      <c r="F43" s="154"/>
      <c r="G43" s="163"/>
      <c r="H43" s="163"/>
      <c r="I43" s="163"/>
      <c r="J43" s="163"/>
      <c r="K43" s="163"/>
    </row>
    <row r="44" spans="1:11">
      <c r="B44" s="154" t="s">
        <v>326</v>
      </c>
      <c r="C44" s="154"/>
      <c r="D44" s="154"/>
      <c r="E44" s="154"/>
      <c r="F44" s="154"/>
      <c r="G44" s="163">
        <f>G34</f>
        <v>1753.9000000000005</v>
      </c>
      <c r="H44" s="163">
        <f t="shared" ref="H44:K44" si="6">H34</f>
        <v>1330.6699999999985</v>
      </c>
      <c r="I44" s="163">
        <f t="shared" si="6"/>
        <v>2004.2700000000013</v>
      </c>
      <c r="J44" s="163">
        <f t="shared" si="6"/>
        <v>2999.8999999999969</v>
      </c>
      <c r="K44" s="163">
        <f t="shared" si="6"/>
        <v>3374.8800000000051</v>
      </c>
    </row>
    <row r="45" spans="1:11">
      <c r="B45" s="154" t="s">
        <v>331</v>
      </c>
      <c r="C45" s="154"/>
      <c r="D45" s="154"/>
      <c r="E45" s="154"/>
      <c r="F45" s="154"/>
      <c r="G45" s="165">
        <v>0.25</v>
      </c>
      <c r="H45" s="165">
        <v>0.25</v>
      </c>
      <c r="I45" s="165">
        <v>0.25</v>
      </c>
      <c r="J45" s="165">
        <v>0.25</v>
      </c>
      <c r="K45" s="165">
        <v>0.25</v>
      </c>
    </row>
    <row r="46" spans="1:11">
      <c r="B46" s="154" t="s">
        <v>333</v>
      </c>
      <c r="C46" s="154"/>
      <c r="D46" s="154"/>
      <c r="E46" s="154"/>
      <c r="F46" s="154"/>
      <c r="G46" s="163">
        <f>G44*(1-G45)</f>
        <v>1315.4250000000004</v>
      </c>
      <c r="H46" s="163">
        <f t="shared" ref="H46:K46" si="7">H44*(1-H45)</f>
        <v>998.00249999999892</v>
      </c>
      <c r="I46" s="163">
        <f t="shared" si="7"/>
        <v>1503.202500000001</v>
      </c>
      <c r="J46" s="163">
        <f t="shared" si="7"/>
        <v>2249.9249999999975</v>
      </c>
      <c r="K46" s="163">
        <f t="shared" si="7"/>
        <v>2531.1600000000039</v>
      </c>
    </row>
    <row r="48" spans="1:11">
      <c r="B48" s="154" t="s">
        <v>316</v>
      </c>
      <c r="C48" s="154"/>
      <c r="D48" s="154"/>
      <c r="E48" s="154"/>
      <c r="F48" s="154"/>
      <c r="G48" s="163"/>
      <c r="H48" s="163">
        <f>SUM(H41:H42)</f>
        <v>750</v>
      </c>
      <c r="I48" s="163">
        <f t="shared" ref="I48:K48" si="8">SUM(I41:I42)</f>
        <v>3306</v>
      </c>
      <c r="J48" s="163">
        <f t="shared" si="8"/>
        <v>2175</v>
      </c>
      <c r="K48" s="163">
        <f t="shared" si="8"/>
        <v>2389</v>
      </c>
    </row>
    <row r="49" spans="2:12" ht="6" customHeight="1"/>
    <row r="50" spans="2:12" ht="15" thickBot="1">
      <c r="B50" s="156" t="s">
        <v>332</v>
      </c>
      <c r="C50" s="156"/>
      <c r="D50" s="156"/>
      <c r="E50" s="156"/>
      <c r="F50" s="156"/>
      <c r="G50" s="155"/>
      <c r="H50" s="160">
        <f>H48/H46</f>
        <v>0.75150112349418041</v>
      </c>
      <c r="I50" s="160">
        <f>I48/I46</f>
        <v>2.1993044849246841</v>
      </c>
      <c r="J50" s="160">
        <f>J48/J46</f>
        <v>0.96669888996299991</v>
      </c>
      <c r="K50" s="160">
        <f>K48/K46</f>
        <v>0.94383602775012099</v>
      </c>
      <c r="L50" s="2"/>
    </row>
    <row r="51" spans="2:12">
      <c r="H51" s="161"/>
      <c r="I51" s="161"/>
      <c r="J51" s="161"/>
      <c r="K51" s="161"/>
    </row>
    <row r="52" spans="2:12">
      <c r="J52" s="169" t="s">
        <v>334</v>
      </c>
      <c r="K52" s="170">
        <f>AVERAGE(H50:K50)</f>
        <v>1.2153351315329963</v>
      </c>
    </row>
    <row r="53" spans="2:12">
      <c r="J53" s="169" t="s">
        <v>335</v>
      </c>
      <c r="K53" s="170">
        <f>MEDIAN(H50:K50)</f>
        <v>0.95526745885656039</v>
      </c>
    </row>
    <row r="55" spans="2:12">
      <c r="B55" s="134" t="s">
        <v>336</v>
      </c>
      <c r="C55" s="134"/>
      <c r="D55" s="134"/>
      <c r="E55" s="134"/>
      <c r="F55" s="134"/>
      <c r="G55" s="151">
        <f>'Raw FS'!$J$2</f>
        <v>43891</v>
      </c>
      <c r="H55" s="151">
        <f>'Raw FS'!$J$2</f>
        <v>43891</v>
      </c>
      <c r="I55" s="151">
        <f>'Raw FS'!$J$2</f>
        <v>43891</v>
      </c>
      <c r="J55" s="151">
        <f>'Raw FS'!$J$2</f>
        <v>43891</v>
      </c>
      <c r="K55" s="151">
        <f>'Raw FS'!$J$2</f>
        <v>43891</v>
      </c>
    </row>
    <row r="57" spans="2:12">
      <c r="B57" s="154" t="s">
        <v>332</v>
      </c>
      <c r="C57" s="154"/>
      <c r="D57" s="154"/>
      <c r="E57" s="154"/>
      <c r="F57" s="154"/>
      <c r="G57" s="154"/>
      <c r="H57" s="166">
        <f>H50</f>
        <v>0.75150112349418041</v>
      </c>
      <c r="I57" s="166">
        <f t="shared" ref="I57:K57" si="9">I50</f>
        <v>2.1993044849246841</v>
      </c>
      <c r="J57" s="166">
        <f t="shared" si="9"/>
        <v>0.96669888996299991</v>
      </c>
      <c r="K57" s="166">
        <f t="shared" si="9"/>
        <v>0.94383602775012099</v>
      </c>
    </row>
    <row r="58" spans="2:12">
      <c r="B58" s="154" t="s">
        <v>327</v>
      </c>
      <c r="C58" s="154"/>
      <c r="D58" s="154"/>
      <c r="E58" s="154"/>
      <c r="F58" s="154"/>
      <c r="G58" s="154"/>
      <c r="H58" s="166">
        <f>H36</f>
        <v>0.15135009099181057</v>
      </c>
      <c r="I58" s="166">
        <f t="shared" ref="I58:K58" si="10">I36</f>
        <v>0.17820485462790089</v>
      </c>
      <c r="J58" s="166">
        <f t="shared" si="10"/>
        <v>0.24300526528959068</v>
      </c>
      <c r="K58" s="166">
        <f t="shared" si="10"/>
        <v>0.24773397929971411</v>
      </c>
    </row>
    <row r="59" spans="2:12" ht="6" customHeight="1">
      <c r="H59" s="5"/>
      <c r="I59" s="5"/>
      <c r="J59" s="5"/>
      <c r="K59" s="5"/>
    </row>
    <row r="60" spans="2:12" ht="15" thickBot="1">
      <c r="B60" s="155" t="s">
        <v>337</v>
      </c>
      <c r="C60" s="155"/>
      <c r="D60" s="155"/>
      <c r="E60" s="155"/>
      <c r="F60" s="155"/>
      <c r="G60" s="155"/>
      <c r="H60" s="168">
        <f>H58*H57</f>
        <v>0.11373976342129208</v>
      </c>
      <c r="I60" s="168">
        <f t="shared" ref="I60:K60" si="11">I58*I57</f>
        <v>0.39192673601849376</v>
      </c>
      <c r="J60" s="168">
        <f t="shared" si="11"/>
        <v>0.23491292021061164</v>
      </c>
      <c r="K60" s="168">
        <f t="shared" si="11"/>
        <v>0.23382025496097286</v>
      </c>
    </row>
    <row r="62" spans="2:12">
      <c r="J62" s="169" t="s">
        <v>334</v>
      </c>
      <c r="K62" s="170">
        <f>AVERAGE(H60:K60)</f>
        <v>0.24359991865284258</v>
      </c>
    </row>
    <row r="63" spans="2:12">
      <c r="J63" s="169" t="s">
        <v>335</v>
      </c>
      <c r="K63" s="170">
        <f>MEDIAN(H60:K60)</f>
        <v>0.23436658758579226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R38"/>
  <sheetViews>
    <sheetView showGridLines="0" workbookViewId="0">
      <selection activeCell="K6" sqref="K6"/>
    </sheetView>
  </sheetViews>
  <sheetFormatPr defaultColWidth="9.109375" defaultRowHeight="14.4"/>
  <cols>
    <col min="1" max="1" width="1.44140625" style="219" customWidth="1"/>
    <col min="2" max="2" width="21.109375" style="219" customWidth="1"/>
    <col min="3" max="3" width="9" style="219" customWidth="1"/>
    <col min="4" max="4" width="11" style="219" bestFit="1" customWidth="1"/>
    <col min="5" max="5" width="11.6640625" style="219" customWidth="1"/>
    <col min="6" max="7" width="9.6640625" style="219" bestFit="1" customWidth="1"/>
    <col min="8" max="8" width="10.88671875" style="219" customWidth="1"/>
    <col min="9" max="9" width="9.109375" style="219"/>
    <col min="10" max="10" width="1.88671875" style="219" customWidth="1"/>
    <col min="11" max="11" width="9.6640625" style="219" bestFit="1" customWidth="1"/>
    <col min="12" max="12" width="9.33203125" style="219" bestFit="1" customWidth="1"/>
    <col min="13" max="13" width="11.33203125" style="219" bestFit="1" customWidth="1"/>
    <col min="14" max="14" width="1.88671875" style="219" customWidth="1"/>
    <col min="15" max="17" width="13.33203125" style="219" bestFit="1" customWidth="1"/>
    <col min="18" max="256" width="9.109375" style="219"/>
    <col min="257" max="257" width="1.44140625" style="219" customWidth="1"/>
    <col min="258" max="258" width="21.109375" style="219" customWidth="1"/>
    <col min="259" max="259" width="9" style="219" customWidth="1"/>
    <col min="260" max="260" width="11" style="219" bestFit="1" customWidth="1"/>
    <col min="261" max="261" width="11.6640625" style="219" customWidth="1"/>
    <col min="262" max="263" width="9.6640625" style="219" bestFit="1" customWidth="1"/>
    <col min="264" max="264" width="10.88671875" style="219" customWidth="1"/>
    <col min="265" max="265" width="9.109375" style="219"/>
    <col min="266" max="266" width="1.88671875" style="219" customWidth="1"/>
    <col min="267" max="267" width="9.6640625" style="219" bestFit="1" customWidth="1"/>
    <col min="268" max="268" width="9.33203125" style="219" bestFit="1" customWidth="1"/>
    <col min="269" max="269" width="11.33203125" style="219" bestFit="1" customWidth="1"/>
    <col min="270" max="270" width="1.88671875" style="219" customWidth="1"/>
    <col min="271" max="273" width="13.33203125" style="219" bestFit="1" customWidth="1"/>
    <col min="274" max="512" width="9.109375" style="219"/>
    <col min="513" max="513" width="1.44140625" style="219" customWidth="1"/>
    <col min="514" max="514" width="21.109375" style="219" customWidth="1"/>
    <col min="515" max="515" width="9" style="219" customWidth="1"/>
    <col min="516" max="516" width="11" style="219" bestFit="1" customWidth="1"/>
    <col min="517" max="517" width="11.6640625" style="219" customWidth="1"/>
    <col min="518" max="519" width="9.6640625" style="219" bestFit="1" customWidth="1"/>
    <col min="520" max="520" width="10.88671875" style="219" customWidth="1"/>
    <col min="521" max="521" width="9.109375" style="219"/>
    <col min="522" max="522" width="1.88671875" style="219" customWidth="1"/>
    <col min="523" max="523" width="9.6640625" style="219" bestFit="1" customWidth="1"/>
    <col min="524" max="524" width="9.33203125" style="219" bestFit="1" customWidth="1"/>
    <col min="525" max="525" width="11.33203125" style="219" bestFit="1" customWidth="1"/>
    <col min="526" max="526" width="1.88671875" style="219" customWidth="1"/>
    <col min="527" max="529" width="13.33203125" style="219" bestFit="1" customWidth="1"/>
    <col min="530" max="768" width="9.109375" style="219"/>
    <col min="769" max="769" width="1.44140625" style="219" customWidth="1"/>
    <col min="770" max="770" width="21.109375" style="219" customWidth="1"/>
    <col min="771" max="771" width="9" style="219" customWidth="1"/>
    <col min="772" max="772" width="11" style="219" bestFit="1" customWidth="1"/>
    <col min="773" max="773" width="11.6640625" style="219" customWidth="1"/>
    <col min="774" max="775" width="9.6640625" style="219" bestFit="1" customWidth="1"/>
    <col min="776" max="776" width="10.88671875" style="219" customWidth="1"/>
    <col min="777" max="777" width="9.109375" style="219"/>
    <col min="778" max="778" width="1.88671875" style="219" customWidth="1"/>
    <col min="779" max="779" width="9.6640625" style="219" bestFit="1" customWidth="1"/>
    <col min="780" max="780" width="9.33203125" style="219" bestFit="1" customWidth="1"/>
    <col min="781" max="781" width="11.33203125" style="219" bestFit="1" customWidth="1"/>
    <col min="782" max="782" width="1.88671875" style="219" customWidth="1"/>
    <col min="783" max="785" width="13.33203125" style="219" bestFit="1" customWidth="1"/>
    <col min="786" max="1024" width="9.109375" style="219"/>
    <col min="1025" max="1025" width="1.44140625" style="219" customWidth="1"/>
    <col min="1026" max="1026" width="21.109375" style="219" customWidth="1"/>
    <col min="1027" max="1027" width="9" style="219" customWidth="1"/>
    <col min="1028" max="1028" width="11" style="219" bestFit="1" customWidth="1"/>
    <col min="1029" max="1029" width="11.6640625" style="219" customWidth="1"/>
    <col min="1030" max="1031" width="9.6640625" style="219" bestFit="1" customWidth="1"/>
    <col min="1032" max="1032" width="10.88671875" style="219" customWidth="1"/>
    <col min="1033" max="1033" width="9.109375" style="219"/>
    <col min="1034" max="1034" width="1.88671875" style="219" customWidth="1"/>
    <col min="1035" max="1035" width="9.6640625" style="219" bestFit="1" customWidth="1"/>
    <col min="1036" max="1036" width="9.33203125" style="219" bestFit="1" customWidth="1"/>
    <col min="1037" max="1037" width="11.33203125" style="219" bestFit="1" customWidth="1"/>
    <col min="1038" max="1038" width="1.88671875" style="219" customWidth="1"/>
    <col min="1039" max="1041" width="13.33203125" style="219" bestFit="1" customWidth="1"/>
    <col min="1042" max="1280" width="9.109375" style="219"/>
    <col min="1281" max="1281" width="1.44140625" style="219" customWidth="1"/>
    <col min="1282" max="1282" width="21.109375" style="219" customWidth="1"/>
    <col min="1283" max="1283" width="9" style="219" customWidth="1"/>
    <col min="1284" max="1284" width="11" style="219" bestFit="1" customWidth="1"/>
    <col min="1285" max="1285" width="11.6640625" style="219" customWidth="1"/>
    <col min="1286" max="1287" width="9.6640625" style="219" bestFit="1" customWidth="1"/>
    <col min="1288" max="1288" width="10.88671875" style="219" customWidth="1"/>
    <col min="1289" max="1289" width="9.109375" style="219"/>
    <col min="1290" max="1290" width="1.88671875" style="219" customWidth="1"/>
    <col min="1291" max="1291" width="9.6640625" style="219" bestFit="1" customWidth="1"/>
    <col min="1292" max="1292" width="9.33203125" style="219" bestFit="1" customWidth="1"/>
    <col min="1293" max="1293" width="11.33203125" style="219" bestFit="1" customWidth="1"/>
    <col min="1294" max="1294" width="1.88671875" style="219" customWidth="1"/>
    <col min="1295" max="1297" width="13.33203125" style="219" bestFit="1" customWidth="1"/>
    <col min="1298" max="1536" width="9.109375" style="219"/>
    <col min="1537" max="1537" width="1.44140625" style="219" customWidth="1"/>
    <col min="1538" max="1538" width="21.109375" style="219" customWidth="1"/>
    <col min="1539" max="1539" width="9" style="219" customWidth="1"/>
    <col min="1540" max="1540" width="11" style="219" bestFit="1" customWidth="1"/>
    <col min="1541" max="1541" width="11.6640625" style="219" customWidth="1"/>
    <col min="1542" max="1543" width="9.6640625" style="219" bestFit="1" customWidth="1"/>
    <col min="1544" max="1544" width="10.88671875" style="219" customWidth="1"/>
    <col min="1545" max="1545" width="9.109375" style="219"/>
    <col min="1546" max="1546" width="1.88671875" style="219" customWidth="1"/>
    <col min="1547" max="1547" width="9.6640625" style="219" bestFit="1" customWidth="1"/>
    <col min="1548" max="1548" width="9.33203125" style="219" bestFit="1" customWidth="1"/>
    <col min="1549" max="1549" width="11.33203125" style="219" bestFit="1" customWidth="1"/>
    <col min="1550" max="1550" width="1.88671875" style="219" customWidth="1"/>
    <col min="1551" max="1553" width="13.33203125" style="219" bestFit="1" customWidth="1"/>
    <col min="1554" max="1792" width="9.109375" style="219"/>
    <col min="1793" max="1793" width="1.44140625" style="219" customWidth="1"/>
    <col min="1794" max="1794" width="21.109375" style="219" customWidth="1"/>
    <col min="1795" max="1795" width="9" style="219" customWidth="1"/>
    <col min="1796" max="1796" width="11" style="219" bestFit="1" customWidth="1"/>
    <col min="1797" max="1797" width="11.6640625" style="219" customWidth="1"/>
    <col min="1798" max="1799" width="9.6640625" style="219" bestFit="1" customWidth="1"/>
    <col min="1800" max="1800" width="10.88671875" style="219" customWidth="1"/>
    <col min="1801" max="1801" width="9.109375" style="219"/>
    <col min="1802" max="1802" width="1.88671875" style="219" customWidth="1"/>
    <col min="1803" max="1803" width="9.6640625" style="219" bestFit="1" customWidth="1"/>
    <col min="1804" max="1804" width="9.33203125" style="219" bestFit="1" customWidth="1"/>
    <col min="1805" max="1805" width="11.33203125" style="219" bestFit="1" customWidth="1"/>
    <col min="1806" max="1806" width="1.88671875" style="219" customWidth="1"/>
    <col min="1807" max="1809" width="13.33203125" style="219" bestFit="1" customWidth="1"/>
    <col min="1810" max="2048" width="9.109375" style="219"/>
    <col min="2049" max="2049" width="1.44140625" style="219" customWidth="1"/>
    <col min="2050" max="2050" width="21.109375" style="219" customWidth="1"/>
    <col min="2051" max="2051" width="9" style="219" customWidth="1"/>
    <col min="2052" max="2052" width="11" style="219" bestFit="1" customWidth="1"/>
    <col min="2053" max="2053" width="11.6640625" style="219" customWidth="1"/>
    <col min="2054" max="2055" width="9.6640625" style="219" bestFit="1" customWidth="1"/>
    <col min="2056" max="2056" width="10.88671875" style="219" customWidth="1"/>
    <col min="2057" max="2057" width="9.109375" style="219"/>
    <col min="2058" max="2058" width="1.88671875" style="219" customWidth="1"/>
    <col min="2059" max="2059" width="9.6640625" style="219" bestFit="1" customWidth="1"/>
    <col min="2060" max="2060" width="9.33203125" style="219" bestFit="1" customWidth="1"/>
    <col min="2061" max="2061" width="11.33203125" style="219" bestFit="1" customWidth="1"/>
    <col min="2062" max="2062" width="1.88671875" style="219" customWidth="1"/>
    <col min="2063" max="2065" width="13.33203125" style="219" bestFit="1" customWidth="1"/>
    <col min="2066" max="2304" width="9.109375" style="219"/>
    <col min="2305" max="2305" width="1.44140625" style="219" customWidth="1"/>
    <col min="2306" max="2306" width="21.109375" style="219" customWidth="1"/>
    <col min="2307" max="2307" width="9" style="219" customWidth="1"/>
    <col min="2308" max="2308" width="11" style="219" bestFit="1" customWidth="1"/>
    <col min="2309" max="2309" width="11.6640625" style="219" customWidth="1"/>
    <col min="2310" max="2311" width="9.6640625" style="219" bestFit="1" customWidth="1"/>
    <col min="2312" max="2312" width="10.88671875" style="219" customWidth="1"/>
    <col min="2313" max="2313" width="9.109375" style="219"/>
    <col min="2314" max="2314" width="1.88671875" style="219" customWidth="1"/>
    <col min="2315" max="2315" width="9.6640625" style="219" bestFit="1" customWidth="1"/>
    <col min="2316" max="2316" width="9.33203125" style="219" bestFit="1" customWidth="1"/>
    <col min="2317" max="2317" width="11.33203125" style="219" bestFit="1" customWidth="1"/>
    <col min="2318" max="2318" width="1.88671875" style="219" customWidth="1"/>
    <col min="2319" max="2321" width="13.33203125" style="219" bestFit="1" customWidth="1"/>
    <col min="2322" max="2560" width="9.109375" style="219"/>
    <col min="2561" max="2561" width="1.44140625" style="219" customWidth="1"/>
    <col min="2562" max="2562" width="21.109375" style="219" customWidth="1"/>
    <col min="2563" max="2563" width="9" style="219" customWidth="1"/>
    <col min="2564" max="2564" width="11" style="219" bestFit="1" customWidth="1"/>
    <col min="2565" max="2565" width="11.6640625" style="219" customWidth="1"/>
    <col min="2566" max="2567" width="9.6640625" style="219" bestFit="1" customWidth="1"/>
    <col min="2568" max="2568" width="10.88671875" style="219" customWidth="1"/>
    <col min="2569" max="2569" width="9.109375" style="219"/>
    <col min="2570" max="2570" width="1.88671875" style="219" customWidth="1"/>
    <col min="2571" max="2571" width="9.6640625" style="219" bestFit="1" customWidth="1"/>
    <col min="2572" max="2572" width="9.33203125" style="219" bestFit="1" customWidth="1"/>
    <col min="2573" max="2573" width="11.33203125" style="219" bestFit="1" customWidth="1"/>
    <col min="2574" max="2574" width="1.88671875" style="219" customWidth="1"/>
    <col min="2575" max="2577" width="13.33203125" style="219" bestFit="1" customWidth="1"/>
    <col min="2578" max="2816" width="9.109375" style="219"/>
    <col min="2817" max="2817" width="1.44140625" style="219" customWidth="1"/>
    <col min="2818" max="2818" width="21.109375" style="219" customWidth="1"/>
    <col min="2819" max="2819" width="9" style="219" customWidth="1"/>
    <col min="2820" max="2820" width="11" style="219" bestFit="1" customWidth="1"/>
    <col min="2821" max="2821" width="11.6640625" style="219" customWidth="1"/>
    <col min="2822" max="2823" width="9.6640625" style="219" bestFit="1" customWidth="1"/>
    <col min="2824" max="2824" width="10.88671875" style="219" customWidth="1"/>
    <col min="2825" max="2825" width="9.109375" style="219"/>
    <col min="2826" max="2826" width="1.88671875" style="219" customWidth="1"/>
    <col min="2827" max="2827" width="9.6640625" style="219" bestFit="1" customWidth="1"/>
    <col min="2828" max="2828" width="9.33203125" style="219" bestFit="1" customWidth="1"/>
    <col min="2829" max="2829" width="11.33203125" style="219" bestFit="1" customWidth="1"/>
    <col min="2830" max="2830" width="1.88671875" style="219" customWidth="1"/>
    <col min="2831" max="2833" width="13.33203125" style="219" bestFit="1" customWidth="1"/>
    <col min="2834" max="3072" width="9.109375" style="219"/>
    <col min="3073" max="3073" width="1.44140625" style="219" customWidth="1"/>
    <col min="3074" max="3074" width="21.109375" style="219" customWidth="1"/>
    <col min="3075" max="3075" width="9" style="219" customWidth="1"/>
    <col min="3076" max="3076" width="11" style="219" bestFit="1" customWidth="1"/>
    <col min="3077" max="3077" width="11.6640625" style="219" customWidth="1"/>
    <col min="3078" max="3079" width="9.6640625" style="219" bestFit="1" customWidth="1"/>
    <col min="3080" max="3080" width="10.88671875" style="219" customWidth="1"/>
    <col min="3081" max="3081" width="9.109375" style="219"/>
    <col min="3082" max="3082" width="1.88671875" style="219" customWidth="1"/>
    <col min="3083" max="3083" width="9.6640625" style="219" bestFit="1" customWidth="1"/>
    <col min="3084" max="3084" width="9.33203125" style="219" bestFit="1" customWidth="1"/>
    <col min="3085" max="3085" width="11.33203125" style="219" bestFit="1" customWidth="1"/>
    <col min="3086" max="3086" width="1.88671875" style="219" customWidth="1"/>
    <col min="3087" max="3089" width="13.33203125" style="219" bestFit="1" customWidth="1"/>
    <col min="3090" max="3328" width="9.109375" style="219"/>
    <col min="3329" max="3329" width="1.44140625" style="219" customWidth="1"/>
    <col min="3330" max="3330" width="21.109375" style="219" customWidth="1"/>
    <col min="3331" max="3331" width="9" style="219" customWidth="1"/>
    <col min="3332" max="3332" width="11" style="219" bestFit="1" customWidth="1"/>
    <col min="3333" max="3333" width="11.6640625" style="219" customWidth="1"/>
    <col min="3334" max="3335" width="9.6640625" style="219" bestFit="1" customWidth="1"/>
    <col min="3336" max="3336" width="10.88671875" style="219" customWidth="1"/>
    <col min="3337" max="3337" width="9.109375" style="219"/>
    <col min="3338" max="3338" width="1.88671875" style="219" customWidth="1"/>
    <col min="3339" max="3339" width="9.6640625" style="219" bestFit="1" customWidth="1"/>
    <col min="3340" max="3340" width="9.33203125" style="219" bestFit="1" customWidth="1"/>
    <col min="3341" max="3341" width="11.33203125" style="219" bestFit="1" customWidth="1"/>
    <col min="3342" max="3342" width="1.88671875" style="219" customWidth="1"/>
    <col min="3343" max="3345" width="13.33203125" style="219" bestFit="1" customWidth="1"/>
    <col min="3346" max="3584" width="9.109375" style="219"/>
    <col min="3585" max="3585" width="1.44140625" style="219" customWidth="1"/>
    <col min="3586" max="3586" width="21.109375" style="219" customWidth="1"/>
    <col min="3587" max="3587" width="9" style="219" customWidth="1"/>
    <col min="3588" max="3588" width="11" style="219" bestFit="1" customWidth="1"/>
    <col min="3589" max="3589" width="11.6640625" style="219" customWidth="1"/>
    <col min="3590" max="3591" width="9.6640625" style="219" bestFit="1" customWidth="1"/>
    <col min="3592" max="3592" width="10.88671875" style="219" customWidth="1"/>
    <col min="3593" max="3593" width="9.109375" style="219"/>
    <col min="3594" max="3594" width="1.88671875" style="219" customWidth="1"/>
    <col min="3595" max="3595" width="9.6640625" style="219" bestFit="1" customWidth="1"/>
    <col min="3596" max="3596" width="9.33203125" style="219" bestFit="1" customWidth="1"/>
    <col min="3597" max="3597" width="11.33203125" style="219" bestFit="1" customWidth="1"/>
    <col min="3598" max="3598" width="1.88671875" style="219" customWidth="1"/>
    <col min="3599" max="3601" width="13.33203125" style="219" bestFit="1" customWidth="1"/>
    <col min="3602" max="3840" width="9.109375" style="219"/>
    <col min="3841" max="3841" width="1.44140625" style="219" customWidth="1"/>
    <col min="3842" max="3842" width="21.109375" style="219" customWidth="1"/>
    <col min="3843" max="3843" width="9" style="219" customWidth="1"/>
    <col min="3844" max="3844" width="11" style="219" bestFit="1" customWidth="1"/>
    <col min="3845" max="3845" width="11.6640625" style="219" customWidth="1"/>
    <col min="3846" max="3847" width="9.6640625" style="219" bestFit="1" customWidth="1"/>
    <col min="3848" max="3848" width="10.88671875" style="219" customWidth="1"/>
    <col min="3849" max="3849" width="9.109375" style="219"/>
    <col min="3850" max="3850" width="1.88671875" style="219" customWidth="1"/>
    <col min="3851" max="3851" width="9.6640625" style="219" bestFit="1" customWidth="1"/>
    <col min="3852" max="3852" width="9.33203125" style="219" bestFit="1" customWidth="1"/>
    <col min="3853" max="3853" width="11.33203125" style="219" bestFit="1" customWidth="1"/>
    <col min="3854" max="3854" width="1.88671875" style="219" customWidth="1"/>
    <col min="3855" max="3857" width="13.33203125" style="219" bestFit="1" customWidth="1"/>
    <col min="3858" max="4096" width="9.109375" style="219"/>
    <col min="4097" max="4097" width="1.44140625" style="219" customWidth="1"/>
    <col min="4098" max="4098" width="21.109375" style="219" customWidth="1"/>
    <col min="4099" max="4099" width="9" style="219" customWidth="1"/>
    <col min="4100" max="4100" width="11" style="219" bestFit="1" customWidth="1"/>
    <col min="4101" max="4101" width="11.6640625" style="219" customWidth="1"/>
    <col min="4102" max="4103" width="9.6640625" style="219" bestFit="1" customWidth="1"/>
    <col min="4104" max="4104" width="10.88671875" style="219" customWidth="1"/>
    <col min="4105" max="4105" width="9.109375" style="219"/>
    <col min="4106" max="4106" width="1.88671875" style="219" customWidth="1"/>
    <col min="4107" max="4107" width="9.6640625" style="219" bestFit="1" customWidth="1"/>
    <col min="4108" max="4108" width="9.33203125" style="219" bestFit="1" customWidth="1"/>
    <col min="4109" max="4109" width="11.33203125" style="219" bestFit="1" customWidth="1"/>
    <col min="4110" max="4110" width="1.88671875" style="219" customWidth="1"/>
    <col min="4111" max="4113" width="13.33203125" style="219" bestFit="1" customWidth="1"/>
    <col min="4114" max="4352" width="9.109375" style="219"/>
    <col min="4353" max="4353" width="1.44140625" style="219" customWidth="1"/>
    <col min="4354" max="4354" width="21.109375" style="219" customWidth="1"/>
    <col min="4355" max="4355" width="9" style="219" customWidth="1"/>
    <col min="4356" max="4356" width="11" style="219" bestFit="1" customWidth="1"/>
    <col min="4357" max="4357" width="11.6640625" style="219" customWidth="1"/>
    <col min="4358" max="4359" width="9.6640625" style="219" bestFit="1" customWidth="1"/>
    <col min="4360" max="4360" width="10.88671875" style="219" customWidth="1"/>
    <col min="4361" max="4361" width="9.109375" style="219"/>
    <col min="4362" max="4362" width="1.88671875" style="219" customWidth="1"/>
    <col min="4363" max="4363" width="9.6640625" style="219" bestFit="1" customWidth="1"/>
    <col min="4364" max="4364" width="9.33203125" style="219" bestFit="1" customWidth="1"/>
    <col min="4365" max="4365" width="11.33203125" style="219" bestFit="1" customWidth="1"/>
    <col min="4366" max="4366" width="1.88671875" style="219" customWidth="1"/>
    <col min="4367" max="4369" width="13.33203125" style="219" bestFit="1" customWidth="1"/>
    <col min="4370" max="4608" width="9.109375" style="219"/>
    <col min="4609" max="4609" width="1.44140625" style="219" customWidth="1"/>
    <col min="4610" max="4610" width="21.109375" style="219" customWidth="1"/>
    <col min="4611" max="4611" width="9" style="219" customWidth="1"/>
    <col min="4612" max="4612" width="11" style="219" bestFit="1" customWidth="1"/>
    <col min="4613" max="4613" width="11.6640625" style="219" customWidth="1"/>
    <col min="4614" max="4615" width="9.6640625" style="219" bestFit="1" customWidth="1"/>
    <col min="4616" max="4616" width="10.88671875" style="219" customWidth="1"/>
    <col min="4617" max="4617" width="9.109375" style="219"/>
    <col min="4618" max="4618" width="1.88671875" style="219" customWidth="1"/>
    <col min="4619" max="4619" width="9.6640625" style="219" bestFit="1" customWidth="1"/>
    <col min="4620" max="4620" width="9.33203125" style="219" bestFit="1" customWidth="1"/>
    <col min="4621" max="4621" width="11.33203125" style="219" bestFit="1" customWidth="1"/>
    <col min="4622" max="4622" width="1.88671875" style="219" customWidth="1"/>
    <col min="4623" max="4625" width="13.33203125" style="219" bestFit="1" customWidth="1"/>
    <col min="4626" max="4864" width="9.109375" style="219"/>
    <col min="4865" max="4865" width="1.44140625" style="219" customWidth="1"/>
    <col min="4866" max="4866" width="21.109375" style="219" customWidth="1"/>
    <col min="4867" max="4867" width="9" style="219" customWidth="1"/>
    <col min="4868" max="4868" width="11" style="219" bestFit="1" customWidth="1"/>
    <col min="4869" max="4869" width="11.6640625" style="219" customWidth="1"/>
    <col min="4870" max="4871" width="9.6640625" style="219" bestFit="1" customWidth="1"/>
    <col min="4872" max="4872" width="10.88671875" style="219" customWidth="1"/>
    <col min="4873" max="4873" width="9.109375" style="219"/>
    <col min="4874" max="4874" width="1.88671875" style="219" customWidth="1"/>
    <col min="4875" max="4875" width="9.6640625" style="219" bestFit="1" customWidth="1"/>
    <col min="4876" max="4876" width="9.33203125" style="219" bestFit="1" customWidth="1"/>
    <col min="4877" max="4877" width="11.33203125" style="219" bestFit="1" customWidth="1"/>
    <col min="4878" max="4878" width="1.88671875" style="219" customWidth="1"/>
    <col min="4879" max="4881" width="13.33203125" style="219" bestFit="1" customWidth="1"/>
    <col min="4882" max="5120" width="9.109375" style="219"/>
    <col min="5121" max="5121" width="1.44140625" style="219" customWidth="1"/>
    <col min="5122" max="5122" width="21.109375" style="219" customWidth="1"/>
    <col min="5123" max="5123" width="9" style="219" customWidth="1"/>
    <col min="5124" max="5124" width="11" style="219" bestFit="1" customWidth="1"/>
    <col min="5125" max="5125" width="11.6640625" style="219" customWidth="1"/>
    <col min="5126" max="5127" width="9.6640625" style="219" bestFit="1" customWidth="1"/>
    <col min="5128" max="5128" width="10.88671875" style="219" customWidth="1"/>
    <col min="5129" max="5129" width="9.109375" style="219"/>
    <col min="5130" max="5130" width="1.88671875" style="219" customWidth="1"/>
    <col min="5131" max="5131" width="9.6640625" style="219" bestFit="1" customWidth="1"/>
    <col min="5132" max="5132" width="9.33203125" style="219" bestFit="1" customWidth="1"/>
    <col min="5133" max="5133" width="11.33203125" style="219" bestFit="1" customWidth="1"/>
    <col min="5134" max="5134" width="1.88671875" style="219" customWidth="1"/>
    <col min="5135" max="5137" width="13.33203125" style="219" bestFit="1" customWidth="1"/>
    <col min="5138" max="5376" width="9.109375" style="219"/>
    <col min="5377" max="5377" width="1.44140625" style="219" customWidth="1"/>
    <col min="5378" max="5378" width="21.109375" style="219" customWidth="1"/>
    <col min="5379" max="5379" width="9" style="219" customWidth="1"/>
    <col min="5380" max="5380" width="11" style="219" bestFit="1" customWidth="1"/>
    <col min="5381" max="5381" width="11.6640625" style="219" customWidth="1"/>
    <col min="5382" max="5383" width="9.6640625" style="219" bestFit="1" customWidth="1"/>
    <col min="5384" max="5384" width="10.88671875" style="219" customWidth="1"/>
    <col min="5385" max="5385" width="9.109375" style="219"/>
    <col min="5386" max="5386" width="1.88671875" style="219" customWidth="1"/>
    <col min="5387" max="5387" width="9.6640625" style="219" bestFit="1" customWidth="1"/>
    <col min="5388" max="5388" width="9.33203125" style="219" bestFit="1" customWidth="1"/>
    <col min="5389" max="5389" width="11.33203125" style="219" bestFit="1" customWidth="1"/>
    <col min="5390" max="5390" width="1.88671875" style="219" customWidth="1"/>
    <col min="5391" max="5393" width="13.33203125" style="219" bestFit="1" customWidth="1"/>
    <col min="5394" max="5632" width="9.109375" style="219"/>
    <col min="5633" max="5633" width="1.44140625" style="219" customWidth="1"/>
    <col min="5634" max="5634" width="21.109375" style="219" customWidth="1"/>
    <col min="5635" max="5635" width="9" style="219" customWidth="1"/>
    <col min="5636" max="5636" width="11" style="219" bestFit="1" customWidth="1"/>
    <col min="5637" max="5637" width="11.6640625" style="219" customWidth="1"/>
    <col min="5638" max="5639" width="9.6640625" style="219" bestFit="1" customWidth="1"/>
    <col min="5640" max="5640" width="10.88671875" style="219" customWidth="1"/>
    <col min="5641" max="5641" width="9.109375" style="219"/>
    <col min="5642" max="5642" width="1.88671875" style="219" customWidth="1"/>
    <col min="5643" max="5643" width="9.6640625" style="219" bestFit="1" customWidth="1"/>
    <col min="5644" max="5644" width="9.33203125" style="219" bestFit="1" customWidth="1"/>
    <col min="5645" max="5645" width="11.33203125" style="219" bestFit="1" customWidth="1"/>
    <col min="5646" max="5646" width="1.88671875" style="219" customWidth="1"/>
    <col min="5647" max="5649" width="13.33203125" style="219" bestFit="1" customWidth="1"/>
    <col min="5650" max="5888" width="9.109375" style="219"/>
    <col min="5889" max="5889" width="1.44140625" style="219" customWidth="1"/>
    <col min="5890" max="5890" width="21.109375" style="219" customWidth="1"/>
    <col min="5891" max="5891" width="9" style="219" customWidth="1"/>
    <col min="5892" max="5892" width="11" style="219" bestFit="1" customWidth="1"/>
    <col min="5893" max="5893" width="11.6640625" style="219" customWidth="1"/>
    <col min="5894" max="5895" width="9.6640625" style="219" bestFit="1" customWidth="1"/>
    <col min="5896" max="5896" width="10.88671875" style="219" customWidth="1"/>
    <col min="5897" max="5897" width="9.109375" style="219"/>
    <col min="5898" max="5898" width="1.88671875" style="219" customWidth="1"/>
    <col min="5899" max="5899" width="9.6640625" style="219" bestFit="1" customWidth="1"/>
    <col min="5900" max="5900" width="9.33203125" style="219" bestFit="1" customWidth="1"/>
    <col min="5901" max="5901" width="11.33203125" style="219" bestFit="1" customWidth="1"/>
    <col min="5902" max="5902" width="1.88671875" style="219" customWidth="1"/>
    <col min="5903" max="5905" width="13.33203125" style="219" bestFit="1" customWidth="1"/>
    <col min="5906" max="6144" width="9.109375" style="219"/>
    <col min="6145" max="6145" width="1.44140625" style="219" customWidth="1"/>
    <col min="6146" max="6146" width="21.109375" style="219" customWidth="1"/>
    <col min="6147" max="6147" width="9" style="219" customWidth="1"/>
    <col min="6148" max="6148" width="11" style="219" bestFit="1" customWidth="1"/>
    <col min="6149" max="6149" width="11.6640625" style="219" customWidth="1"/>
    <col min="6150" max="6151" width="9.6640625" style="219" bestFit="1" customWidth="1"/>
    <col min="6152" max="6152" width="10.88671875" style="219" customWidth="1"/>
    <col min="6153" max="6153" width="9.109375" style="219"/>
    <col min="6154" max="6154" width="1.88671875" style="219" customWidth="1"/>
    <col min="6155" max="6155" width="9.6640625" style="219" bestFit="1" customWidth="1"/>
    <col min="6156" max="6156" width="9.33203125" style="219" bestFit="1" customWidth="1"/>
    <col min="6157" max="6157" width="11.33203125" style="219" bestFit="1" customWidth="1"/>
    <col min="6158" max="6158" width="1.88671875" style="219" customWidth="1"/>
    <col min="6159" max="6161" width="13.33203125" style="219" bestFit="1" customWidth="1"/>
    <col min="6162" max="6400" width="9.109375" style="219"/>
    <col min="6401" max="6401" width="1.44140625" style="219" customWidth="1"/>
    <col min="6402" max="6402" width="21.109375" style="219" customWidth="1"/>
    <col min="6403" max="6403" width="9" style="219" customWidth="1"/>
    <col min="6404" max="6404" width="11" style="219" bestFit="1" customWidth="1"/>
    <col min="6405" max="6405" width="11.6640625" style="219" customWidth="1"/>
    <col min="6406" max="6407" width="9.6640625" style="219" bestFit="1" customWidth="1"/>
    <col min="6408" max="6408" width="10.88671875" style="219" customWidth="1"/>
    <col min="6409" max="6409" width="9.109375" style="219"/>
    <col min="6410" max="6410" width="1.88671875" style="219" customWidth="1"/>
    <col min="6411" max="6411" width="9.6640625" style="219" bestFit="1" customWidth="1"/>
    <col min="6412" max="6412" width="9.33203125" style="219" bestFit="1" customWidth="1"/>
    <col min="6413" max="6413" width="11.33203125" style="219" bestFit="1" customWidth="1"/>
    <col min="6414" max="6414" width="1.88671875" style="219" customWidth="1"/>
    <col min="6415" max="6417" width="13.33203125" style="219" bestFit="1" customWidth="1"/>
    <col min="6418" max="6656" width="9.109375" style="219"/>
    <col min="6657" max="6657" width="1.44140625" style="219" customWidth="1"/>
    <col min="6658" max="6658" width="21.109375" style="219" customWidth="1"/>
    <col min="6659" max="6659" width="9" style="219" customWidth="1"/>
    <col min="6660" max="6660" width="11" style="219" bestFit="1" customWidth="1"/>
    <col min="6661" max="6661" width="11.6640625" style="219" customWidth="1"/>
    <col min="6662" max="6663" width="9.6640625" style="219" bestFit="1" customWidth="1"/>
    <col min="6664" max="6664" width="10.88671875" style="219" customWidth="1"/>
    <col min="6665" max="6665" width="9.109375" style="219"/>
    <col min="6666" max="6666" width="1.88671875" style="219" customWidth="1"/>
    <col min="6667" max="6667" width="9.6640625" style="219" bestFit="1" customWidth="1"/>
    <col min="6668" max="6668" width="9.33203125" style="219" bestFit="1" customWidth="1"/>
    <col min="6669" max="6669" width="11.33203125" style="219" bestFit="1" customWidth="1"/>
    <col min="6670" max="6670" width="1.88671875" style="219" customWidth="1"/>
    <col min="6671" max="6673" width="13.33203125" style="219" bestFit="1" customWidth="1"/>
    <col min="6674" max="6912" width="9.109375" style="219"/>
    <col min="6913" max="6913" width="1.44140625" style="219" customWidth="1"/>
    <col min="6914" max="6914" width="21.109375" style="219" customWidth="1"/>
    <col min="6915" max="6915" width="9" style="219" customWidth="1"/>
    <col min="6916" max="6916" width="11" style="219" bestFit="1" customWidth="1"/>
    <col min="6917" max="6917" width="11.6640625" style="219" customWidth="1"/>
    <col min="6918" max="6919" width="9.6640625" style="219" bestFit="1" customWidth="1"/>
    <col min="6920" max="6920" width="10.88671875" style="219" customWidth="1"/>
    <col min="6921" max="6921" width="9.109375" style="219"/>
    <col min="6922" max="6922" width="1.88671875" style="219" customWidth="1"/>
    <col min="6923" max="6923" width="9.6640625" style="219" bestFit="1" customWidth="1"/>
    <col min="6924" max="6924" width="9.33203125" style="219" bestFit="1" customWidth="1"/>
    <col min="6925" max="6925" width="11.33203125" style="219" bestFit="1" customWidth="1"/>
    <col min="6926" max="6926" width="1.88671875" style="219" customWidth="1"/>
    <col min="6927" max="6929" width="13.33203125" style="219" bestFit="1" customWidth="1"/>
    <col min="6930" max="7168" width="9.109375" style="219"/>
    <col min="7169" max="7169" width="1.44140625" style="219" customWidth="1"/>
    <col min="7170" max="7170" width="21.109375" style="219" customWidth="1"/>
    <col min="7171" max="7171" width="9" style="219" customWidth="1"/>
    <col min="7172" max="7172" width="11" style="219" bestFit="1" customWidth="1"/>
    <col min="7173" max="7173" width="11.6640625" style="219" customWidth="1"/>
    <col min="7174" max="7175" width="9.6640625" style="219" bestFit="1" customWidth="1"/>
    <col min="7176" max="7176" width="10.88671875" style="219" customWidth="1"/>
    <col min="7177" max="7177" width="9.109375" style="219"/>
    <col min="7178" max="7178" width="1.88671875" style="219" customWidth="1"/>
    <col min="7179" max="7179" width="9.6640625" style="219" bestFit="1" customWidth="1"/>
    <col min="7180" max="7180" width="9.33203125" style="219" bestFit="1" customWidth="1"/>
    <col min="7181" max="7181" width="11.33203125" style="219" bestFit="1" customWidth="1"/>
    <col min="7182" max="7182" width="1.88671875" style="219" customWidth="1"/>
    <col min="7183" max="7185" width="13.33203125" style="219" bestFit="1" customWidth="1"/>
    <col min="7186" max="7424" width="9.109375" style="219"/>
    <col min="7425" max="7425" width="1.44140625" style="219" customWidth="1"/>
    <col min="7426" max="7426" width="21.109375" style="219" customWidth="1"/>
    <col min="7427" max="7427" width="9" style="219" customWidth="1"/>
    <col min="7428" max="7428" width="11" style="219" bestFit="1" customWidth="1"/>
    <col min="7429" max="7429" width="11.6640625" style="219" customWidth="1"/>
    <col min="7430" max="7431" width="9.6640625" style="219" bestFit="1" customWidth="1"/>
    <col min="7432" max="7432" width="10.88671875" style="219" customWidth="1"/>
    <col min="7433" max="7433" width="9.109375" style="219"/>
    <col min="7434" max="7434" width="1.88671875" style="219" customWidth="1"/>
    <col min="7435" max="7435" width="9.6640625" style="219" bestFit="1" customWidth="1"/>
    <col min="7436" max="7436" width="9.33203125" style="219" bestFit="1" customWidth="1"/>
    <col min="7437" max="7437" width="11.33203125" style="219" bestFit="1" customWidth="1"/>
    <col min="7438" max="7438" width="1.88671875" style="219" customWidth="1"/>
    <col min="7439" max="7441" width="13.33203125" style="219" bestFit="1" customWidth="1"/>
    <col min="7442" max="7680" width="9.109375" style="219"/>
    <col min="7681" max="7681" width="1.44140625" style="219" customWidth="1"/>
    <col min="7682" max="7682" width="21.109375" style="219" customWidth="1"/>
    <col min="7683" max="7683" width="9" style="219" customWidth="1"/>
    <col min="7684" max="7684" width="11" style="219" bestFit="1" customWidth="1"/>
    <col min="7685" max="7685" width="11.6640625" style="219" customWidth="1"/>
    <col min="7686" max="7687" width="9.6640625" style="219" bestFit="1" customWidth="1"/>
    <col min="7688" max="7688" width="10.88671875" style="219" customWidth="1"/>
    <col min="7689" max="7689" width="9.109375" style="219"/>
    <col min="7690" max="7690" width="1.88671875" style="219" customWidth="1"/>
    <col min="7691" max="7691" width="9.6640625" style="219" bestFit="1" customWidth="1"/>
    <col min="7692" max="7692" width="9.33203125" style="219" bestFit="1" customWidth="1"/>
    <col min="7693" max="7693" width="11.33203125" style="219" bestFit="1" customWidth="1"/>
    <col min="7694" max="7694" width="1.88671875" style="219" customWidth="1"/>
    <col min="7695" max="7697" width="13.33203125" style="219" bestFit="1" customWidth="1"/>
    <col min="7698" max="7936" width="9.109375" style="219"/>
    <col min="7937" max="7937" width="1.44140625" style="219" customWidth="1"/>
    <col min="7938" max="7938" width="21.109375" style="219" customWidth="1"/>
    <col min="7939" max="7939" width="9" style="219" customWidth="1"/>
    <col min="7940" max="7940" width="11" style="219" bestFit="1" customWidth="1"/>
    <col min="7941" max="7941" width="11.6640625" style="219" customWidth="1"/>
    <col min="7942" max="7943" width="9.6640625" style="219" bestFit="1" customWidth="1"/>
    <col min="7944" max="7944" width="10.88671875" style="219" customWidth="1"/>
    <col min="7945" max="7945" width="9.109375" style="219"/>
    <col min="7946" max="7946" width="1.88671875" style="219" customWidth="1"/>
    <col min="7947" max="7947" width="9.6640625" style="219" bestFit="1" customWidth="1"/>
    <col min="7948" max="7948" width="9.33203125" style="219" bestFit="1" customWidth="1"/>
    <col min="7949" max="7949" width="11.33203125" style="219" bestFit="1" customWidth="1"/>
    <col min="7950" max="7950" width="1.88671875" style="219" customWidth="1"/>
    <col min="7951" max="7953" width="13.33203125" style="219" bestFit="1" customWidth="1"/>
    <col min="7954" max="8192" width="9.109375" style="219"/>
    <col min="8193" max="8193" width="1.44140625" style="219" customWidth="1"/>
    <col min="8194" max="8194" width="21.109375" style="219" customWidth="1"/>
    <col min="8195" max="8195" width="9" style="219" customWidth="1"/>
    <col min="8196" max="8196" width="11" style="219" bestFit="1" customWidth="1"/>
    <col min="8197" max="8197" width="11.6640625" style="219" customWidth="1"/>
    <col min="8198" max="8199" width="9.6640625" style="219" bestFit="1" customWidth="1"/>
    <col min="8200" max="8200" width="10.88671875" style="219" customWidth="1"/>
    <col min="8201" max="8201" width="9.109375" style="219"/>
    <col min="8202" max="8202" width="1.88671875" style="219" customWidth="1"/>
    <col min="8203" max="8203" width="9.6640625" style="219" bestFit="1" customWidth="1"/>
    <col min="8204" max="8204" width="9.33203125" style="219" bestFit="1" customWidth="1"/>
    <col min="8205" max="8205" width="11.33203125" style="219" bestFit="1" customWidth="1"/>
    <col min="8206" max="8206" width="1.88671875" style="219" customWidth="1"/>
    <col min="8207" max="8209" width="13.33203125" style="219" bestFit="1" customWidth="1"/>
    <col min="8210" max="8448" width="9.109375" style="219"/>
    <col min="8449" max="8449" width="1.44140625" style="219" customWidth="1"/>
    <col min="8450" max="8450" width="21.109375" style="219" customWidth="1"/>
    <col min="8451" max="8451" width="9" style="219" customWidth="1"/>
    <col min="8452" max="8452" width="11" style="219" bestFit="1" customWidth="1"/>
    <col min="8453" max="8453" width="11.6640625" style="219" customWidth="1"/>
    <col min="8454" max="8455" width="9.6640625" style="219" bestFit="1" customWidth="1"/>
    <col min="8456" max="8456" width="10.88671875" style="219" customWidth="1"/>
    <col min="8457" max="8457" width="9.109375" style="219"/>
    <col min="8458" max="8458" width="1.88671875" style="219" customWidth="1"/>
    <col min="8459" max="8459" width="9.6640625" style="219" bestFit="1" customWidth="1"/>
    <col min="8460" max="8460" width="9.33203125" style="219" bestFit="1" customWidth="1"/>
    <col min="8461" max="8461" width="11.33203125" style="219" bestFit="1" customWidth="1"/>
    <col min="8462" max="8462" width="1.88671875" style="219" customWidth="1"/>
    <col min="8463" max="8465" width="13.33203125" style="219" bestFit="1" customWidth="1"/>
    <col min="8466" max="8704" width="9.109375" style="219"/>
    <col min="8705" max="8705" width="1.44140625" style="219" customWidth="1"/>
    <col min="8706" max="8706" width="21.109375" style="219" customWidth="1"/>
    <col min="8707" max="8707" width="9" style="219" customWidth="1"/>
    <col min="8708" max="8708" width="11" style="219" bestFit="1" customWidth="1"/>
    <col min="8709" max="8709" width="11.6640625" style="219" customWidth="1"/>
    <col min="8710" max="8711" width="9.6640625" style="219" bestFit="1" customWidth="1"/>
    <col min="8712" max="8712" width="10.88671875" style="219" customWidth="1"/>
    <col min="8713" max="8713" width="9.109375" style="219"/>
    <col min="8714" max="8714" width="1.88671875" style="219" customWidth="1"/>
    <col min="8715" max="8715" width="9.6640625" style="219" bestFit="1" customWidth="1"/>
    <col min="8716" max="8716" width="9.33203125" style="219" bestFit="1" customWidth="1"/>
    <col min="8717" max="8717" width="11.33203125" style="219" bestFit="1" customWidth="1"/>
    <col min="8718" max="8718" width="1.88671875" style="219" customWidth="1"/>
    <col min="8719" max="8721" width="13.33203125" style="219" bestFit="1" customWidth="1"/>
    <col min="8722" max="8960" width="9.109375" style="219"/>
    <col min="8961" max="8961" width="1.44140625" style="219" customWidth="1"/>
    <col min="8962" max="8962" width="21.109375" style="219" customWidth="1"/>
    <col min="8963" max="8963" width="9" style="219" customWidth="1"/>
    <col min="8964" max="8964" width="11" style="219" bestFit="1" customWidth="1"/>
    <col min="8965" max="8965" width="11.6640625" style="219" customWidth="1"/>
    <col min="8966" max="8967" width="9.6640625" style="219" bestFit="1" customWidth="1"/>
    <col min="8968" max="8968" width="10.88671875" style="219" customWidth="1"/>
    <col min="8969" max="8969" width="9.109375" style="219"/>
    <col min="8970" max="8970" width="1.88671875" style="219" customWidth="1"/>
    <col min="8971" max="8971" width="9.6640625" style="219" bestFit="1" customWidth="1"/>
    <col min="8972" max="8972" width="9.33203125" style="219" bestFit="1" customWidth="1"/>
    <col min="8973" max="8973" width="11.33203125" style="219" bestFit="1" customWidth="1"/>
    <col min="8974" max="8974" width="1.88671875" style="219" customWidth="1"/>
    <col min="8975" max="8977" width="13.33203125" style="219" bestFit="1" customWidth="1"/>
    <col min="8978" max="9216" width="9.109375" style="219"/>
    <col min="9217" max="9217" width="1.44140625" style="219" customWidth="1"/>
    <col min="9218" max="9218" width="21.109375" style="219" customWidth="1"/>
    <col min="9219" max="9219" width="9" style="219" customWidth="1"/>
    <col min="9220" max="9220" width="11" style="219" bestFit="1" customWidth="1"/>
    <col min="9221" max="9221" width="11.6640625" style="219" customWidth="1"/>
    <col min="9222" max="9223" width="9.6640625" style="219" bestFit="1" customWidth="1"/>
    <col min="9224" max="9224" width="10.88671875" style="219" customWidth="1"/>
    <col min="9225" max="9225" width="9.109375" style="219"/>
    <col min="9226" max="9226" width="1.88671875" style="219" customWidth="1"/>
    <col min="9227" max="9227" width="9.6640625" style="219" bestFit="1" customWidth="1"/>
    <col min="9228" max="9228" width="9.33203125" style="219" bestFit="1" customWidth="1"/>
    <col min="9229" max="9229" width="11.33203125" style="219" bestFit="1" customWidth="1"/>
    <col min="9230" max="9230" width="1.88671875" style="219" customWidth="1"/>
    <col min="9231" max="9233" width="13.33203125" style="219" bestFit="1" customWidth="1"/>
    <col min="9234" max="9472" width="9.109375" style="219"/>
    <col min="9473" max="9473" width="1.44140625" style="219" customWidth="1"/>
    <col min="9474" max="9474" width="21.109375" style="219" customWidth="1"/>
    <col min="9475" max="9475" width="9" style="219" customWidth="1"/>
    <col min="9476" max="9476" width="11" style="219" bestFit="1" customWidth="1"/>
    <col min="9477" max="9477" width="11.6640625" style="219" customWidth="1"/>
    <col min="9478" max="9479" width="9.6640625" style="219" bestFit="1" customWidth="1"/>
    <col min="9480" max="9480" width="10.88671875" style="219" customWidth="1"/>
    <col min="9481" max="9481" width="9.109375" style="219"/>
    <col min="9482" max="9482" width="1.88671875" style="219" customWidth="1"/>
    <col min="9483" max="9483" width="9.6640625" style="219" bestFit="1" customWidth="1"/>
    <col min="9484" max="9484" width="9.33203125" style="219" bestFit="1" customWidth="1"/>
    <col min="9485" max="9485" width="11.33203125" style="219" bestFit="1" customWidth="1"/>
    <col min="9486" max="9486" width="1.88671875" style="219" customWidth="1"/>
    <col min="9487" max="9489" width="13.33203125" style="219" bestFit="1" customWidth="1"/>
    <col min="9490" max="9728" width="9.109375" style="219"/>
    <col min="9729" max="9729" width="1.44140625" style="219" customWidth="1"/>
    <col min="9730" max="9730" width="21.109375" style="219" customWidth="1"/>
    <col min="9731" max="9731" width="9" style="219" customWidth="1"/>
    <col min="9732" max="9732" width="11" style="219" bestFit="1" customWidth="1"/>
    <col min="9733" max="9733" width="11.6640625" style="219" customWidth="1"/>
    <col min="9734" max="9735" width="9.6640625" style="219" bestFit="1" customWidth="1"/>
    <col min="9736" max="9736" width="10.88671875" style="219" customWidth="1"/>
    <col min="9737" max="9737" width="9.109375" style="219"/>
    <col min="9738" max="9738" width="1.88671875" style="219" customWidth="1"/>
    <col min="9739" max="9739" width="9.6640625" style="219" bestFit="1" customWidth="1"/>
    <col min="9740" max="9740" width="9.33203125" style="219" bestFit="1" customWidth="1"/>
    <col min="9741" max="9741" width="11.33203125" style="219" bestFit="1" customWidth="1"/>
    <col min="9742" max="9742" width="1.88671875" style="219" customWidth="1"/>
    <col min="9743" max="9745" width="13.33203125" style="219" bestFit="1" customWidth="1"/>
    <col min="9746" max="9984" width="9.109375" style="219"/>
    <col min="9985" max="9985" width="1.44140625" style="219" customWidth="1"/>
    <col min="9986" max="9986" width="21.109375" style="219" customWidth="1"/>
    <col min="9987" max="9987" width="9" style="219" customWidth="1"/>
    <col min="9988" max="9988" width="11" style="219" bestFit="1" customWidth="1"/>
    <col min="9989" max="9989" width="11.6640625" style="219" customWidth="1"/>
    <col min="9990" max="9991" width="9.6640625" style="219" bestFit="1" customWidth="1"/>
    <col min="9992" max="9992" width="10.88671875" style="219" customWidth="1"/>
    <col min="9993" max="9993" width="9.109375" style="219"/>
    <col min="9994" max="9994" width="1.88671875" style="219" customWidth="1"/>
    <col min="9995" max="9995" width="9.6640625" style="219" bestFit="1" customWidth="1"/>
    <col min="9996" max="9996" width="9.33203125" style="219" bestFit="1" customWidth="1"/>
    <col min="9997" max="9997" width="11.33203125" style="219" bestFit="1" customWidth="1"/>
    <col min="9998" max="9998" width="1.88671875" style="219" customWidth="1"/>
    <col min="9999" max="10001" width="13.33203125" style="219" bestFit="1" customWidth="1"/>
    <col min="10002" max="10240" width="9.109375" style="219"/>
    <col min="10241" max="10241" width="1.44140625" style="219" customWidth="1"/>
    <col min="10242" max="10242" width="21.109375" style="219" customWidth="1"/>
    <col min="10243" max="10243" width="9" style="219" customWidth="1"/>
    <col min="10244" max="10244" width="11" style="219" bestFit="1" customWidth="1"/>
    <col min="10245" max="10245" width="11.6640625" style="219" customWidth="1"/>
    <col min="10246" max="10247" width="9.6640625" style="219" bestFit="1" customWidth="1"/>
    <col min="10248" max="10248" width="10.88671875" style="219" customWidth="1"/>
    <col min="10249" max="10249" width="9.109375" style="219"/>
    <col min="10250" max="10250" width="1.88671875" style="219" customWidth="1"/>
    <col min="10251" max="10251" width="9.6640625" style="219" bestFit="1" customWidth="1"/>
    <col min="10252" max="10252" width="9.33203125" style="219" bestFit="1" customWidth="1"/>
    <col min="10253" max="10253" width="11.33203125" style="219" bestFit="1" customWidth="1"/>
    <col min="10254" max="10254" width="1.88671875" style="219" customWidth="1"/>
    <col min="10255" max="10257" width="13.33203125" style="219" bestFit="1" customWidth="1"/>
    <col min="10258" max="10496" width="9.109375" style="219"/>
    <col min="10497" max="10497" width="1.44140625" style="219" customWidth="1"/>
    <col min="10498" max="10498" width="21.109375" style="219" customWidth="1"/>
    <col min="10499" max="10499" width="9" style="219" customWidth="1"/>
    <col min="10500" max="10500" width="11" style="219" bestFit="1" customWidth="1"/>
    <col min="10501" max="10501" width="11.6640625" style="219" customWidth="1"/>
    <col min="10502" max="10503" width="9.6640625" style="219" bestFit="1" customWidth="1"/>
    <col min="10504" max="10504" width="10.88671875" style="219" customWidth="1"/>
    <col min="10505" max="10505" width="9.109375" style="219"/>
    <col min="10506" max="10506" width="1.88671875" style="219" customWidth="1"/>
    <col min="10507" max="10507" width="9.6640625" style="219" bestFit="1" customWidth="1"/>
    <col min="10508" max="10508" width="9.33203125" style="219" bestFit="1" customWidth="1"/>
    <col min="10509" max="10509" width="11.33203125" style="219" bestFit="1" customWidth="1"/>
    <col min="10510" max="10510" width="1.88671875" style="219" customWidth="1"/>
    <col min="10511" max="10513" width="13.33203125" style="219" bestFit="1" customWidth="1"/>
    <col min="10514" max="10752" width="9.109375" style="219"/>
    <col min="10753" max="10753" width="1.44140625" style="219" customWidth="1"/>
    <col min="10754" max="10754" width="21.109375" style="219" customWidth="1"/>
    <col min="10755" max="10755" width="9" style="219" customWidth="1"/>
    <col min="10756" max="10756" width="11" style="219" bestFit="1" customWidth="1"/>
    <col min="10757" max="10757" width="11.6640625" style="219" customWidth="1"/>
    <col min="10758" max="10759" width="9.6640625" style="219" bestFit="1" customWidth="1"/>
    <col min="10760" max="10760" width="10.88671875" style="219" customWidth="1"/>
    <col min="10761" max="10761" width="9.109375" style="219"/>
    <col min="10762" max="10762" width="1.88671875" style="219" customWidth="1"/>
    <col min="10763" max="10763" width="9.6640625" style="219" bestFit="1" customWidth="1"/>
    <col min="10764" max="10764" width="9.33203125" style="219" bestFit="1" customWidth="1"/>
    <col min="10765" max="10765" width="11.33203125" style="219" bestFit="1" customWidth="1"/>
    <col min="10766" max="10766" width="1.88671875" style="219" customWidth="1"/>
    <col min="10767" max="10769" width="13.33203125" style="219" bestFit="1" customWidth="1"/>
    <col min="10770" max="11008" width="9.109375" style="219"/>
    <col min="11009" max="11009" width="1.44140625" style="219" customWidth="1"/>
    <col min="11010" max="11010" width="21.109375" style="219" customWidth="1"/>
    <col min="11011" max="11011" width="9" style="219" customWidth="1"/>
    <col min="11012" max="11012" width="11" style="219" bestFit="1" customWidth="1"/>
    <col min="11013" max="11013" width="11.6640625" style="219" customWidth="1"/>
    <col min="11014" max="11015" width="9.6640625" style="219" bestFit="1" customWidth="1"/>
    <col min="11016" max="11016" width="10.88671875" style="219" customWidth="1"/>
    <col min="11017" max="11017" width="9.109375" style="219"/>
    <col min="11018" max="11018" width="1.88671875" style="219" customWidth="1"/>
    <col min="11019" max="11019" width="9.6640625" style="219" bestFit="1" customWidth="1"/>
    <col min="11020" max="11020" width="9.33203125" style="219" bestFit="1" customWidth="1"/>
    <col min="11021" max="11021" width="11.33203125" style="219" bestFit="1" customWidth="1"/>
    <col min="11022" max="11022" width="1.88671875" style="219" customWidth="1"/>
    <col min="11023" max="11025" width="13.33203125" style="219" bestFit="1" customWidth="1"/>
    <col min="11026" max="11264" width="9.109375" style="219"/>
    <col min="11265" max="11265" width="1.44140625" style="219" customWidth="1"/>
    <col min="11266" max="11266" width="21.109375" style="219" customWidth="1"/>
    <col min="11267" max="11267" width="9" style="219" customWidth="1"/>
    <col min="11268" max="11268" width="11" style="219" bestFit="1" customWidth="1"/>
    <col min="11269" max="11269" width="11.6640625" style="219" customWidth="1"/>
    <col min="11270" max="11271" width="9.6640625" style="219" bestFit="1" customWidth="1"/>
    <col min="11272" max="11272" width="10.88671875" style="219" customWidth="1"/>
    <col min="11273" max="11273" width="9.109375" style="219"/>
    <col min="11274" max="11274" width="1.88671875" style="219" customWidth="1"/>
    <col min="11275" max="11275" width="9.6640625" style="219" bestFit="1" customWidth="1"/>
    <col min="11276" max="11276" width="9.33203125" style="219" bestFit="1" customWidth="1"/>
    <col min="11277" max="11277" width="11.33203125" style="219" bestFit="1" customWidth="1"/>
    <col min="11278" max="11278" width="1.88671875" style="219" customWidth="1"/>
    <col min="11279" max="11281" width="13.33203125" style="219" bestFit="1" customWidth="1"/>
    <col min="11282" max="11520" width="9.109375" style="219"/>
    <col min="11521" max="11521" width="1.44140625" style="219" customWidth="1"/>
    <col min="11522" max="11522" width="21.109375" style="219" customWidth="1"/>
    <col min="11523" max="11523" width="9" style="219" customWidth="1"/>
    <col min="11524" max="11524" width="11" style="219" bestFit="1" customWidth="1"/>
    <col min="11525" max="11525" width="11.6640625" style="219" customWidth="1"/>
    <col min="11526" max="11527" width="9.6640625" style="219" bestFit="1" customWidth="1"/>
    <col min="11528" max="11528" width="10.88671875" style="219" customWidth="1"/>
    <col min="11529" max="11529" width="9.109375" style="219"/>
    <col min="11530" max="11530" width="1.88671875" style="219" customWidth="1"/>
    <col min="11531" max="11531" width="9.6640625" style="219" bestFit="1" customWidth="1"/>
    <col min="11532" max="11532" width="9.33203125" style="219" bestFit="1" customWidth="1"/>
    <col min="11533" max="11533" width="11.33203125" style="219" bestFit="1" customWidth="1"/>
    <col min="11534" max="11534" width="1.88671875" style="219" customWidth="1"/>
    <col min="11535" max="11537" width="13.33203125" style="219" bestFit="1" customWidth="1"/>
    <col min="11538" max="11776" width="9.109375" style="219"/>
    <col min="11777" max="11777" width="1.44140625" style="219" customWidth="1"/>
    <col min="11778" max="11778" width="21.109375" style="219" customWidth="1"/>
    <col min="11779" max="11779" width="9" style="219" customWidth="1"/>
    <col min="11780" max="11780" width="11" style="219" bestFit="1" customWidth="1"/>
    <col min="11781" max="11781" width="11.6640625" style="219" customWidth="1"/>
    <col min="11782" max="11783" width="9.6640625" style="219" bestFit="1" customWidth="1"/>
    <col min="11784" max="11784" width="10.88671875" style="219" customWidth="1"/>
    <col min="11785" max="11785" width="9.109375" style="219"/>
    <col min="11786" max="11786" width="1.88671875" style="219" customWidth="1"/>
    <col min="11787" max="11787" width="9.6640625" style="219" bestFit="1" customWidth="1"/>
    <col min="11788" max="11788" width="9.33203125" style="219" bestFit="1" customWidth="1"/>
    <col min="11789" max="11789" width="11.33203125" style="219" bestFit="1" customWidth="1"/>
    <col min="11790" max="11790" width="1.88671875" style="219" customWidth="1"/>
    <col min="11791" max="11793" width="13.33203125" style="219" bestFit="1" customWidth="1"/>
    <col min="11794" max="12032" width="9.109375" style="219"/>
    <col min="12033" max="12033" width="1.44140625" style="219" customWidth="1"/>
    <col min="12034" max="12034" width="21.109375" style="219" customWidth="1"/>
    <col min="12035" max="12035" width="9" style="219" customWidth="1"/>
    <col min="12036" max="12036" width="11" style="219" bestFit="1" customWidth="1"/>
    <col min="12037" max="12037" width="11.6640625" style="219" customWidth="1"/>
    <col min="12038" max="12039" width="9.6640625" style="219" bestFit="1" customWidth="1"/>
    <col min="12040" max="12040" width="10.88671875" style="219" customWidth="1"/>
    <col min="12041" max="12041" width="9.109375" style="219"/>
    <col min="12042" max="12042" width="1.88671875" style="219" customWidth="1"/>
    <col min="12043" max="12043" width="9.6640625" style="219" bestFit="1" customWidth="1"/>
    <col min="12044" max="12044" width="9.33203125" style="219" bestFit="1" customWidth="1"/>
    <col min="12045" max="12045" width="11.33203125" style="219" bestFit="1" customWidth="1"/>
    <col min="12046" max="12046" width="1.88671875" style="219" customWidth="1"/>
    <col min="12047" max="12049" width="13.33203125" style="219" bestFit="1" customWidth="1"/>
    <col min="12050" max="12288" width="9.109375" style="219"/>
    <col min="12289" max="12289" width="1.44140625" style="219" customWidth="1"/>
    <col min="12290" max="12290" width="21.109375" style="219" customWidth="1"/>
    <col min="12291" max="12291" width="9" style="219" customWidth="1"/>
    <col min="12292" max="12292" width="11" style="219" bestFit="1" customWidth="1"/>
    <col min="12293" max="12293" width="11.6640625" style="219" customWidth="1"/>
    <col min="12294" max="12295" width="9.6640625" style="219" bestFit="1" customWidth="1"/>
    <col min="12296" max="12296" width="10.88671875" style="219" customWidth="1"/>
    <col min="12297" max="12297" width="9.109375" style="219"/>
    <col min="12298" max="12298" width="1.88671875" style="219" customWidth="1"/>
    <col min="12299" max="12299" width="9.6640625" style="219" bestFit="1" customWidth="1"/>
    <col min="12300" max="12300" width="9.33203125" style="219" bestFit="1" customWidth="1"/>
    <col min="12301" max="12301" width="11.33203125" style="219" bestFit="1" customWidth="1"/>
    <col min="12302" max="12302" width="1.88671875" style="219" customWidth="1"/>
    <col min="12303" max="12305" width="13.33203125" style="219" bestFit="1" customWidth="1"/>
    <col min="12306" max="12544" width="9.109375" style="219"/>
    <col min="12545" max="12545" width="1.44140625" style="219" customWidth="1"/>
    <col min="12546" max="12546" width="21.109375" style="219" customWidth="1"/>
    <col min="12547" max="12547" width="9" style="219" customWidth="1"/>
    <col min="12548" max="12548" width="11" style="219" bestFit="1" customWidth="1"/>
    <col min="12549" max="12549" width="11.6640625" style="219" customWidth="1"/>
    <col min="12550" max="12551" width="9.6640625" style="219" bestFit="1" customWidth="1"/>
    <col min="12552" max="12552" width="10.88671875" style="219" customWidth="1"/>
    <col min="12553" max="12553" width="9.109375" style="219"/>
    <col min="12554" max="12554" width="1.88671875" style="219" customWidth="1"/>
    <col min="12555" max="12555" width="9.6640625" style="219" bestFit="1" customWidth="1"/>
    <col min="12556" max="12556" width="9.33203125" style="219" bestFit="1" customWidth="1"/>
    <col min="12557" max="12557" width="11.33203125" style="219" bestFit="1" customWidth="1"/>
    <col min="12558" max="12558" width="1.88671875" style="219" customWidth="1"/>
    <col min="12559" max="12561" width="13.33203125" style="219" bestFit="1" customWidth="1"/>
    <col min="12562" max="12800" width="9.109375" style="219"/>
    <col min="12801" max="12801" width="1.44140625" style="219" customWidth="1"/>
    <col min="12802" max="12802" width="21.109375" style="219" customWidth="1"/>
    <col min="12803" max="12803" width="9" style="219" customWidth="1"/>
    <col min="12804" max="12804" width="11" style="219" bestFit="1" customWidth="1"/>
    <col min="12805" max="12805" width="11.6640625" style="219" customWidth="1"/>
    <col min="12806" max="12807" width="9.6640625" style="219" bestFit="1" customWidth="1"/>
    <col min="12808" max="12808" width="10.88671875" style="219" customWidth="1"/>
    <col min="12809" max="12809" width="9.109375" style="219"/>
    <col min="12810" max="12810" width="1.88671875" style="219" customWidth="1"/>
    <col min="12811" max="12811" width="9.6640625" style="219" bestFit="1" customWidth="1"/>
    <col min="12812" max="12812" width="9.33203125" style="219" bestFit="1" customWidth="1"/>
    <col min="12813" max="12813" width="11.33203125" style="219" bestFit="1" customWidth="1"/>
    <col min="12814" max="12814" width="1.88671875" style="219" customWidth="1"/>
    <col min="12815" max="12817" width="13.33203125" style="219" bestFit="1" customWidth="1"/>
    <col min="12818" max="13056" width="9.109375" style="219"/>
    <col min="13057" max="13057" width="1.44140625" style="219" customWidth="1"/>
    <col min="13058" max="13058" width="21.109375" style="219" customWidth="1"/>
    <col min="13059" max="13059" width="9" style="219" customWidth="1"/>
    <col min="13060" max="13060" width="11" style="219" bestFit="1" customWidth="1"/>
    <col min="13061" max="13061" width="11.6640625" style="219" customWidth="1"/>
    <col min="13062" max="13063" width="9.6640625" style="219" bestFit="1" customWidth="1"/>
    <col min="13064" max="13064" width="10.88671875" style="219" customWidth="1"/>
    <col min="13065" max="13065" width="9.109375" style="219"/>
    <col min="13066" max="13066" width="1.88671875" style="219" customWidth="1"/>
    <col min="13067" max="13067" width="9.6640625" style="219" bestFit="1" customWidth="1"/>
    <col min="13068" max="13068" width="9.33203125" style="219" bestFit="1" customWidth="1"/>
    <col min="13069" max="13069" width="11.33203125" style="219" bestFit="1" customWidth="1"/>
    <col min="13070" max="13070" width="1.88671875" style="219" customWidth="1"/>
    <col min="13071" max="13073" width="13.33203125" style="219" bestFit="1" customWidth="1"/>
    <col min="13074" max="13312" width="9.109375" style="219"/>
    <col min="13313" max="13313" width="1.44140625" style="219" customWidth="1"/>
    <col min="13314" max="13314" width="21.109375" style="219" customWidth="1"/>
    <col min="13315" max="13315" width="9" style="219" customWidth="1"/>
    <col min="13316" max="13316" width="11" style="219" bestFit="1" customWidth="1"/>
    <col min="13317" max="13317" width="11.6640625" style="219" customWidth="1"/>
    <col min="13318" max="13319" width="9.6640625" style="219" bestFit="1" customWidth="1"/>
    <col min="13320" max="13320" width="10.88671875" style="219" customWidth="1"/>
    <col min="13321" max="13321" width="9.109375" style="219"/>
    <col min="13322" max="13322" width="1.88671875" style="219" customWidth="1"/>
    <col min="13323" max="13323" width="9.6640625" style="219" bestFit="1" customWidth="1"/>
    <col min="13324" max="13324" width="9.33203125" style="219" bestFit="1" customWidth="1"/>
    <col min="13325" max="13325" width="11.33203125" style="219" bestFit="1" customWidth="1"/>
    <col min="13326" max="13326" width="1.88671875" style="219" customWidth="1"/>
    <col min="13327" max="13329" width="13.33203125" style="219" bestFit="1" customWidth="1"/>
    <col min="13330" max="13568" width="9.109375" style="219"/>
    <col min="13569" max="13569" width="1.44140625" style="219" customWidth="1"/>
    <col min="13570" max="13570" width="21.109375" style="219" customWidth="1"/>
    <col min="13571" max="13571" width="9" style="219" customWidth="1"/>
    <col min="13572" max="13572" width="11" style="219" bestFit="1" customWidth="1"/>
    <col min="13573" max="13573" width="11.6640625" style="219" customWidth="1"/>
    <col min="13574" max="13575" width="9.6640625" style="219" bestFit="1" customWidth="1"/>
    <col min="13576" max="13576" width="10.88671875" style="219" customWidth="1"/>
    <col min="13577" max="13577" width="9.109375" style="219"/>
    <col min="13578" max="13578" width="1.88671875" style="219" customWidth="1"/>
    <col min="13579" max="13579" width="9.6640625" style="219" bestFit="1" customWidth="1"/>
    <col min="13580" max="13580" width="9.33203125" style="219" bestFit="1" customWidth="1"/>
    <col min="13581" max="13581" width="11.33203125" style="219" bestFit="1" customWidth="1"/>
    <col min="13582" max="13582" width="1.88671875" style="219" customWidth="1"/>
    <col min="13583" max="13585" width="13.33203125" style="219" bestFit="1" customWidth="1"/>
    <col min="13586" max="13824" width="9.109375" style="219"/>
    <col min="13825" max="13825" width="1.44140625" style="219" customWidth="1"/>
    <col min="13826" max="13826" width="21.109375" style="219" customWidth="1"/>
    <col min="13827" max="13827" width="9" style="219" customWidth="1"/>
    <col min="13828" max="13828" width="11" style="219" bestFit="1" customWidth="1"/>
    <col min="13829" max="13829" width="11.6640625" style="219" customWidth="1"/>
    <col min="13830" max="13831" width="9.6640625" style="219" bestFit="1" customWidth="1"/>
    <col min="13832" max="13832" width="10.88671875" style="219" customWidth="1"/>
    <col min="13833" max="13833" width="9.109375" style="219"/>
    <col min="13834" max="13834" width="1.88671875" style="219" customWidth="1"/>
    <col min="13835" max="13835" width="9.6640625" style="219" bestFit="1" customWidth="1"/>
    <col min="13836" max="13836" width="9.33203125" style="219" bestFit="1" customWidth="1"/>
    <col min="13837" max="13837" width="11.33203125" style="219" bestFit="1" customWidth="1"/>
    <col min="13838" max="13838" width="1.88671875" style="219" customWidth="1"/>
    <col min="13839" max="13841" width="13.33203125" style="219" bestFit="1" customWidth="1"/>
    <col min="13842" max="14080" width="9.109375" style="219"/>
    <col min="14081" max="14081" width="1.44140625" style="219" customWidth="1"/>
    <col min="14082" max="14082" width="21.109375" style="219" customWidth="1"/>
    <col min="14083" max="14083" width="9" style="219" customWidth="1"/>
    <col min="14084" max="14084" width="11" style="219" bestFit="1" customWidth="1"/>
    <col min="14085" max="14085" width="11.6640625" style="219" customWidth="1"/>
    <col min="14086" max="14087" width="9.6640625" style="219" bestFit="1" customWidth="1"/>
    <col min="14088" max="14088" width="10.88671875" style="219" customWidth="1"/>
    <col min="14089" max="14089" width="9.109375" style="219"/>
    <col min="14090" max="14090" width="1.88671875" style="219" customWidth="1"/>
    <col min="14091" max="14091" width="9.6640625" style="219" bestFit="1" customWidth="1"/>
    <col min="14092" max="14092" width="9.33203125" style="219" bestFit="1" customWidth="1"/>
    <col min="14093" max="14093" width="11.33203125" style="219" bestFit="1" customWidth="1"/>
    <col min="14094" max="14094" width="1.88671875" style="219" customWidth="1"/>
    <col min="14095" max="14097" width="13.33203125" style="219" bestFit="1" customWidth="1"/>
    <col min="14098" max="14336" width="9.109375" style="219"/>
    <col min="14337" max="14337" width="1.44140625" style="219" customWidth="1"/>
    <col min="14338" max="14338" width="21.109375" style="219" customWidth="1"/>
    <col min="14339" max="14339" width="9" style="219" customWidth="1"/>
    <col min="14340" max="14340" width="11" style="219" bestFit="1" customWidth="1"/>
    <col min="14341" max="14341" width="11.6640625" style="219" customWidth="1"/>
    <col min="14342" max="14343" width="9.6640625" style="219" bestFit="1" customWidth="1"/>
    <col min="14344" max="14344" width="10.88671875" style="219" customWidth="1"/>
    <col min="14345" max="14345" width="9.109375" style="219"/>
    <col min="14346" max="14346" width="1.88671875" style="219" customWidth="1"/>
    <col min="14347" max="14347" width="9.6640625" style="219" bestFit="1" customWidth="1"/>
    <col min="14348" max="14348" width="9.33203125" style="219" bestFit="1" customWidth="1"/>
    <col min="14349" max="14349" width="11.33203125" style="219" bestFit="1" customWidth="1"/>
    <col min="14350" max="14350" width="1.88671875" style="219" customWidth="1"/>
    <col min="14351" max="14353" width="13.33203125" style="219" bestFit="1" customWidth="1"/>
    <col min="14354" max="14592" width="9.109375" style="219"/>
    <col min="14593" max="14593" width="1.44140625" style="219" customWidth="1"/>
    <col min="14594" max="14594" width="21.109375" style="219" customWidth="1"/>
    <col min="14595" max="14595" width="9" style="219" customWidth="1"/>
    <col min="14596" max="14596" width="11" style="219" bestFit="1" customWidth="1"/>
    <col min="14597" max="14597" width="11.6640625" style="219" customWidth="1"/>
    <col min="14598" max="14599" width="9.6640625" style="219" bestFit="1" customWidth="1"/>
    <col min="14600" max="14600" width="10.88671875" style="219" customWidth="1"/>
    <col min="14601" max="14601" width="9.109375" style="219"/>
    <col min="14602" max="14602" width="1.88671875" style="219" customWidth="1"/>
    <col min="14603" max="14603" width="9.6640625" style="219" bestFit="1" customWidth="1"/>
    <col min="14604" max="14604" width="9.33203125" style="219" bestFit="1" customWidth="1"/>
    <col min="14605" max="14605" width="11.33203125" style="219" bestFit="1" customWidth="1"/>
    <col min="14606" max="14606" width="1.88671875" style="219" customWidth="1"/>
    <col min="14607" max="14609" width="13.33203125" style="219" bestFit="1" customWidth="1"/>
    <col min="14610" max="14848" width="9.109375" style="219"/>
    <col min="14849" max="14849" width="1.44140625" style="219" customWidth="1"/>
    <col min="14850" max="14850" width="21.109375" style="219" customWidth="1"/>
    <col min="14851" max="14851" width="9" style="219" customWidth="1"/>
    <col min="14852" max="14852" width="11" style="219" bestFit="1" customWidth="1"/>
    <col min="14853" max="14853" width="11.6640625" style="219" customWidth="1"/>
    <col min="14854" max="14855" width="9.6640625" style="219" bestFit="1" customWidth="1"/>
    <col min="14856" max="14856" width="10.88671875" style="219" customWidth="1"/>
    <col min="14857" max="14857" width="9.109375" style="219"/>
    <col min="14858" max="14858" width="1.88671875" style="219" customWidth="1"/>
    <col min="14859" max="14859" width="9.6640625" style="219" bestFit="1" customWidth="1"/>
    <col min="14860" max="14860" width="9.33203125" style="219" bestFit="1" customWidth="1"/>
    <col min="14861" max="14861" width="11.33203125" style="219" bestFit="1" customWidth="1"/>
    <col min="14862" max="14862" width="1.88671875" style="219" customWidth="1"/>
    <col min="14863" max="14865" width="13.33203125" style="219" bestFit="1" customWidth="1"/>
    <col min="14866" max="15104" width="9.109375" style="219"/>
    <col min="15105" max="15105" width="1.44140625" style="219" customWidth="1"/>
    <col min="15106" max="15106" width="21.109375" style="219" customWidth="1"/>
    <col min="15107" max="15107" width="9" style="219" customWidth="1"/>
    <col min="15108" max="15108" width="11" style="219" bestFit="1" customWidth="1"/>
    <col min="15109" max="15109" width="11.6640625" style="219" customWidth="1"/>
    <col min="15110" max="15111" width="9.6640625" style="219" bestFit="1" customWidth="1"/>
    <col min="15112" max="15112" width="10.88671875" style="219" customWidth="1"/>
    <col min="15113" max="15113" width="9.109375" style="219"/>
    <col min="15114" max="15114" width="1.88671875" style="219" customWidth="1"/>
    <col min="15115" max="15115" width="9.6640625" style="219" bestFit="1" customWidth="1"/>
    <col min="15116" max="15116" width="9.33203125" style="219" bestFit="1" customWidth="1"/>
    <col min="15117" max="15117" width="11.33203125" style="219" bestFit="1" customWidth="1"/>
    <col min="15118" max="15118" width="1.88671875" style="219" customWidth="1"/>
    <col min="15119" max="15121" width="13.33203125" style="219" bestFit="1" customWidth="1"/>
    <col min="15122" max="15360" width="9.109375" style="219"/>
    <col min="15361" max="15361" width="1.44140625" style="219" customWidth="1"/>
    <col min="15362" max="15362" width="21.109375" style="219" customWidth="1"/>
    <col min="15363" max="15363" width="9" style="219" customWidth="1"/>
    <col min="15364" max="15364" width="11" style="219" bestFit="1" customWidth="1"/>
    <col min="15365" max="15365" width="11.6640625" style="219" customWidth="1"/>
    <col min="15366" max="15367" width="9.6640625" style="219" bestFit="1" customWidth="1"/>
    <col min="15368" max="15368" width="10.88671875" style="219" customWidth="1"/>
    <col min="15369" max="15369" width="9.109375" style="219"/>
    <col min="15370" max="15370" width="1.88671875" style="219" customWidth="1"/>
    <col min="15371" max="15371" width="9.6640625" style="219" bestFit="1" customWidth="1"/>
    <col min="15372" max="15372" width="9.33203125" style="219" bestFit="1" customWidth="1"/>
    <col min="15373" max="15373" width="11.33203125" style="219" bestFit="1" customWidth="1"/>
    <col min="15374" max="15374" width="1.88671875" style="219" customWidth="1"/>
    <col min="15375" max="15377" width="13.33203125" style="219" bestFit="1" customWidth="1"/>
    <col min="15378" max="15616" width="9.109375" style="219"/>
    <col min="15617" max="15617" width="1.44140625" style="219" customWidth="1"/>
    <col min="15618" max="15618" width="21.109375" style="219" customWidth="1"/>
    <col min="15619" max="15619" width="9" style="219" customWidth="1"/>
    <col min="15620" max="15620" width="11" style="219" bestFit="1" customWidth="1"/>
    <col min="15621" max="15621" width="11.6640625" style="219" customWidth="1"/>
    <col min="15622" max="15623" width="9.6640625" style="219" bestFit="1" customWidth="1"/>
    <col min="15624" max="15624" width="10.88671875" style="219" customWidth="1"/>
    <col min="15625" max="15625" width="9.109375" style="219"/>
    <col min="15626" max="15626" width="1.88671875" style="219" customWidth="1"/>
    <col min="15627" max="15627" width="9.6640625" style="219" bestFit="1" customWidth="1"/>
    <col min="15628" max="15628" width="9.33203125" style="219" bestFit="1" customWidth="1"/>
    <col min="15629" max="15629" width="11.33203125" style="219" bestFit="1" customWidth="1"/>
    <col min="15630" max="15630" width="1.88671875" style="219" customWidth="1"/>
    <col min="15631" max="15633" width="13.33203125" style="219" bestFit="1" customWidth="1"/>
    <col min="15634" max="15872" width="9.109375" style="219"/>
    <col min="15873" max="15873" width="1.44140625" style="219" customWidth="1"/>
    <col min="15874" max="15874" width="21.109375" style="219" customWidth="1"/>
    <col min="15875" max="15875" width="9" style="219" customWidth="1"/>
    <col min="15876" max="15876" width="11" style="219" bestFit="1" customWidth="1"/>
    <col min="15877" max="15877" width="11.6640625" style="219" customWidth="1"/>
    <col min="15878" max="15879" width="9.6640625" style="219" bestFit="1" customWidth="1"/>
    <col min="15880" max="15880" width="10.88671875" style="219" customWidth="1"/>
    <col min="15881" max="15881" width="9.109375" style="219"/>
    <col min="15882" max="15882" width="1.88671875" style="219" customWidth="1"/>
    <col min="15883" max="15883" width="9.6640625" style="219" bestFit="1" customWidth="1"/>
    <col min="15884" max="15884" width="9.33203125" style="219" bestFit="1" customWidth="1"/>
    <col min="15885" max="15885" width="11.33203125" style="219" bestFit="1" customWidth="1"/>
    <col min="15886" max="15886" width="1.88671875" style="219" customWidth="1"/>
    <col min="15887" max="15889" width="13.33203125" style="219" bestFit="1" customWidth="1"/>
    <col min="15890" max="16128" width="9.109375" style="219"/>
    <col min="16129" max="16129" width="1.44140625" style="219" customWidth="1"/>
    <col min="16130" max="16130" width="21.109375" style="219" customWidth="1"/>
    <col min="16131" max="16131" width="9" style="219" customWidth="1"/>
    <col min="16132" max="16132" width="11" style="219" bestFit="1" customWidth="1"/>
    <col min="16133" max="16133" width="11.6640625" style="219" customWidth="1"/>
    <col min="16134" max="16135" width="9.6640625" style="219" bestFit="1" customWidth="1"/>
    <col min="16136" max="16136" width="10.88671875" style="219" customWidth="1"/>
    <col min="16137" max="16137" width="9.109375" style="219"/>
    <col min="16138" max="16138" width="1.88671875" style="219" customWidth="1"/>
    <col min="16139" max="16139" width="9.6640625" style="219" bestFit="1" customWidth="1"/>
    <col min="16140" max="16140" width="9.33203125" style="219" bestFit="1" customWidth="1"/>
    <col min="16141" max="16141" width="11.33203125" style="219" bestFit="1" customWidth="1"/>
    <col min="16142" max="16142" width="1.88671875" style="219" customWidth="1"/>
    <col min="16143" max="16145" width="13.33203125" style="219" bestFit="1" customWidth="1"/>
    <col min="16146" max="16384" width="9.109375" style="219"/>
  </cols>
  <sheetData>
    <row r="2" spans="2:18">
      <c r="B2" s="221" t="s">
        <v>418</v>
      </c>
    </row>
    <row r="3" spans="2:18">
      <c r="B3" s="222" t="s">
        <v>419</v>
      </c>
      <c r="C3" s="222"/>
      <c r="D3" s="222" t="s">
        <v>420</v>
      </c>
      <c r="E3" s="223"/>
      <c r="F3" s="224"/>
      <c r="G3" s="224"/>
      <c r="H3" s="224"/>
      <c r="I3" s="224"/>
      <c r="J3" s="224"/>
      <c r="K3" s="224"/>
    </row>
    <row r="5" spans="2:18">
      <c r="B5" s="225"/>
      <c r="C5" s="225"/>
      <c r="D5" s="285" t="s">
        <v>421</v>
      </c>
      <c r="E5" s="285"/>
      <c r="F5" s="285"/>
      <c r="G5" s="285"/>
      <c r="H5" s="285"/>
      <c r="I5" s="285"/>
      <c r="J5" s="225"/>
      <c r="K5" s="285" t="s">
        <v>422</v>
      </c>
      <c r="L5" s="285"/>
      <c r="M5" s="285"/>
      <c r="N5" s="226"/>
      <c r="O5" s="285" t="s">
        <v>423</v>
      </c>
      <c r="P5" s="285"/>
      <c r="Q5" s="285"/>
      <c r="R5" s="227"/>
    </row>
    <row r="6" spans="2:18" ht="29.25" customHeight="1">
      <c r="B6" s="225" t="s">
        <v>424</v>
      </c>
      <c r="C6" s="228" t="s">
        <v>425</v>
      </c>
      <c r="D6" s="229" t="s">
        <v>366</v>
      </c>
      <c r="E6" s="229" t="s">
        <v>426</v>
      </c>
      <c r="F6" s="229" t="s">
        <v>427</v>
      </c>
      <c r="G6" s="229" t="s">
        <v>383</v>
      </c>
      <c r="H6" s="229" t="s">
        <v>428</v>
      </c>
      <c r="I6" s="229"/>
      <c r="J6" s="230"/>
      <c r="K6" s="230" t="s">
        <v>429</v>
      </c>
      <c r="L6" s="230" t="s">
        <v>430</v>
      </c>
      <c r="M6" s="230" t="s">
        <v>431</v>
      </c>
      <c r="N6" s="230"/>
      <c r="O6" s="230" t="s">
        <v>432</v>
      </c>
      <c r="P6" s="230" t="s">
        <v>433</v>
      </c>
      <c r="Q6" s="230" t="s">
        <v>434</v>
      </c>
      <c r="R6" s="227"/>
    </row>
    <row r="7" spans="2:18" ht="4.5" customHeight="1"/>
    <row r="8" spans="2:18">
      <c r="B8" s="231" t="str">
        <f>Data!C3</f>
        <v xml:space="preserve">NTPC </v>
      </c>
      <c r="C8" s="231"/>
      <c r="D8" s="232">
        <f>Data!D3</f>
        <v>315.10000000000002</v>
      </c>
      <c r="E8" s="236">
        <f>Data!E3</f>
        <v>969.67</v>
      </c>
      <c r="F8" s="232">
        <f>E8*D8</f>
        <v>305543.01699999999</v>
      </c>
      <c r="G8" s="232">
        <f>Data!I3</f>
        <v>235162.15</v>
      </c>
      <c r="H8" s="232">
        <f>F8+G8</f>
        <v>540705.16700000002</v>
      </c>
      <c r="I8" s="232"/>
      <c r="J8" s="232"/>
      <c r="K8" s="232">
        <f>Data!L3</f>
        <v>185891.75</v>
      </c>
      <c r="L8" s="232">
        <f>Data!M3</f>
        <v>59485.36</v>
      </c>
      <c r="M8" s="232">
        <f>Data!N3</f>
        <v>22546.06</v>
      </c>
      <c r="N8" s="231"/>
      <c r="O8" s="233">
        <f>$H8/K8</f>
        <v>2.908709864746553</v>
      </c>
      <c r="P8" s="233">
        <f t="shared" ref="P8:P17" si="0">$H8/L8</f>
        <v>9.089718327332978</v>
      </c>
      <c r="Q8" s="233">
        <f>F8/M8</f>
        <v>13.551947302544212</v>
      </c>
    </row>
    <row r="9" spans="2:18">
      <c r="B9" s="231" t="str">
        <f>Data!C4</f>
        <v xml:space="preserve">Power Grid Corpn </v>
      </c>
      <c r="C9" s="234"/>
      <c r="D9" s="232">
        <f>Data!D4</f>
        <v>282.14999999999998</v>
      </c>
      <c r="E9" s="236">
        <f>Data!E4</f>
        <v>930.06</v>
      </c>
      <c r="F9" s="235">
        <f t="shared" ref="F9:F17" si="1">E9*D9</f>
        <v>262416.42899999995</v>
      </c>
      <c r="G9" s="232">
        <f>Data!I4</f>
        <v>115072.38</v>
      </c>
      <c r="H9" s="235">
        <f t="shared" ref="H9:H17" si="2">F9+G9</f>
        <v>377488.80899999995</v>
      </c>
      <c r="I9" s="235"/>
      <c r="J9" s="235"/>
      <c r="K9" s="232">
        <f>Data!L4</f>
        <v>45495.08</v>
      </c>
      <c r="L9" s="232">
        <f>Data!M4</f>
        <v>40490.621200000001</v>
      </c>
      <c r="M9" s="232">
        <f>Data!N4</f>
        <v>15544.9</v>
      </c>
      <c r="N9" s="234"/>
      <c r="O9" s="237">
        <f t="shared" ref="O9:O17" si="3">$H9/K9</f>
        <v>8.2973545491072862</v>
      </c>
      <c r="P9" s="237">
        <f t="shared" si="0"/>
        <v>9.3228702798958274</v>
      </c>
      <c r="Q9" s="237">
        <f t="shared" ref="Q9:Q17" si="4">F9/M9</f>
        <v>16.881191194539685</v>
      </c>
    </row>
    <row r="10" spans="2:18">
      <c r="B10" s="231" t="str">
        <f>Data!C5</f>
        <v xml:space="preserve">Adani Power </v>
      </c>
      <c r="C10" s="234"/>
      <c r="D10" s="232">
        <f>Data!D5</f>
        <v>503.65</v>
      </c>
      <c r="E10" s="236">
        <f>Data!E5</f>
        <v>385.69</v>
      </c>
      <c r="F10" s="235">
        <f t="shared" si="1"/>
        <v>194252.76849999998</v>
      </c>
      <c r="G10" s="232">
        <f>Data!I5</f>
        <v>30493.21</v>
      </c>
      <c r="H10" s="235">
        <f t="shared" si="2"/>
        <v>224745.97849999997</v>
      </c>
      <c r="I10" s="235"/>
      <c r="J10" s="235"/>
      <c r="K10" s="232">
        <f>Data!L5</f>
        <v>55329.38</v>
      </c>
      <c r="L10" s="232">
        <f>Data!M5</f>
        <v>24344.927199999998</v>
      </c>
      <c r="M10" s="232">
        <f>Data!N5</f>
        <v>12887.62</v>
      </c>
      <c r="N10" s="234"/>
      <c r="O10" s="237">
        <f t="shared" si="3"/>
        <v>4.0619645204771855</v>
      </c>
      <c r="P10" s="237">
        <f t="shared" si="0"/>
        <v>9.2317375465390583</v>
      </c>
      <c r="Q10" s="237">
        <f t="shared" si="4"/>
        <v>15.072819380149319</v>
      </c>
    </row>
    <row r="11" spans="2:18">
      <c r="B11" s="231" t="str">
        <f>Data!C6</f>
        <v xml:space="preserve">Adani Green </v>
      </c>
      <c r="C11" s="234"/>
      <c r="D11" s="232">
        <f>Data!D6</f>
        <v>1000.25</v>
      </c>
      <c r="E11" s="236">
        <f>Data!E6</f>
        <v>158.4</v>
      </c>
      <c r="F11" s="235">
        <f t="shared" si="1"/>
        <v>158439.6</v>
      </c>
      <c r="G11" s="232">
        <f>Data!I6</f>
        <v>58666</v>
      </c>
      <c r="H11" s="235">
        <f t="shared" si="2"/>
        <v>217105.6</v>
      </c>
      <c r="I11" s="235"/>
      <c r="J11" s="235"/>
      <c r="K11" s="232">
        <f>Data!L6</f>
        <v>10782</v>
      </c>
      <c r="L11" s="232">
        <f>Data!M6</f>
        <v>9272.52</v>
      </c>
      <c r="M11" s="232">
        <f>Data!N6</f>
        <v>1928</v>
      </c>
      <c r="N11" s="234"/>
      <c r="O11" s="237">
        <f t="shared" si="3"/>
        <v>20.135930254127249</v>
      </c>
      <c r="P11" s="237">
        <f t="shared" si="0"/>
        <v>23.413872388520058</v>
      </c>
      <c r="Q11" s="237">
        <f t="shared" si="4"/>
        <v>82.178215767634853</v>
      </c>
    </row>
    <row r="12" spans="2:18">
      <c r="B12" s="231" t="str">
        <f>Data!C7</f>
        <v xml:space="preserve">Tata Power Co. </v>
      </c>
      <c r="C12" s="234"/>
      <c r="D12" s="232">
        <f>Data!D7</f>
        <v>365.95</v>
      </c>
      <c r="E12" s="236">
        <f>Data!E7</f>
        <v>319.52999999999997</v>
      </c>
      <c r="F12" s="235">
        <f t="shared" si="1"/>
        <v>116932.00349999999</v>
      </c>
      <c r="G12" s="232">
        <f>Data!I7</f>
        <v>49162.03</v>
      </c>
      <c r="H12" s="235">
        <f t="shared" si="2"/>
        <v>166094.03349999999</v>
      </c>
      <c r="I12" s="235"/>
      <c r="J12" s="235"/>
      <c r="K12" s="232">
        <f>Data!L7</f>
        <v>64228.93</v>
      </c>
      <c r="L12" s="232">
        <f>Data!M7</f>
        <v>14772.653900000001</v>
      </c>
      <c r="M12" s="232">
        <f>Data!N7</f>
        <v>4514.84</v>
      </c>
      <c r="N12" s="234"/>
      <c r="O12" s="237">
        <f t="shared" si="3"/>
        <v>2.5859691808660052</v>
      </c>
      <c r="P12" s="237">
        <f t="shared" si="0"/>
        <v>11.243344264634805</v>
      </c>
      <c r="Q12" s="237">
        <f t="shared" si="4"/>
        <v>25.89947894056046</v>
      </c>
    </row>
    <row r="13" spans="2:18">
      <c r="B13" s="231" t="str">
        <f>Data!C8</f>
        <v xml:space="preserve">NTPC Green </v>
      </c>
      <c r="C13" s="234"/>
      <c r="D13" s="232">
        <f>Data!D8</f>
        <v>112</v>
      </c>
      <c r="E13" s="236">
        <f>Data!E8</f>
        <v>842.63</v>
      </c>
      <c r="F13" s="235">
        <f t="shared" si="1"/>
        <v>94374.56</v>
      </c>
      <c r="G13" s="232">
        <f>Data!I8</f>
        <v>13384.44</v>
      </c>
      <c r="H13" s="235">
        <f t="shared" si="2"/>
        <v>107759</v>
      </c>
      <c r="I13" s="235"/>
      <c r="J13" s="235"/>
      <c r="K13" s="232">
        <f>Data!L8</f>
        <v>1962.6</v>
      </c>
      <c r="L13" s="232">
        <f>Data!M8</f>
        <v>1825.2180000000001</v>
      </c>
      <c r="M13" s="232">
        <f>Data!N8</f>
        <v>344.72</v>
      </c>
      <c r="N13" s="234"/>
      <c r="O13" s="237">
        <f t="shared" si="3"/>
        <v>54.906246815448895</v>
      </c>
      <c r="P13" s="237">
        <f t="shared" si="0"/>
        <v>59.038975070375152</v>
      </c>
      <c r="Q13" s="237">
        <f t="shared" si="4"/>
        <v>273.77164075191456</v>
      </c>
    </row>
    <row r="14" spans="2:18">
      <c r="B14" s="231" t="str">
        <f>Data!C9</f>
        <v xml:space="preserve">Adani Energy Sol </v>
      </c>
      <c r="C14" s="234"/>
      <c r="D14" s="232">
        <f>Data!D9</f>
        <v>775.75</v>
      </c>
      <c r="E14" s="236">
        <f>Data!E9</f>
        <v>120.13</v>
      </c>
      <c r="F14" s="235">
        <f t="shared" si="1"/>
        <v>93190.847500000003</v>
      </c>
      <c r="G14" s="232">
        <f>Data!I9</f>
        <v>36780.58</v>
      </c>
      <c r="H14" s="235">
        <f t="shared" si="2"/>
        <v>129971.42750000001</v>
      </c>
      <c r="I14" s="235"/>
      <c r="J14" s="235"/>
      <c r="K14" s="232">
        <f>Data!L9</f>
        <v>22099.360000000001</v>
      </c>
      <c r="L14" s="232">
        <f>Data!M9</f>
        <v>7292.7888000000003</v>
      </c>
      <c r="M14" s="232">
        <f>Data!N9</f>
        <v>589.32000000000005</v>
      </c>
      <c r="N14" s="234"/>
      <c r="O14" s="237">
        <f t="shared" si="3"/>
        <v>5.8812303840473206</v>
      </c>
      <c r="P14" s="237">
        <f t="shared" si="0"/>
        <v>17.821910254688852</v>
      </c>
      <c r="Q14" s="237">
        <f t="shared" si="4"/>
        <v>158.13284378605849</v>
      </c>
    </row>
    <row r="15" spans="2:18">
      <c r="B15" s="231" t="str">
        <f>Data!C10</f>
        <v xml:space="preserve">JSW Energy </v>
      </c>
      <c r="C15" s="234"/>
      <c r="D15" s="232">
        <f>Data!D10</f>
        <v>493.5</v>
      </c>
      <c r="E15" s="236">
        <f>Data!E10</f>
        <v>174.78</v>
      </c>
      <c r="F15" s="235">
        <f t="shared" si="1"/>
        <v>86253.930000000008</v>
      </c>
      <c r="G15" s="232">
        <f>Data!I10</f>
        <v>26646.46</v>
      </c>
      <c r="H15" s="235">
        <f t="shared" si="2"/>
        <v>112900.39000000001</v>
      </c>
      <c r="I15" s="235"/>
      <c r="J15" s="235"/>
      <c r="K15" s="232">
        <f>Data!L10</f>
        <v>11311.87</v>
      </c>
      <c r="L15" s="232">
        <f>Data!M10</f>
        <v>5882.1724000000004</v>
      </c>
      <c r="M15" s="232">
        <f>Data!N10</f>
        <v>1913.64</v>
      </c>
      <c r="N15" s="234"/>
      <c r="O15" s="237">
        <f t="shared" si="3"/>
        <v>9.9807008036690661</v>
      </c>
      <c r="P15" s="237">
        <f t="shared" si="0"/>
        <v>19.193655391671282</v>
      </c>
      <c r="Q15" s="237">
        <f t="shared" si="4"/>
        <v>45.073226939236221</v>
      </c>
    </row>
    <row r="16" spans="2:18">
      <c r="B16" s="231" t="str">
        <f>Data!C11</f>
        <v xml:space="preserve">NHPC Ltd </v>
      </c>
      <c r="C16" s="234"/>
      <c r="D16" s="232">
        <f>Data!D11</f>
        <v>78.5</v>
      </c>
      <c r="E16" s="236">
        <f>Data!E11</f>
        <v>1004.5</v>
      </c>
      <c r="F16" s="235">
        <f t="shared" si="1"/>
        <v>78853.25</v>
      </c>
      <c r="G16" s="232">
        <f>Data!I11</f>
        <v>30587.920000000002</v>
      </c>
      <c r="H16" s="235">
        <f t="shared" si="2"/>
        <v>109441.17</v>
      </c>
      <c r="I16" s="235"/>
      <c r="J16" s="235"/>
      <c r="K16" s="232">
        <f>Data!L11</f>
        <v>9689.77</v>
      </c>
      <c r="L16" s="232">
        <f>Data!M11</f>
        <v>7073.5321000000004</v>
      </c>
      <c r="M16" s="232">
        <f>Data!N11</f>
        <v>3417.11</v>
      </c>
      <c r="N16" s="234"/>
      <c r="O16" s="237">
        <f t="shared" si="3"/>
        <v>11.294506474353879</v>
      </c>
      <c r="P16" s="237">
        <f t="shared" si="0"/>
        <v>15.471926677197095</v>
      </c>
      <c r="Q16" s="237">
        <f t="shared" si="4"/>
        <v>23.076005747546901</v>
      </c>
    </row>
    <row r="17" spans="2:17">
      <c r="B17" s="231" t="str">
        <f>Data!C12</f>
        <v xml:space="preserve">Torrent Power </v>
      </c>
      <c r="C17" s="234"/>
      <c r="D17" s="232">
        <f>Data!D12</f>
        <v>1373.55</v>
      </c>
      <c r="E17" s="236">
        <f>Data!E12</f>
        <v>50.39</v>
      </c>
      <c r="F17" s="235">
        <f t="shared" si="1"/>
        <v>69213.184500000003</v>
      </c>
      <c r="G17" s="232">
        <f>Data!I12</f>
        <v>11148.7</v>
      </c>
      <c r="H17" s="235">
        <f t="shared" si="2"/>
        <v>80361.8845</v>
      </c>
      <c r="I17" s="235"/>
      <c r="J17" s="235"/>
      <c r="K17" s="232">
        <f>Data!L12</f>
        <v>29237.5</v>
      </c>
      <c r="L17" s="232">
        <f>Data!M12</f>
        <v>5847.5</v>
      </c>
      <c r="M17" s="232">
        <f>Data!N12</f>
        <v>2428.4299999999998</v>
      </c>
      <c r="N17" s="234"/>
      <c r="O17" s="237">
        <f t="shared" si="3"/>
        <v>2.7485894655835827</v>
      </c>
      <c r="P17" s="237">
        <f t="shared" si="0"/>
        <v>13.742947327917914</v>
      </c>
      <c r="Q17" s="237">
        <f t="shared" si="4"/>
        <v>28.501206334957157</v>
      </c>
    </row>
    <row r="18" spans="2:17" ht="6.75" customHeight="1"/>
    <row r="20" spans="2:17">
      <c r="B20" s="231" t="s">
        <v>378</v>
      </c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231"/>
      <c r="O20" s="233">
        <f>MAX(O8:O17)</f>
        <v>54.906246815448895</v>
      </c>
      <c r="P20" s="233">
        <f>MAX(P8:P17)</f>
        <v>59.038975070375152</v>
      </c>
      <c r="Q20" s="233">
        <f>MAX(Q8:Q17)</f>
        <v>273.77164075191456</v>
      </c>
    </row>
    <row r="21" spans="2:17">
      <c r="B21" s="231" t="s">
        <v>435</v>
      </c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3">
        <f>QUARTILE(O8:O17,3)</f>
        <v>10.966055056682675</v>
      </c>
      <c r="P21" s="233">
        <f>QUARTILE(P8:P17,3)</f>
        <v>18.850719107425675</v>
      </c>
      <c r="Q21" s="233">
        <f>QUARTILE(Q8:Q17,3)</f>
        <v>72.901968560535195</v>
      </c>
    </row>
    <row r="22" spans="2:17">
      <c r="B22" s="238" t="s">
        <v>204</v>
      </c>
      <c r="C22" s="238"/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9">
        <f>AVERAGE(O8:O17)</f>
        <v>12.280120231242702</v>
      </c>
      <c r="P22" s="233">
        <f>AVERAGE(P8:P17)</f>
        <v>18.757095752877301</v>
      </c>
      <c r="Q22" s="233">
        <f>AVERAGE(Q8:Q17)</f>
        <v>68.213857614514183</v>
      </c>
    </row>
    <row r="23" spans="2:17">
      <c r="B23" s="238" t="s">
        <v>185</v>
      </c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9">
        <f>MEDIAN(O8:O17)</f>
        <v>7.0892924665773034</v>
      </c>
      <c r="P23" s="233">
        <f>MEDIAN(P8:P17)</f>
        <v>14.607437002557504</v>
      </c>
      <c r="Q23" s="233">
        <f>MEDIAN(Q8:Q17)</f>
        <v>27.200342637758808</v>
      </c>
    </row>
    <row r="24" spans="2:17">
      <c r="B24" s="231" t="s">
        <v>436</v>
      </c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3">
        <f>QUARTILE(O8:O17,1)</f>
        <v>3.1970235286792112</v>
      </c>
      <c r="P24" s="233">
        <f>QUARTILE(P8:P17,1)</f>
        <v>9.8029887760805714</v>
      </c>
      <c r="Q24" s="233">
        <f>QUARTILE(Q8:Q17,1)</f>
        <v>18.42989483279149</v>
      </c>
    </row>
    <row r="25" spans="2:17">
      <c r="B25" s="231" t="s">
        <v>376</v>
      </c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3">
        <f>MIN(O8:O17)</f>
        <v>2.5859691808660052</v>
      </c>
      <c r="P25" s="233">
        <f>MIN(P8:P17)</f>
        <v>9.089718327332978</v>
      </c>
      <c r="Q25" s="233">
        <f>MIN(Q8:Q17)</f>
        <v>13.551947302544212</v>
      </c>
    </row>
    <row r="28" spans="2:17">
      <c r="B28" s="240" t="s">
        <v>437</v>
      </c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30" t="s">
        <v>432</v>
      </c>
      <c r="P28" s="230" t="s">
        <v>433</v>
      </c>
      <c r="Q28" s="230" t="s">
        <v>434</v>
      </c>
    </row>
    <row r="29" spans="2:17" ht="4.5" customHeight="1"/>
    <row r="30" spans="2:17">
      <c r="B30" s="234" t="s">
        <v>438</v>
      </c>
      <c r="C30" s="234"/>
      <c r="D30" s="234"/>
      <c r="E30" s="234"/>
      <c r="F30" s="234"/>
      <c r="G30" s="234"/>
      <c r="H30" s="234"/>
      <c r="I30" s="234"/>
      <c r="J30" s="234"/>
      <c r="K30" s="234"/>
      <c r="L30" s="234"/>
      <c r="M30" s="234"/>
      <c r="N30" s="234"/>
      <c r="O30" s="241">
        <f>O$23*K8</f>
        <v>1317840.9828738715</v>
      </c>
      <c r="P30" s="241">
        <f>P$23*L8</f>
        <v>868928.64877445402</v>
      </c>
      <c r="Q30" s="241">
        <f>Q$23*M8</f>
        <v>613260.55713146843</v>
      </c>
    </row>
    <row r="31" spans="2:17">
      <c r="B31" s="234" t="s">
        <v>383</v>
      </c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5">
        <f>$G$8</f>
        <v>235162.15</v>
      </c>
      <c r="P31" s="235">
        <f>$G$8</f>
        <v>235162.15</v>
      </c>
      <c r="Q31" s="235">
        <f>$G$8</f>
        <v>235162.15</v>
      </c>
    </row>
    <row r="32" spans="2:17">
      <c r="B32" s="234" t="s">
        <v>439</v>
      </c>
      <c r="C32" s="234"/>
      <c r="D32" s="234"/>
      <c r="E32" s="234"/>
      <c r="F32" s="234"/>
      <c r="G32" s="234"/>
      <c r="H32" s="234"/>
      <c r="I32" s="234"/>
      <c r="J32" s="234"/>
      <c r="K32" s="234"/>
      <c r="L32" s="234"/>
      <c r="M32" s="234"/>
      <c r="N32" s="234"/>
      <c r="O32" s="235">
        <f>O30-O31</f>
        <v>1082678.8328738715</v>
      </c>
      <c r="P32" s="235">
        <f>P30-P31</f>
        <v>633766.498774454</v>
      </c>
      <c r="Q32" s="235">
        <f>Q31+Q30</f>
        <v>848422.70713146846</v>
      </c>
    </row>
    <row r="33" spans="2:17">
      <c r="B33" s="234" t="s">
        <v>426</v>
      </c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6">
        <f>$E$8</f>
        <v>969.67</v>
      </c>
      <c r="P33" s="236">
        <f>$E$8</f>
        <v>969.67</v>
      </c>
      <c r="Q33" s="236">
        <f>$E$8</f>
        <v>969.67</v>
      </c>
    </row>
    <row r="34" spans="2:17" ht="4.5" customHeight="1">
      <c r="O34" s="242"/>
      <c r="P34" s="242"/>
      <c r="Q34" s="242"/>
    </row>
    <row r="35" spans="2:17">
      <c r="B35" s="243" t="s">
        <v>440</v>
      </c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4">
        <f>O32/O33</f>
        <v>1116.5436002700626</v>
      </c>
      <c r="P35" s="244">
        <f>P32/P33</f>
        <v>653.58987982968847</v>
      </c>
      <c r="Q35" s="244">
        <f>Q32/Q33</f>
        <v>874.96025156132339</v>
      </c>
    </row>
    <row r="36" spans="2:17" ht="4.5" customHeight="1"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6"/>
      <c r="P36" s="246"/>
      <c r="Q36" s="246"/>
    </row>
    <row r="37" spans="2:17">
      <c r="B37" s="221" t="s">
        <v>441</v>
      </c>
    </row>
    <row r="38" spans="2:17">
      <c r="O38" s="219" t="str">
        <f>IF(O35&gt;$D$8,"Under Valued","Overvalued")</f>
        <v>Under Valued</v>
      </c>
      <c r="P38" s="219" t="str">
        <f>IF(P35&gt;$D$8,"Under Valued","Overvalued")</f>
        <v>Under Valued</v>
      </c>
      <c r="Q38" s="219" t="str">
        <f>IF(Q35&gt;$D$8,"Under Valued","Overvalued")</f>
        <v>Under Valued</v>
      </c>
    </row>
  </sheetData>
  <mergeCells count="3">
    <mergeCell ref="D5:I5"/>
    <mergeCell ref="K5:M5"/>
    <mergeCell ref="O5:Q5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3300"/>
  </sheetPr>
  <dimension ref="L2:Q8"/>
  <sheetViews>
    <sheetView showGridLines="0" topLeftCell="ET1" workbookViewId="0">
      <selection activeCell="N5" sqref="N5"/>
    </sheetView>
  </sheetViews>
  <sheetFormatPr defaultRowHeight="14.4"/>
  <cols>
    <col min="1" max="1" width="1.88671875" customWidth="1"/>
  </cols>
  <sheetData>
    <row r="2" spans="12:17">
      <c r="L2" s="216" t="s">
        <v>369</v>
      </c>
      <c r="M2" s="216"/>
      <c r="N2" s="216"/>
      <c r="O2" s="216"/>
      <c r="P2" s="216"/>
      <c r="Q2" s="216"/>
    </row>
    <row r="3" spans="12:17">
      <c r="N3" s="57" t="s">
        <v>375</v>
      </c>
      <c r="O3" s="57" t="s">
        <v>376</v>
      </c>
      <c r="P3" s="57" t="s">
        <v>377</v>
      </c>
      <c r="Q3" s="57" t="s">
        <v>378</v>
      </c>
    </row>
    <row r="4" spans="12:17">
      <c r="L4" t="s">
        <v>370</v>
      </c>
      <c r="N4">
        <f>O4</f>
        <v>162.5</v>
      </c>
      <c r="O4">
        <v>162.5</v>
      </c>
      <c r="P4">
        <f>Q4</f>
        <v>184.7</v>
      </c>
      <c r="Q4">
        <v>184.7</v>
      </c>
    </row>
    <row r="5" spans="12:17">
      <c r="L5" t="s">
        <v>371</v>
      </c>
    </row>
    <row r="6" spans="12:17">
      <c r="L6" t="s">
        <v>372</v>
      </c>
      <c r="N6">
        <v>954.2</v>
      </c>
      <c r="O6">
        <v>954.2</v>
      </c>
      <c r="P6">
        <v>1056.4000000000001</v>
      </c>
      <c r="Q6">
        <v>1056.4000000000001</v>
      </c>
    </row>
    <row r="7" spans="12:17">
      <c r="L7" t="s">
        <v>373</v>
      </c>
    </row>
    <row r="8" spans="12:17">
      <c r="L8" t="s">
        <v>374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1"/>
  <sheetViews>
    <sheetView showGridLines="0" topLeftCell="A2" workbookViewId="0">
      <selection activeCell="O18" sqref="O18"/>
    </sheetView>
  </sheetViews>
  <sheetFormatPr defaultColWidth="9.109375" defaultRowHeight="14.4"/>
  <sheetData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16" sqref="B16"/>
    </sheetView>
  </sheetViews>
  <sheetFormatPr defaultColWidth="8.88671875" defaultRowHeight="14.4"/>
  <cols>
    <col min="1" max="1" width="27.6640625" style="4" bestFit="1" customWidth="1"/>
    <col min="2" max="11" width="13.44140625" style="4" bestFit="1" customWidth="1"/>
    <col min="12" max="16384" width="8.88671875" style="4"/>
  </cols>
  <sheetData>
    <row r="1" spans="1:11" s="1" customFormat="1">
      <c r="A1" s="1" t="s">
        <v>0</v>
      </c>
      <c r="B1" s="1" t="s">
        <v>54</v>
      </c>
      <c r="E1" s="279" t="str">
        <f>IF(B2&lt;&gt;B3, "A NEW VERSION OF THE WORKSHEET IS AVAILABLE", "")</f>
        <v/>
      </c>
      <c r="F1" s="279"/>
      <c r="G1" s="279"/>
      <c r="H1" s="279"/>
      <c r="I1" s="279"/>
      <c r="J1" s="279"/>
      <c r="K1" s="279"/>
    </row>
    <row r="2" spans="1:11">
      <c r="A2" s="1" t="s">
        <v>52</v>
      </c>
      <c r="B2" s="4">
        <v>2.1</v>
      </c>
      <c r="E2" s="280" t="s">
        <v>36</v>
      </c>
      <c r="F2" s="280"/>
      <c r="G2" s="280"/>
      <c r="H2" s="280"/>
      <c r="I2" s="280"/>
      <c r="J2" s="280"/>
      <c r="K2" s="280"/>
    </row>
    <row r="3" spans="1:11">
      <c r="A3" s="1" t="s">
        <v>53</v>
      </c>
      <c r="B3" s="4">
        <v>2.1</v>
      </c>
    </row>
    <row r="4" spans="1:11">
      <c r="A4" s="1"/>
    </row>
    <row r="5" spans="1:11">
      <c r="A5" s="1" t="s">
        <v>55</v>
      </c>
    </row>
    <row r="6" spans="1:11">
      <c r="A6" s="4" t="s">
        <v>42</v>
      </c>
      <c r="B6" s="4">
        <f>IF(B9&gt;0, B9/B8, 0)</f>
        <v>65.07330779054918</v>
      </c>
    </row>
    <row r="7" spans="1:11">
      <c r="A7" s="4" t="s">
        <v>31</v>
      </c>
      <c r="B7">
        <v>10</v>
      </c>
    </row>
    <row r="8" spans="1:11">
      <c r="A8" s="4" t="s">
        <v>43</v>
      </c>
      <c r="B8">
        <v>3836.7</v>
      </c>
    </row>
    <row r="9" spans="1:11">
      <c r="A9" s="4" t="s">
        <v>70</v>
      </c>
      <c r="B9">
        <v>249666.76</v>
      </c>
    </row>
    <row r="15" spans="1:11">
      <c r="A15" s="1" t="s">
        <v>37</v>
      </c>
    </row>
    <row r="16" spans="1:11" s="16" customFormat="1">
      <c r="A16" s="15" t="s">
        <v>38</v>
      </c>
      <c r="B16" s="10">
        <v>42094</v>
      </c>
      <c r="C16" s="10">
        <v>42460</v>
      </c>
      <c r="D16" s="10">
        <v>42825</v>
      </c>
      <c r="E16" s="10">
        <v>43190</v>
      </c>
      <c r="F16" s="10">
        <v>43555</v>
      </c>
      <c r="G16" s="10">
        <v>43921</v>
      </c>
      <c r="H16" s="10">
        <v>44286</v>
      </c>
      <c r="I16" s="10">
        <v>44651</v>
      </c>
      <c r="J16" s="10">
        <v>45016</v>
      </c>
      <c r="K16" s="10">
        <v>45382</v>
      </c>
    </row>
    <row r="17" spans="1:11" s="6" customFormat="1">
      <c r="A17" s="6" t="s">
        <v>6</v>
      </c>
      <c r="B17">
        <v>6439.43</v>
      </c>
      <c r="C17">
        <v>8583.76</v>
      </c>
      <c r="D17">
        <v>11897.7</v>
      </c>
      <c r="E17">
        <v>15033.2</v>
      </c>
      <c r="F17">
        <v>20004.52</v>
      </c>
      <c r="G17">
        <v>24870.2</v>
      </c>
      <c r="H17">
        <v>24143.06</v>
      </c>
      <c r="I17">
        <v>30976.27</v>
      </c>
      <c r="J17">
        <v>42839.56</v>
      </c>
      <c r="K17">
        <v>50788.83</v>
      </c>
    </row>
    <row r="18" spans="1:11" s="6" customFormat="1">
      <c r="A18" s="4" t="s">
        <v>71</v>
      </c>
      <c r="B18">
        <v>5648.47</v>
      </c>
      <c r="C18">
        <v>7435.62</v>
      </c>
      <c r="D18">
        <v>10357.25</v>
      </c>
      <c r="E18">
        <v>12846.95</v>
      </c>
      <c r="F18">
        <v>17445.490000000002</v>
      </c>
      <c r="G18">
        <v>21441.68</v>
      </c>
      <c r="H18">
        <v>20855.560000000001</v>
      </c>
      <c r="I18">
        <v>26891.77</v>
      </c>
      <c r="J18">
        <v>36884.769999999997</v>
      </c>
      <c r="K18">
        <v>43958.31</v>
      </c>
    </row>
    <row r="19" spans="1:11" s="6" customFormat="1">
      <c r="A19" s="4" t="s">
        <v>72</v>
      </c>
      <c r="B19">
        <v>161.28</v>
      </c>
      <c r="C19">
        <v>132.08000000000001</v>
      </c>
      <c r="D19">
        <v>276.22000000000003</v>
      </c>
      <c r="E19">
        <v>211.31</v>
      </c>
      <c r="F19">
        <v>444.65</v>
      </c>
      <c r="G19">
        <v>338.75</v>
      </c>
      <c r="H19">
        <v>300.88</v>
      </c>
      <c r="I19">
        <v>494.38</v>
      </c>
      <c r="J19">
        <v>500.82</v>
      </c>
      <c r="K19">
        <v>683.77</v>
      </c>
    </row>
    <row r="20" spans="1:11" s="6" customFormat="1">
      <c r="A20" s="4" t="s">
        <v>73</v>
      </c>
      <c r="B20">
        <v>59.33</v>
      </c>
      <c r="C20">
        <v>79.239999999999995</v>
      </c>
      <c r="D20">
        <v>99.41</v>
      </c>
      <c r="E20">
        <v>121.26</v>
      </c>
      <c r="F20">
        <v>152.80000000000001</v>
      </c>
      <c r="G20">
        <v>188.24</v>
      </c>
      <c r="H20">
        <v>174.2</v>
      </c>
      <c r="I20">
        <v>207.86</v>
      </c>
      <c r="J20">
        <v>314.62</v>
      </c>
      <c r="K20">
        <v>376.59</v>
      </c>
    </row>
    <row r="21" spans="1:11" s="6" customFormat="1">
      <c r="A21" s="4" t="s">
        <v>74</v>
      </c>
      <c r="B21">
        <v>155.35</v>
      </c>
      <c r="C21">
        <v>241.36</v>
      </c>
      <c r="D21">
        <v>332.9</v>
      </c>
      <c r="E21">
        <v>373.72</v>
      </c>
      <c r="F21">
        <v>499.72</v>
      </c>
      <c r="G21">
        <v>645.96</v>
      </c>
      <c r="H21">
        <v>746.43</v>
      </c>
      <c r="I21">
        <v>805.85</v>
      </c>
      <c r="J21">
        <v>1116.56</v>
      </c>
      <c r="K21">
        <v>1323.43</v>
      </c>
    </row>
    <row r="22" spans="1:11" s="6" customFormat="1">
      <c r="A22" s="4" t="s">
        <v>75</v>
      </c>
      <c r="B22">
        <v>134.06</v>
      </c>
      <c r="C22">
        <v>149.04</v>
      </c>
      <c r="D22">
        <v>192.67</v>
      </c>
      <c r="E22">
        <v>283.14</v>
      </c>
      <c r="F22">
        <v>356.17</v>
      </c>
      <c r="G22">
        <v>457.14</v>
      </c>
      <c r="H22">
        <v>537.58000000000004</v>
      </c>
      <c r="I22">
        <v>617.36</v>
      </c>
      <c r="J22">
        <v>748.16</v>
      </c>
      <c r="K22">
        <v>907.82</v>
      </c>
    </row>
    <row r="23" spans="1:11" s="6" customFormat="1">
      <c r="A23" s="4" t="s">
        <v>76</v>
      </c>
      <c r="B23">
        <v>582.79999999999995</v>
      </c>
      <c r="C23">
        <v>647.37</v>
      </c>
      <c r="D23">
        <v>71.239999999999995</v>
      </c>
      <c r="E23">
        <v>96</v>
      </c>
      <c r="F23">
        <v>135.84</v>
      </c>
      <c r="G23">
        <v>119.23</v>
      </c>
      <c r="H23">
        <v>108.69</v>
      </c>
      <c r="I23">
        <v>143.41</v>
      </c>
      <c r="J23">
        <v>212.04</v>
      </c>
      <c r="K23">
        <v>274.43</v>
      </c>
    </row>
    <row r="24" spans="1:11" s="6" customFormat="1">
      <c r="A24" s="4" t="s">
        <v>77</v>
      </c>
      <c r="B24">
        <v>-435.56</v>
      </c>
      <c r="C24">
        <v>-501.25</v>
      </c>
      <c r="D24">
        <v>151.27000000000001</v>
      </c>
      <c r="E24">
        <v>170.58</v>
      </c>
      <c r="F24">
        <v>225.84</v>
      </c>
      <c r="G24">
        <v>228.39</v>
      </c>
      <c r="H24">
        <v>276.64999999999998</v>
      </c>
      <c r="I24">
        <v>302.05</v>
      </c>
      <c r="J24">
        <v>425.46</v>
      </c>
      <c r="K24">
        <v>526.38</v>
      </c>
    </row>
    <row r="25" spans="1:11" s="6" customFormat="1">
      <c r="A25" s="6" t="s">
        <v>9</v>
      </c>
      <c r="B25">
        <v>20.27</v>
      </c>
      <c r="C25">
        <v>17.02</v>
      </c>
      <c r="D25">
        <v>27.7</v>
      </c>
      <c r="E25">
        <v>87.75</v>
      </c>
      <c r="F25">
        <v>48.33</v>
      </c>
      <c r="G25">
        <v>59.99</v>
      </c>
      <c r="H25">
        <v>194.43</v>
      </c>
      <c r="I25">
        <v>113.64</v>
      </c>
      <c r="J25">
        <v>127.6</v>
      </c>
      <c r="K25">
        <v>144.58000000000001</v>
      </c>
    </row>
    <row r="26" spans="1:11" s="6" customFormat="1">
      <c r="A26" s="6" t="s">
        <v>10</v>
      </c>
      <c r="B26">
        <v>81.540000000000006</v>
      </c>
      <c r="C26">
        <v>98.43</v>
      </c>
      <c r="D26">
        <v>127.82</v>
      </c>
      <c r="E26">
        <v>159</v>
      </c>
      <c r="F26">
        <v>212.49</v>
      </c>
      <c r="G26">
        <v>374.41</v>
      </c>
      <c r="H26">
        <v>414.16</v>
      </c>
      <c r="I26">
        <v>498.08</v>
      </c>
      <c r="J26">
        <v>638.87</v>
      </c>
      <c r="K26">
        <v>730.76</v>
      </c>
    </row>
    <row r="27" spans="1:11" s="6" customFormat="1">
      <c r="A27" s="6" t="s">
        <v>11</v>
      </c>
      <c r="B27">
        <v>72.36</v>
      </c>
      <c r="C27">
        <v>91.34</v>
      </c>
      <c r="D27">
        <v>121.98</v>
      </c>
      <c r="E27">
        <v>59.54</v>
      </c>
      <c r="F27">
        <v>47.21</v>
      </c>
      <c r="G27">
        <v>69.12</v>
      </c>
      <c r="H27">
        <v>41.65</v>
      </c>
      <c r="I27">
        <v>53.79</v>
      </c>
      <c r="J27">
        <v>67.41</v>
      </c>
      <c r="K27">
        <v>58.13</v>
      </c>
    </row>
    <row r="28" spans="1:11" s="6" customFormat="1">
      <c r="A28" s="6" t="s">
        <v>12</v>
      </c>
      <c r="B28">
        <v>322.63</v>
      </c>
      <c r="C28">
        <v>491.71</v>
      </c>
      <c r="D28">
        <v>747.08</v>
      </c>
      <c r="E28">
        <v>1222.07</v>
      </c>
      <c r="F28">
        <v>1421.94</v>
      </c>
      <c r="G28">
        <v>1744.77</v>
      </c>
      <c r="H28">
        <v>1483.45</v>
      </c>
      <c r="I28">
        <v>2064.12</v>
      </c>
      <c r="J28">
        <v>3060.09</v>
      </c>
      <c r="K28">
        <v>3461.33</v>
      </c>
    </row>
    <row r="29" spans="1:11" s="6" customFormat="1">
      <c r="A29" s="6" t="s">
        <v>13</v>
      </c>
      <c r="B29">
        <v>110.92</v>
      </c>
      <c r="C29">
        <v>171.47</v>
      </c>
      <c r="D29">
        <v>268.27999999999997</v>
      </c>
      <c r="E29">
        <v>415.79</v>
      </c>
      <c r="F29">
        <v>519.48</v>
      </c>
      <c r="G29">
        <v>443.79</v>
      </c>
      <c r="H29">
        <v>384.02</v>
      </c>
      <c r="I29">
        <v>571.72</v>
      </c>
      <c r="J29">
        <v>681.75</v>
      </c>
      <c r="K29">
        <v>925.72</v>
      </c>
    </row>
    <row r="30" spans="1:11" s="6" customFormat="1">
      <c r="A30" s="6" t="s">
        <v>14</v>
      </c>
      <c r="B30">
        <v>211.67</v>
      </c>
      <c r="C30">
        <v>320.24</v>
      </c>
      <c r="D30">
        <v>478.75</v>
      </c>
      <c r="E30">
        <v>806.26</v>
      </c>
      <c r="F30">
        <v>902.54</v>
      </c>
      <c r="G30">
        <v>1301.08</v>
      </c>
      <c r="H30">
        <v>1099.49</v>
      </c>
      <c r="I30">
        <v>1492.55</v>
      </c>
      <c r="J30">
        <v>2378.5100000000002</v>
      </c>
      <c r="K30">
        <v>2536.17</v>
      </c>
    </row>
    <row r="31" spans="1:11" s="6" customFormat="1">
      <c r="A31" s="6" t="s">
        <v>61</v>
      </c>
      <c r="B31"/>
      <c r="C31"/>
      <c r="D31"/>
      <c r="E31"/>
      <c r="F31"/>
      <c r="G31"/>
      <c r="H31"/>
      <c r="I31"/>
      <c r="J31"/>
      <c r="K31"/>
    </row>
    <row r="32" spans="1:11" s="6" customFormat="1"/>
    <row r="33" spans="1:11">
      <c r="A33" s="6"/>
    </row>
    <row r="34" spans="1:11">
      <c r="A34" s="6"/>
    </row>
    <row r="35" spans="1:11">
      <c r="A35" s="6"/>
    </row>
    <row r="36" spans="1:11">
      <c r="A36" s="6"/>
    </row>
    <row r="37" spans="1:11">
      <c r="A37" s="6"/>
    </row>
    <row r="38" spans="1:11">
      <c r="A38" s="6"/>
    </row>
    <row r="39" spans="1:11">
      <c r="A39" s="6"/>
    </row>
    <row r="40" spans="1:11">
      <c r="A40" s="1" t="s">
        <v>39</v>
      </c>
    </row>
    <row r="41" spans="1:11" s="16" customFormat="1">
      <c r="A41" s="15" t="s">
        <v>38</v>
      </c>
      <c r="B41" s="10">
        <v>44834</v>
      </c>
      <c r="C41" s="10">
        <v>44926</v>
      </c>
      <c r="D41" s="10">
        <v>45016</v>
      </c>
      <c r="E41" s="10">
        <v>45107</v>
      </c>
      <c r="F41" s="10">
        <v>45199</v>
      </c>
      <c r="G41" s="10">
        <v>45291</v>
      </c>
      <c r="H41" s="10">
        <v>45382</v>
      </c>
      <c r="I41" s="10">
        <v>45473</v>
      </c>
      <c r="J41" s="10">
        <v>45565</v>
      </c>
      <c r="K41" s="10">
        <v>45657</v>
      </c>
    </row>
    <row r="42" spans="1:11" s="6" customFormat="1">
      <c r="A42" s="6" t="s">
        <v>6</v>
      </c>
      <c r="B42">
        <v>10638.33</v>
      </c>
      <c r="C42">
        <v>11569.05</v>
      </c>
      <c r="D42">
        <v>10594.11</v>
      </c>
      <c r="E42">
        <v>11865.44</v>
      </c>
      <c r="F42">
        <v>12624.37</v>
      </c>
      <c r="G42">
        <v>13572.47</v>
      </c>
      <c r="H42">
        <v>12726.55</v>
      </c>
      <c r="I42">
        <v>14069.14</v>
      </c>
      <c r="J42">
        <v>14444.5</v>
      </c>
      <c r="K42">
        <v>15972.55</v>
      </c>
    </row>
    <row r="43" spans="1:11" s="6" customFormat="1">
      <c r="A43" s="6" t="s">
        <v>7</v>
      </c>
      <c r="B43">
        <v>9746.31</v>
      </c>
      <c r="C43">
        <v>10603.79</v>
      </c>
      <c r="D43">
        <v>9822.6</v>
      </c>
      <c r="E43">
        <v>10830.17</v>
      </c>
      <c r="F43">
        <v>11619.4</v>
      </c>
      <c r="G43">
        <v>12452.58</v>
      </c>
      <c r="H43">
        <v>11782.91</v>
      </c>
      <c r="I43">
        <v>12847.89</v>
      </c>
      <c r="J43">
        <v>13350.73</v>
      </c>
      <c r="K43">
        <v>14755.31</v>
      </c>
    </row>
    <row r="44" spans="1:11" s="6" customFormat="1">
      <c r="A44" s="6" t="s">
        <v>9</v>
      </c>
      <c r="B44">
        <v>35.57</v>
      </c>
      <c r="C44">
        <v>31.56</v>
      </c>
      <c r="D44">
        <v>33.07</v>
      </c>
      <c r="E44">
        <v>38.74</v>
      </c>
      <c r="F44">
        <v>36.92</v>
      </c>
      <c r="G44">
        <v>32.92</v>
      </c>
      <c r="H44">
        <v>37.869999999999997</v>
      </c>
      <c r="I44">
        <v>41.6</v>
      </c>
      <c r="J44">
        <v>33.520000000000003</v>
      </c>
      <c r="K44">
        <v>24.14</v>
      </c>
    </row>
    <row r="45" spans="1:11" s="6" customFormat="1">
      <c r="A45" s="6" t="s">
        <v>10</v>
      </c>
      <c r="B45">
        <v>161.96</v>
      </c>
      <c r="C45">
        <v>168.09</v>
      </c>
      <c r="D45">
        <v>164.08</v>
      </c>
      <c r="E45">
        <v>162.18</v>
      </c>
      <c r="F45">
        <v>174.36</v>
      </c>
      <c r="G45">
        <v>189.33</v>
      </c>
      <c r="H45">
        <v>204.89</v>
      </c>
      <c r="I45">
        <v>192.76</v>
      </c>
      <c r="J45">
        <v>207.78</v>
      </c>
      <c r="K45">
        <v>228.12</v>
      </c>
    </row>
    <row r="46" spans="1:11" s="6" customFormat="1">
      <c r="A46" s="6" t="s">
        <v>11</v>
      </c>
      <c r="B46">
        <v>17.68</v>
      </c>
      <c r="C46">
        <v>16.98</v>
      </c>
      <c r="D46">
        <v>15.53</v>
      </c>
      <c r="E46">
        <v>14.57</v>
      </c>
      <c r="F46">
        <v>15.59</v>
      </c>
      <c r="G46">
        <v>14.55</v>
      </c>
      <c r="H46">
        <v>13.42</v>
      </c>
      <c r="I46">
        <v>15.96</v>
      </c>
      <c r="J46">
        <v>16.32</v>
      </c>
      <c r="K46">
        <v>18.21</v>
      </c>
    </row>
    <row r="47" spans="1:11" s="6" customFormat="1">
      <c r="A47" s="6" t="s">
        <v>12</v>
      </c>
      <c r="B47">
        <v>747.95</v>
      </c>
      <c r="C47">
        <v>811.75</v>
      </c>
      <c r="D47">
        <v>624.97</v>
      </c>
      <c r="E47">
        <v>897.26</v>
      </c>
      <c r="F47">
        <v>851.94</v>
      </c>
      <c r="G47">
        <v>948.93</v>
      </c>
      <c r="H47">
        <v>763.2</v>
      </c>
      <c r="I47">
        <v>1054.1300000000001</v>
      </c>
      <c r="J47">
        <v>903.19</v>
      </c>
      <c r="K47">
        <v>995.05</v>
      </c>
    </row>
    <row r="48" spans="1:11" s="6" customFormat="1">
      <c r="A48" s="6" t="s">
        <v>13</v>
      </c>
      <c r="B48">
        <v>62.24</v>
      </c>
      <c r="C48">
        <v>222.11</v>
      </c>
      <c r="D48">
        <v>164.87</v>
      </c>
      <c r="E48">
        <v>238.55</v>
      </c>
      <c r="F48">
        <v>228.59</v>
      </c>
      <c r="G48">
        <v>258.52</v>
      </c>
      <c r="H48">
        <v>200.06</v>
      </c>
      <c r="I48">
        <v>280.45</v>
      </c>
      <c r="J48">
        <v>243.75</v>
      </c>
      <c r="K48">
        <v>271.51</v>
      </c>
    </row>
    <row r="49" spans="1:11" s="6" customFormat="1">
      <c r="A49" s="6" t="s">
        <v>14</v>
      </c>
      <c r="B49">
        <v>685.77</v>
      </c>
      <c r="C49">
        <v>589.67999999999995</v>
      </c>
      <c r="D49">
        <v>460.13</v>
      </c>
      <c r="E49">
        <v>658.75</v>
      </c>
      <c r="F49">
        <v>623.55999999999995</v>
      </c>
      <c r="G49">
        <v>690.61</v>
      </c>
      <c r="H49">
        <v>563.25</v>
      </c>
      <c r="I49">
        <v>773.82</v>
      </c>
      <c r="J49">
        <v>659.58</v>
      </c>
      <c r="K49">
        <v>723.72</v>
      </c>
    </row>
    <row r="50" spans="1:11">
      <c r="A50" s="6" t="s">
        <v>8</v>
      </c>
      <c r="B50">
        <v>892.02</v>
      </c>
      <c r="C50">
        <v>965.26</v>
      </c>
      <c r="D50">
        <v>771.51</v>
      </c>
      <c r="E50">
        <v>1035.27</v>
      </c>
      <c r="F50">
        <v>1004.97</v>
      </c>
      <c r="G50">
        <v>1119.8900000000001</v>
      </c>
      <c r="H50">
        <v>943.64</v>
      </c>
      <c r="I50">
        <v>1221.25</v>
      </c>
      <c r="J50">
        <v>1093.77</v>
      </c>
      <c r="K50">
        <v>1217.24</v>
      </c>
    </row>
    <row r="51" spans="1:11">
      <c r="A51" s="6"/>
    </row>
    <row r="52" spans="1:11">
      <c r="A52" s="6"/>
    </row>
    <row r="53" spans="1:11">
      <c r="A53" s="6"/>
    </row>
    <row r="54" spans="1:11">
      <c r="A54" s="6"/>
    </row>
    <row r="55" spans="1:11">
      <c r="A55" s="1" t="s">
        <v>40</v>
      </c>
    </row>
    <row r="56" spans="1:11" s="16" customFormat="1">
      <c r="A56" s="15" t="s">
        <v>38</v>
      </c>
      <c r="B56" s="10">
        <v>42094</v>
      </c>
      <c r="C56" s="10">
        <v>42460</v>
      </c>
      <c r="D56" s="10">
        <v>42825</v>
      </c>
      <c r="E56" s="10">
        <v>43190</v>
      </c>
      <c r="F56" s="10">
        <v>43555</v>
      </c>
      <c r="G56" s="10">
        <v>43921</v>
      </c>
      <c r="H56" s="10">
        <v>44286</v>
      </c>
      <c r="I56" s="10">
        <v>44651</v>
      </c>
      <c r="J56" s="10">
        <v>45016</v>
      </c>
      <c r="K56" s="10">
        <v>45382</v>
      </c>
    </row>
    <row r="57" spans="1:11">
      <c r="A57" s="6" t="s">
        <v>24</v>
      </c>
      <c r="B57">
        <v>561.54</v>
      </c>
      <c r="C57">
        <v>561.54</v>
      </c>
      <c r="D57">
        <v>624.08000000000004</v>
      </c>
      <c r="E57">
        <v>624.08000000000004</v>
      </c>
      <c r="F57">
        <v>624.08000000000004</v>
      </c>
      <c r="G57">
        <v>647.77</v>
      </c>
      <c r="H57">
        <v>647.77</v>
      </c>
      <c r="I57">
        <v>647.77</v>
      </c>
      <c r="J57">
        <v>648.26</v>
      </c>
      <c r="K57">
        <v>650.73</v>
      </c>
    </row>
    <row r="58" spans="1:11">
      <c r="A58" s="6" t="s">
        <v>25</v>
      </c>
      <c r="B58">
        <v>637.65</v>
      </c>
      <c r="C58">
        <v>958.9</v>
      </c>
      <c r="D58">
        <v>3217.7</v>
      </c>
      <c r="E58">
        <v>4044.97</v>
      </c>
      <c r="F58">
        <v>4963.37</v>
      </c>
      <c r="G58">
        <v>10431.969999999999</v>
      </c>
      <c r="H58">
        <v>11535.94</v>
      </c>
      <c r="I58">
        <v>13029.87</v>
      </c>
      <c r="J58">
        <v>15430.44</v>
      </c>
      <c r="K58">
        <v>18047.09</v>
      </c>
    </row>
    <row r="59" spans="1:11">
      <c r="A59" s="6" t="s">
        <v>62</v>
      </c>
      <c r="B59">
        <v>904.26</v>
      </c>
      <c r="C59">
        <v>1192.3399999999999</v>
      </c>
      <c r="D59">
        <v>1497.32</v>
      </c>
      <c r="E59">
        <v>439.25</v>
      </c>
      <c r="F59">
        <v>700.15</v>
      </c>
      <c r="G59">
        <v>333.19</v>
      </c>
      <c r="H59">
        <v>392.71</v>
      </c>
      <c r="I59">
        <v>646.94000000000005</v>
      </c>
      <c r="J59">
        <v>642.98</v>
      </c>
      <c r="K59">
        <v>592.16</v>
      </c>
    </row>
    <row r="60" spans="1:11">
      <c r="A60" s="6" t="s">
        <v>63</v>
      </c>
      <c r="B60">
        <v>251.36</v>
      </c>
      <c r="C60">
        <v>388.78</v>
      </c>
      <c r="D60">
        <v>480.18</v>
      </c>
      <c r="E60">
        <v>539.91999999999996</v>
      </c>
      <c r="F60">
        <v>717.9</v>
      </c>
      <c r="G60">
        <v>663.23</v>
      </c>
      <c r="H60">
        <v>1078.6300000000001</v>
      </c>
      <c r="I60">
        <v>1146.4000000000001</v>
      </c>
      <c r="J60">
        <v>1382.84</v>
      </c>
      <c r="K60">
        <v>1882.5</v>
      </c>
    </row>
    <row r="61" spans="1:11" s="1" customFormat="1">
      <c r="A61" s="1" t="s">
        <v>26</v>
      </c>
      <c r="B61">
        <v>2354.81</v>
      </c>
      <c r="C61">
        <v>3101.56</v>
      </c>
      <c r="D61">
        <v>5819.28</v>
      </c>
      <c r="E61">
        <v>5648.22</v>
      </c>
      <c r="F61">
        <v>7005.5</v>
      </c>
      <c r="G61">
        <v>12076.16</v>
      </c>
      <c r="H61">
        <v>13655.05</v>
      </c>
      <c r="I61">
        <v>15470.98</v>
      </c>
      <c r="J61">
        <v>18104.52</v>
      </c>
      <c r="K61">
        <v>21172.48</v>
      </c>
    </row>
    <row r="62" spans="1:11">
      <c r="A62" s="6" t="s">
        <v>27</v>
      </c>
      <c r="B62">
        <v>1528.08</v>
      </c>
      <c r="C62">
        <v>2093.52</v>
      </c>
      <c r="D62">
        <v>2577.75</v>
      </c>
      <c r="E62">
        <v>3399.97</v>
      </c>
      <c r="F62">
        <v>4400.37</v>
      </c>
      <c r="G62">
        <v>5948.03</v>
      </c>
      <c r="H62">
        <v>7008.8</v>
      </c>
      <c r="I62">
        <v>9260.02</v>
      </c>
      <c r="J62">
        <v>11340.48</v>
      </c>
      <c r="K62">
        <v>13415</v>
      </c>
    </row>
    <row r="63" spans="1:11">
      <c r="A63" s="6" t="s">
        <v>28</v>
      </c>
      <c r="B63">
        <v>98.12</v>
      </c>
      <c r="C63">
        <v>81.69</v>
      </c>
      <c r="D63">
        <v>152.88999999999999</v>
      </c>
      <c r="E63">
        <v>147.07</v>
      </c>
      <c r="F63">
        <v>376.84</v>
      </c>
      <c r="G63">
        <v>364.4</v>
      </c>
      <c r="H63">
        <v>1019.59</v>
      </c>
      <c r="I63">
        <v>1129.3399999999999</v>
      </c>
      <c r="J63">
        <v>829.16</v>
      </c>
      <c r="K63">
        <v>935.22</v>
      </c>
    </row>
    <row r="64" spans="1:11">
      <c r="A64" s="6" t="s">
        <v>29</v>
      </c>
      <c r="B64">
        <v>15.23</v>
      </c>
      <c r="C64">
        <v>29.33</v>
      </c>
      <c r="D64">
        <v>25.69</v>
      </c>
      <c r="E64">
        <v>68.180000000000007</v>
      </c>
      <c r="F64">
        <v>16.53</v>
      </c>
      <c r="G64">
        <v>14.68</v>
      </c>
      <c r="H64">
        <v>2.95</v>
      </c>
      <c r="I64">
        <v>5.94</v>
      </c>
      <c r="J64">
        <v>202.2</v>
      </c>
      <c r="K64">
        <v>106.67</v>
      </c>
    </row>
    <row r="65" spans="1:11">
      <c r="A65" s="6" t="s">
        <v>64</v>
      </c>
      <c r="B65">
        <v>713.38</v>
      </c>
      <c r="C65">
        <v>897.02</v>
      </c>
      <c r="D65">
        <v>3062.95</v>
      </c>
      <c r="E65">
        <v>2033</v>
      </c>
      <c r="F65">
        <v>2211.7600000000002</v>
      </c>
      <c r="G65">
        <v>5749.05</v>
      </c>
      <c r="H65">
        <v>5623.71</v>
      </c>
      <c r="I65">
        <v>5075.68</v>
      </c>
      <c r="J65">
        <v>5732.68</v>
      </c>
      <c r="K65">
        <v>6715.59</v>
      </c>
    </row>
    <row r="66" spans="1:11" s="1" customFormat="1">
      <c r="A66" s="1" t="s">
        <v>26</v>
      </c>
      <c r="B66">
        <v>2354.81</v>
      </c>
      <c r="C66">
        <v>3101.56</v>
      </c>
      <c r="D66">
        <v>5819.28</v>
      </c>
      <c r="E66">
        <v>5648.22</v>
      </c>
      <c r="F66">
        <v>7005.5</v>
      </c>
      <c r="G66">
        <v>12076.16</v>
      </c>
      <c r="H66">
        <v>13655.05</v>
      </c>
      <c r="I66">
        <v>15470.98</v>
      </c>
      <c r="J66">
        <v>18104.52</v>
      </c>
      <c r="K66">
        <v>21172.48</v>
      </c>
    </row>
    <row r="67" spans="1:11" s="6" customFormat="1">
      <c r="A67" s="6" t="s">
        <v>69</v>
      </c>
      <c r="B67">
        <v>7.07</v>
      </c>
      <c r="C67">
        <v>8.42</v>
      </c>
      <c r="D67">
        <v>21</v>
      </c>
      <c r="E67">
        <v>33.520000000000003</v>
      </c>
      <c r="F67">
        <v>64.37</v>
      </c>
      <c r="G67">
        <v>19.55</v>
      </c>
      <c r="H67">
        <v>43.58</v>
      </c>
      <c r="I67">
        <v>66.89</v>
      </c>
      <c r="J67">
        <v>62.16</v>
      </c>
      <c r="K67">
        <v>166.37</v>
      </c>
    </row>
    <row r="68" spans="1:11">
      <c r="A68" s="6" t="s">
        <v>45</v>
      </c>
      <c r="B68">
        <v>539.61</v>
      </c>
      <c r="C68">
        <v>671.69</v>
      </c>
      <c r="D68">
        <v>947.9</v>
      </c>
      <c r="E68">
        <v>1163.45</v>
      </c>
      <c r="F68">
        <v>1608.65</v>
      </c>
      <c r="G68">
        <v>1947.4</v>
      </c>
      <c r="H68">
        <v>2248.2800000000002</v>
      </c>
      <c r="I68">
        <v>2742.66</v>
      </c>
      <c r="J68">
        <v>3243.48</v>
      </c>
      <c r="K68">
        <v>3927.31</v>
      </c>
    </row>
    <row r="69" spans="1:11">
      <c r="A69" s="4" t="s">
        <v>78</v>
      </c>
      <c r="B69">
        <v>38.04</v>
      </c>
      <c r="C69">
        <v>35.1</v>
      </c>
      <c r="D69">
        <v>1884.29</v>
      </c>
      <c r="E69">
        <v>560.17999999999995</v>
      </c>
      <c r="F69">
        <v>219.07</v>
      </c>
      <c r="G69">
        <v>107.88</v>
      </c>
      <c r="H69">
        <v>1445.58</v>
      </c>
      <c r="I69">
        <v>298.58</v>
      </c>
      <c r="J69">
        <v>1408.33</v>
      </c>
      <c r="K69">
        <v>638.17999999999995</v>
      </c>
    </row>
    <row r="70" spans="1:11">
      <c r="A70" s="4" t="s">
        <v>65</v>
      </c>
      <c r="B70">
        <v>561542680</v>
      </c>
      <c r="C70">
        <v>561542680</v>
      </c>
      <c r="D70">
        <v>624084486</v>
      </c>
      <c r="E70">
        <v>624084486</v>
      </c>
      <c r="F70">
        <v>624084486</v>
      </c>
      <c r="G70">
        <v>647774691</v>
      </c>
      <c r="H70">
        <v>647774691</v>
      </c>
      <c r="I70">
        <v>647774691</v>
      </c>
      <c r="J70">
        <v>648263978</v>
      </c>
      <c r="K70">
        <v>650733068</v>
      </c>
    </row>
    <row r="71" spans="1:11">
      <c r="A71" s="4" t="s">
        <v>66</v>
      </c>
    </row>
    <row r="72" spans="1:11">
      <c r="A72" s="4" t="s">
        <v>79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>
      <c r="A74" s="6"/>
    </row>
    <row r="75" spans="1:11">
      <c r="A75" s="6"/>
    </row>
    <row r="76" spans="1:11">
      <c r="A76" s="6"/>
    </row>
    <row r="77" spans="1:11">
      <c r="A77" s="6"/>
    </row>
    <row r="78" spans="1:11">
      <c r="A78" s="6"/>
    </row>
    <row r="79" spans="1:11">
      <c r="A79" s="6"/>
    </row>
    <row r="80" spans="1:11">
      <c r="A80" s="1" t="s">
        <v>41</v>
      </c>
    </row>
    <row r="81" spans="1:11" s="16" customFormat="1">
      <c r="A81" s="15" t="s">
        <v>38</v>
      </c>
      <c r="B81" s="10">
        <v>42094</v>
      </c>
      <c r="C81" s="10">
        <v>42460</v>
      </c>
      <c r="D81" s="10">
        <v>42825</v>
      </c>
      <c r="E81" s="10">
        <v>43190</v>
      </c>
      <c r="F81" s="10">
        <v>43555</v>
      </c>
      <c r="G81" s="10">
        <v>43921</v>
      </c>
      <c r="H81" s="10">
        <v>44286</v>
      </c>
      <c r="I81" s="10">
        <v>44651</v>
      </c>
      <c r="J81" s="10">
        <v>45016</v>
      </c>
      <c r="K81" s="10">
        <v>45382</v>
      </c>
    </row>
    <row r="82" spans="1:11" s="1" customFormat="1">
      <c r="A82" s="6" t="s">
        <v>32</v>
      </c>
      <c r="B82">
        <v>222.02</v>
      </c>
      <c r="C82">
        <v>433.47</v>
      </c>
      <c r="D82">
        <v>455.28</v>
      </c>
      <c r="E82">
        <v>729.99</v>
      </c>
      <c r="F82">
        <v>806.84</v>
      </c>
      <c r="G82">
        <v>1280.1400000000001</v>
      </c>
      <c r="H82">
        <v>1375.14</v>
      </c>
      <c r="I82">
        <v>1372.35</v>
      </c>
      <c r="J82">
        <v>2630.27</v>
      </c>
      <c r="K82">
        <v>2745.84</v>
      </c>
    </row>
    <row r="83" spans="1:11" s="6" customFormat="1">
      <c r="A83" s="6" t="s">
        <v>33</v>
      </c>
      <c r="B83">
        <v>-473.88</v>
      </c>
      <c r="C83">
        <v>-632.89</v>
      </c>
      <c r="D83">
        <v>-2481.61</v>
      </c>
      <c r="E83">
        <v>463.55</v>
      </c>
      <c r="F83">
        <v>-958.37</v>
      </c>
      <c r="G83">
        <v>-4656.5600000000004</v>
      </c>
      <c r="H83">
        <v>-1110</v>
      </c>
      <c r="I83">
        <v>-1289.49</v>
      </c>
      <c r="J83">
        <v>-2313.1</v>
      </c>
      <c r="K83">
        <v>-2468.23</v>
      </c>
    </row>
    <row r="84" spans="1:11" s="6" customFormat="1">
      <c r="A84" s="6" t="s">
        <v>34</v>
      </c>
      <c r="B84">
        <v>234.45</v>
      </c>
      <c r="C84">
        <v>196.44</v>
      </c>
      <c r="D84">
        <v>2025.26</v>
      </c>
      <c r="E84">
        <v>-1159.06</v>
      </c>
      <c r="F84">
        <v>208.98</v>
      </c>
      <c r="G84">
        <v>3357.42</v>
      </c>
      <c r="H84">
        <v>-179.5</v>
      </c>
      <c r="I84">
        <v>-179.24</v>
      </c>
      <c r="J84">
        <v>-205.14</v>
      </c>
      <c r="K84">
        <v>-147.63999999999999</v>
      </c>
    </row>
    <row r="85" spans="1:11" s="1" customFormat="1">
      <c r="A85" s="6" t="s">
        <v>35</v>
      </c>
      <c r="B85">
        <v>-17.41</v>
      </c>
      <c r="C85">
        <v>-2.98</v>
      </c>
      <c r="D85">
        <v>-1.07</v>
      </c>
      <c r="E85">
        <v>34.479999999999997</v>
      </c>
      <c r="F85">
        <v>57.45</v>
      </c>
      <c r="G85">
        <v>-19</v>
      </c>
      <c r="H85">
        <v>85.64</v>
      </c>
      <c r="I85">
        <v>-96.38</v>
      </c>
      <c r="J85">
        <v>112.03</v>
      </c>
      <c r="K85">
        <v>129.97</v>
      </c>
    </row>
    <row r="86" spans="1:11">
      <c r="A86" s="6"/>
    </row>
    <row r="87" spans="1:11">
      <c r="A87" s="6"/>
    </row>
    <row r="88" spans="1:11">
      <c r="A88" s="6"/>
    </row>
    <row r="89" spans="1:11">
      <c r="A89" s="6"/>
    </row>
    <row r="90" spans="1:11" s="1" customFormat="1">
      <c r="A90" s="1" t="s">
        <v>68</v>
      </c>
      <c r="B90"/>
      <c r="C90"/>
      <c r="D90">
        <v>637.85</v>
      </c>
      <c r="E90">
        <v>1324.8</v>
      </c>
      <c r="F90">
        <v>1471.1</v>
      </c>
      <c r="G90">
        <v>2187.5</v>
      </c>
      <c r="H90">
        <v>2859.05</v>
      </c>
      <c r="I90">
        <v>4003.35</v>
      </c>
      <c r="J90">
        <v>3401.05</v>
      </c>
      <c r="K90">
        <v>4525.6000000000004</v>
      </c>
    </row>
    <row r="92" spans="1:11" s="1" customFormat="1">
      <c r="A92" s="1" t="s">
        <v>67</v>
      </c>
    </row>
    <row r="93" spans="1:11">
      <c r="A93" s="4" t="s">
        <v>80</v>
      </c>
      <c r="B93" s="19">
        <v>56.15</v>
      </c>
      <c r="C93" s="19">
        <v>56.15</v>
      </c>
      <c r="D93" s="19">
        <v>62.41</v>
      </c>
      <c r="E93" s="19">
        <v>62.41</v>
      </c>
      <c r="F93" s="19">
        <v>62.41</v>
      </c>
      <c r="G93" s="19">
        <v>64.78</v>
      </c>
      <c r="H93" s="19">
        <v>64.78</v>
      </c>
      <c r="I93" s="19">
        <v>64.78</v>
      </c>
      <c r="J93" s="19">
        <v>64.83</v>
      </c>
      <c r="K93" s="19">
        <v>65.069999999999993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300-000000000000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B2:O81"/>
  <sheetViews>
    <sheetView showGridLines="0" topLeftCell="T1" workbookViewId="0">
      <pane ySplit="2" topLeftCell="A3" activePane="bottomLeft" state="frozen"/>
      <selection pane="bottomLeft" activeCell="AE17" sqref="AE17"/>
    </sheetView>
  </sheetViews>
  <sheetFormatPr defaultRowHeight="14.4"/>
  <cols>
    <col min="1" max="1" width="1.88671875" customWidth="1"/>
    <col min="2" max="2" width="28" style="17" bestFit="1" customWidth="1"/>
    <col min="3" max="5" width="9.33203125" style="146" bestFit="1" customWidth="1"/>
    <col min="6" max="9" width="9.88671875" style="146" bestFit="1" customWidth="1"/>
    <col min="10" max="14" width="10.33203125" style="146" bestFit="1" customWidth="1"/>
    <col min="15" max="15" width="9.6640625" bestFit="1" customWidth="1"/>
  </cols>
  <sheetData>
    <row r="2" spans="2:15">
      <c r="B2" s="135" t="s">
        <v>295</v>
      </c>
      <c r="C2" s="137">
        <v>41334</v>
      </c>
      <c r="D2" s="137">
        <v>41699</v>
      </c>
      <c r="E2" s="137">
        <v>42064</v>
      </c>
      <c r="F2" s="137">
        <v>42430</v>
      </c>
      <c r="G2" s="137">
        <v>42795</v>
      </c>
      <c r="H2" s="137">
        <v>43160</v>
      </c>
      <c r="I2" s="137">
        <v>43525</v>
      </c>
      <c r="J2" s="137">
        <v>43891</v>
      </c>
      <c r="K2" s="137">
        <v>44256</v>
      </c>
      <c r="L2" s="137">
        <v>44621</v>
      </c>
      <c r="M2" s="137">
        <v>44986</v>
      </c>
      <c r="N2" s="137">
        <v>45352</v>
      </c>
      <c r="O2" s="125"/>
    </row>
    <row r="3" spans="2:15"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25"/>
    </row>
    <row r="4" spans="2:15">
      <c r="B4" s="133" t="s">
        <v>282</v>
      </c>
      <c r="C4" s="139">
        <v>96</v>
      </c>
      <c r="D4" s="139">
        <v>96</v>
      </c>
      <c r="E4" s="139">
        <v>96</v>
      </c>
      <c r="F4" s="139">
        <v>96</v>
      </c>
      <c r="G4" s="139">
        <v>96</v>
      </c>
      <c r="H4" s="139">
        <v>96</v>
      </c>
      <c r="I4" s="139">
        <v>96</v>
      </c>
      <c r="J4" s="139">
        <v>96</v>
      </c>
      <c r="K4" s="139">
        <v>96</v>
      </c>
      <c r="L4" s="139">
        <v>96</v>
      </c>
      <c r="M4" s="139">
        <v>96</v>
      </c>
      <c r="N4" s="139">
        <v>96</v>
      </c>
      <c r="O4" s="126"/>
    </row>
    <row r="5" spans="2:15">
      <c r="B5" s="133" t="s">
        <v>25</v>
      </c>
      <c r="C5" s="147">
        <v>3288</v>
      </c>
      <c r="D5" s="147">
        <v>3943</v>
      </c>
      <c r="E5" s="147">
        <v>4646</v>
      </c>
      <c r="F5" s="147">
        <v>6429</v>
      </c>
      <c r="G5" s="147">
        <v>7508</v>
      </c>
      <c r="H5" s="147">
        <v>8314</v>
      </c>
      <c r="I5" s="147">
        <v>9375</v>
      </c>
      <c r="J5" s="147">
        <v>10034</v>
      </c>
      <c r="K5" s="147">
        <v>12710</v>
      </c>
      <c r="L5" s="147">
        <v>13716</v>
      </c>
      <c r="M5" s="147">
        <v>15896</v>
      </c>
      <c r="N5" s="147">
        <v>18632</v>
      </c>
      <c r="O5" s="127"/>
    </row>
    <row r="6" spans="2:15">
      <c r="B6" s="132" t="s">
        <v>306</v>
      </c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28"/>
    </row>
    <row r="7" spans="2:15">
      <c r="B7" s="129" t="s">
        <v>297</v>
      </c>
      <c r="C7" s="148">
        <v>47</v>
      </c>
      <c r="D7" s="148">
        <v>41</v>
      </c>
      <c r="E7" s="148">
        <v>78</v>
      </c>
      <c r="F7" s="148">
        <v>73</v>
      </c>
      <c r="G7" s="148">
        <v>41</v>
      </c>
      <c r="H7" s="148">
        <v>28</v>
      </c>
      <c r="I7" s="148">
        <v>19</v>
      </c>
      <c r="J7" s="148">
        <v>19</v>
      </c>
      <c r="K7" s="148">
        <v>15</v>
      </c>
      <c r="L7" s="148">
        <v>45</v>
      </c>
      <c r="M7" s="148">
        <v>76</v>
      </c>
      <c r="N7" s="148">
        <v>54</v>
      </c>
      <c r="O7" s="126"/>
    </row>
    <row r="8" spans="2:15">
      <c r="B8" s="129" t="s">
        <v>298</v>
      </c>
      <c r="C8" s="139">
        <v>190</v>
      </c>
      <c r="D8" s="139">
        <v>199</v>
      </c>
      <c r="E8" s="139">
        <v>332</v>
      </c>
      <c r="F8" s="139">
        <v>231</v>
      </c>
      <c r="G8" s="139">
        <v>504</v>
      </c>
      <c r="H8" s="139">
        <v>492</v>
      </c>
      <c r="I8" s="139">
        <v>597</v>
      </c>
      <c r="J8" s="139">
        <v>321</v>
      </c>
      <c r="K8" s="139">
        <v>334</v>
      </c>
      <c r="L8" s="139">
        <v>731</v>
      </c>
      <c r="M8" s="139">
        <v>896</v>
      </c>
      <c r="N8" s="139">
        <v>1053</v>
      </c>
      <c r="O8" s="127"/>
    </row>
    <row r="9" spans="2:15">
      <c r="B9" s="129" t="s">
        <v>299</v>
      </c>
      <c r="C9" s="139">
        <v>0</v>
      </c>
      <c r="D9" s="139">
        <v>0</v>
      </c>
      <c r="E9" s="139">
        <v>0</v>
      </c>
      <c r="F9" s="139">
        <v>0</v>
      </c>
      <c r="G9" s="139">
        <v>0</v>
      </c>
      <c r="H9" s="139">
        <v>0</v>
      </c>
      <c r="I9" s="139">
        <v>693</v>
      </c>
      <c r="J9" s="139">
        <v>764</v>
      </c>
      <c r="K9" s="139">
        <v>745</v>
      </c>
      <c r="L9" s="139">
        <v>811</v>
      </c>
      <c r="M9" s="139">
        <v>960</v>
      </c>
      <c r="N9" s="139">
        <v>1367</v>
      </c>
      <c r="O9" s="127"/>
    </row>
    <row r="10" spans="2:15">
      <c r="B10" s="129" t="s">
        <v>300</v>
      </c>
      <c r="C10" s="139">
        <v>14</v>
      </c>
      <c r="D10" s="139">
        <v>9</v>
      </c>
      <c r="E10" s="139">
        <v>8</v>
      </c>
      <c r="F10" s="139">
        <v>20</v>
      </c>
      <c r="G10" s="139">
        <v>15</v>
      </c>
      <c r="H10" s="139">
        <v>13</v>
      </c>
      <c r="I10" s="139">
        <v>11</v>
      </c>
      <c r="J10" s="139">
        <v>15</v>
      </c>
      <c r="K10" s="139">
        <v>0</v>
      </c>
      <c r="L10" s="139">
        <v>0</v>
      </c>
      <c r="M10" s="139">
        <v>0</v>
      </c>
      <c r="N10" s="139">
        <v>0</v>
      </c>
      <c r="O10" s="126"/>
    </row>
    <row r="11" spans="2:15">
      <c r="B11" s="132" t="s">
        <v>283</v>
      </c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28"/>
    </row>
    <row r="12" spans="2:15">
      <c r="B12" s="129" t="s">
        <v>284</v>
      </c>
      <c r="C12" s="148">
        <v>161</v>
      </c>
      <c r="D12" s="148">
        <v>246</v>
      </c>
      <c r="E12" s="148">
        <v>264</v>
      </c>
      <c r="F12" s="148">
        <v>384</v>
      </c>
      <c r="G12" s="148">
        <v>375</v>
      </c>
      <c r="H12" s="148">
        <v>328</v>
      </c>
      <c r="I12" s="148">
        <v>361</v>
      </c>
      <c r="J12" s="148">
        <v>404</v>
      </c>
      <c r="K12" s="148">
        <v>423</v>
      </c>
      <c r="L12" s="148">
        <v>388</v>
      </c>
      <c r="M12" s="148">
        <v>454</v>
      </c>
      <c r="N12" s="148">
        <v>695</v>
      </c>
      <c r="O12" s="126"/>
    </row>
    <row r="13" spans="2:15">
      <c r="B13" s="129" t="s">
        <v>285</v>
      </c>
      <c r="C13" s="139">
        <v>1442</v>
      </c>
      <c r="D13" s="139">
        <v>1746</v>
      </c>
      <c r="E13" s="139">
        <v>1549</v>
      </c>
      <c r="F13" s="139">
        <v>1565</v>
      </c>
      <c r="G13" s="139">
        <v>1923</v>
      </c>
      <c r="H13" s="139">
        <v>2160</v>
      </c>
      <c r="I13" s="139">
        <v>2394</v>
      </c>
      <c r="J13" s="139">
        <v>2137</v>
      </c>
      <c r="K13" s="139">
        <v>3379</v>
      </c>
      <c r="L13" s="139">
        <v>4164</v>
      </c>
      <c r="M13" s="139">
        <v>3635</v>
      </c>
      <c r="N13" s="139">
        <v>3831</v>
      </c>
      <c r="O13" s="127"/>
    </row>
    <row r="14" spans="2:15">
      <c r="B14" s="129" t="s">
        <v>286</v>
      </c>
      <c r="C14" s="139">
        <v>0</v>
      </c>
      <c r="D14" s="139">
        <v>0</v>
      </c>
      <c r="E14" s="139">
        <v>5</v>
      </c>
      <c r="F14" s="139">
        <v>12</v>
      </c>
      <c r="G14" s="139">
        <v>17</v>
      </c>
      <c r="H14" s="139">
        <v>16</v>
      </c>
      <c r="I14" s="139">
        <v>13</v>
      </c>
      <c r="J14" s="139">
        <v>29</v>
      </c>
      <c r="K14" s="139">
        <v>41</v>
      </c>
      <c r="L14" s="139">
        <v>76</v>
      </c>
      <c r="M14" s="139">
        <v>108</v>
      </c>
      <c r="N14" s="139">
        <v>154</v>
      </c>
      <c r="O14" s="126"/>
    </row>
    <row r="15" spans="2:15">
      <c r="B15" s="129" t="s">
        <v>287</v>
      </c>
      <c r="C15" s="139">
        <v>1547</v>
      </c>
      <c r="D15" s="139">
        <v>1795</v>
      </c>
      <c r="E15" s="139">
        <v>1937</v>
      </c>
      <c r="F15" s="139">
        <v>1750</v>
      </c>
      <c r="G15" s="139">
        <v>1925</v>
      </c>
      <c r="H15" s="139">
        <v>2316</v>
      </c>
      <c r="I15" s="139">
        <v>2690</v>
      </c>
      <c r="J15" s="139">
        <v>2320</v>
      </c>
      <c r="K15" s="139">
        <v>2613</v>
      </c>
      <c r="L15" s="139">
        <v>2932</v>
      </c>
      <c r="M15" s="139">
        <v>3657</v>
      </c>
      <c r="N15" s="139">
        <v>4017</v>
      </c>
      <c r="O15" s="127"/>
    </row>
    <row r="16" spans="2:15">
      <c r="B16" s="136" t="s">
        <v>288</v>
      </c>
      <c r="C16" s="140">
        <v>6784</v>
      </c>
      <c r="D16" s="140">
        <v>8075</v>
      </c>
      <c r="E16" s="140">
        <v>8914</v>
      </c>
      <c r="F16" s="140">
        <v>10559</v>
      </c>
      <c r="G16" s="140">
        <v>12405</v>
      </c>
      <c r="H16" s="140">
        <v>13763</v>
      </c>
      <c r="I16" s="140">
        <v>16249</v>
      </c>
      <c r="J16" s="140">
        <v>16138</v>
      </c>
      <c r="K16" s="140">
        <v>20355</v>
      </c>
      <c r="L16" s="140">
        <v>22958</v>
      </c>
      <c r="M16" s="140">
        <v>25779</v>
      </c>
      <c r="N16" s="140">
        <v>29901</v>
      </c>
      <c r="O16" s="128"/>
    </row>
    <row r="17" spans="2:15">
      <c r="B17" s="13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28"/>
    </row>
    <row r="18" spans="2:15">
      <c r="B18" s="133" t="s">
        <v>307</v>
      </c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28"/>
    </row>
    <row r="19" spans="2:15">
      <c r="B19" s="129" t="s">
        <v>301</v>
      </c>
      <c r="C19" s="145">
        <v>238</v>
      </c>
      <c r="D19" s="145">
        <v>247</v>
      </c>
      <c r="E19" s="145">
        <v>251</v>
      </c>
      <c r="F19" s="145">
        <v>429</v>
      </c>
      <c r="G19" s="145">
        <v>408</v>
      </c>
      <c r="H19" s="145">
        <v>586</v>
      </c>
      <c r="I19" s="145">
        <v>605</v>
      </c>
      <c r="J19" s="145">
        <v>640</v>
      </c>
      <c r="K19" s="145">
        <v>644</v>
      </c>
      <c r="L19" s="145">
        <v>644</v>
      </c>
      <c r="M19" s="145">
        <v>804</v>
      </c>
      <c r="N19" s="145">
        <v>1126</v>
      </c>
      <c r="O19" s="126"/>
    </row>
    <row r="20" spans="2:15">
      <c r="B20" s="129" t="s">
        <v>302</v>
      </c>
      <c r="C20" s="142">
        <v>874</v>
      </c>
      <c r="D20" s="142">
        <v>931</v>
      </c>
      <c r="E20" s="142">
        <v>962</v>
      </c>
      <c r="F20" s="142">
        <v>923</v>
      </c>
      <c r="G20" s="142">
        <v>931</v>
      </c>
      <c r="H20" s="142">
        <v>957</v>
      </c>
      <c r="I20" s="142">
        <v>2402</v>
      </c>
      <c r="J20" s="142">
        <v>2257</v>
      </c>
      <c r="K20" s="142">
        <v>2249</v>
      </c>
      <c r="L20" s="142">
        <v>2325</v>
      </c>
      <c r="M20" s="142">
        <v>2883</v>
      </c>
      <c r="N20" s="142">
        <v>3390</v>
      </c>
      <c r="O20" s="126"/>
    </row>
    <row r="21" spans="2:15">
      <c r="B21" s="129" t="s">
        <v>303</v>
      </c>
      <c r="C21" s="142">
        <v>1956</v>
      </c>
      <c r="D21" s="142">
        <v>2054</v>
      </c>
      <c r="E21" s="142">
        <v>2132</v>
      </c>
      <c r="F21" s="142">
        <v>1793</v>
      </c>
      <c r="G21" s="142">
        <v>1980</v>
      </c>
      <c r="H21" s="142">
        <v>2157</v>
      </c>
      <c r="I21" s="142">
        <v>4006</v>
      </c>
      <c r="J21" s="142">
        <v>4208</v>
      </c>
      <c r="K21" s="142">
        <v>4340</v>
      </c>
      <c r="L21" s="142">
        <v>4531</v>
      </c>
      <c r="M21" s="142">
        <v>4825</v>
      </c>
      <c r="N21" s="142">
        <v>5422</v>
      </c>
      <c r="O21" s="126"/>
    </row>
    <row r="22" spans="2:15">
      <c r="B22" s="129" t="s">
        <v>304</v>
      </c>
      <c r="C22" s="142">
        <v>137</v>
      </c>
      <c r="D22" s="142">
        <v>155</v>
      </c>
      <c r="E22" s="142">
        <v>171</v>
      </c>
      <c r="F22" s="142">
        <v>97</v>
      </c>
      <c r="G22" s="142">
        <v>119</v>
      </c>
      <c r="H22" s="142">
        <v>200</v>
      </c>
      <c r="I22" s="142">
        <v>221</v>
      </c>
      <c r="J22" s="142">
        <v>241</v>
      </c>
      <c r="K22" s="142">
        <v>243</v>
      </c>
      <c r="L22" s="142">
        <v>253</v>
      </c>
      <c r="M22" s="142">
        <v>270</v>
      </c>
      <c r="N22" s="142">
        <v>298</v>
      </c>
      <c r="O22" s="126"/>
    </row>
    <row r="23" spans="2:15">
      <c r="B23" s="129" t="s">
        <v>305</v>
      </c>
      <c r="C23" s="142">
        <v>57</v>
      </c>
      <c r="D23" s="142">
        <v>71</v>
      </c>
      <c r="E23" s="142">
        <v>83</v>
      </c>
      <c r="F23" s="142">
        <v>49</v>
      </c>
      <c r="G23" s="142">
        <v>59</v>
      </c>
      <c r="H23" s="142">
        <v>72</v>
      </c>
      <c r="I23" s="142">
        <v>88</v>
      </c>
      <c r="J23" s="142">
        <v>94</v>
      </c>
      <c r="K23" s="142">
        <v>99</v>
      </c>
      <c r="L23" s="142">
        <v>113</v>
      </c>
      <c r="M23" s="142">
        <v>146</v>
      </c>
      <c r="N23" s="142">
        <v>175</v>
      </c>
      <c r="O23" s="126"/>
    </row>
    <row r="24" spans="2:15">
      <c r="B24" s="129" t="s">
        <v>308</v>
      </c>
      <c r="C24" s="142">
        <v>11</v>
      </c>
      <c r="D24" s="142">
        <v>14</v>
      </c>
      <c r="E24" s="142">
        <v>18</v>
      </c>
      <c r="F24" s="142">
        <v>11</v>
      </c>
      <c r="G24" s="142">
        <v>14</v>
      </c>
      <c r="H24" s="142">
        <v>27</v>
      </c>
      <c r="I24" s="142">
        <v>47</v>
      </c>
      <c r="J24" s="142">
        <v>43</v>
      </c>
      <c r="K24" s="142">
        <v>38</v>
      </c>
      <c r="L24" s="142">
        <v>32</v>
      </c>
      <c r="M24" s="142">
        <v>36</v>
      </c>
      <c r="N24" s="142">
        <v>40</v>
      </c>
      <c r="O24" s="126"/>
    </row>
    <row r="25" spans="2:15">
      <c r="B25" s="129" t="s">
        <v>309</v>
      </c>
      <c r="C25" s="142">
        <v>57</v>
      </c>
      <c r="D25" s="142">
        <v>203</v>
      </c>
      <c r="E25" s="142">
        <v>351</v>
      </c>
      <c r="F25" s="142">
        <v>339</v>
      </c>
      <c r="G25" s="142">
        <v>276</v>
      </c>
      <c r="H25" s="142">
        <v>468</v>
      </c>
      <c r="I25" s="142">
        <v>512</v>
      </c>
      <c r="J25" s="142">
        <v>505</v>
      </c>
      <c r="K25" s="142">
        <v>476</v>
      </c>
      <c r="L25" s="142">
        <v>345</v>
      </c>
      <c r="M25" s="142">
        <v>422</v>
      </c>
      <c r="N25" s="142">
        <v>850</v>
      </c>
      <c r="O25" s="126"/>
    </row>
    <row r="26" spans="2:15">
      <c r="B26" s="129" t="s">
        <v>310</v>
      </c>
      <c r="C26" s="142">
        <v>99</v>
      </c>
      <c r="D26" s="142">
        <v>128</v>
      </c>
      <c r="E26" s="142">
        <v>145</v>
      </c>
      <c r="F26" s="142">
        <v>103</v>
      </c>
      <c r="G26" s="142">
        <v>128</v>
      </c>
      <c r="H26" s="142">
        <v>238</v>
      </c>
      <c r="I26" s="142">
        <v>261</v>
      </c>
      <c r="J26" s="142">
        <v>293</v>
      </c>
      <c r="K26" s="142">
        <v>302</v>
      </c>
      <c r="L26" s="142">
        <v>294</v>
      </c>
      <c r="M26" s="142">
        <v>289</v>
      </c>
      <c r="N26" s="142">
        <v>321</v>
      </c>
      <c r="O26" s="126"/>
    </row>
    <row r="27" spans="2:15">
      <c r="B27" s="132" t="s">
        <v>311</v>
      </c>
      <c r="C27" s="142">
        <v>3429</v>
      </c>
      <c r="D27" s="142">
        <v>3804</v>
      </c>
      <c r="E27" s="142">
        <v>4112</v>
      </c>
      <c r="F27" s="142">
        <v>3744</v>
      </c>
      <c r="G27" s="142">
        <v>3914</v>
      </c>
      <c r="H27" s="142">
        <v>4705</v>
      </c>
      <c r="I27" s="142">
        <v>8141</v>
      </c>
      <c r="J27" s="142">
        <v>8282</v>
      </c>
      <c r="K27" s="142">
        <v>8392</v>
      </c>
      <c r="L27" s="142">
        <v>8538</v>
      </c>
      <c r="M27" s="142">
        <v>9676</v>
      </c>
      <c r="N27" s="142">
        <v>11622</v>
      </c>
      <c r="O27" s="131"/>
    </row>
    <row r="28" spans="2:15">
      <c r="B28" s="133" t="s">
        <v>312</v>
      </c>
      <c r="C28" s="142">
        <v>979</v>
      </c>
      <c r="D28" s="142">
        <v>1223</v>
      </c>
      <c r="E28" s="142">
        <v>1438</v>
      </c>
      <c r="F28" s="142">
        <v>275</v>
      </c>
      <c r="G28" s="142">
        <v>610</v>
      </c>
      <c r="H28" s="142">
        <v>973</v>
      </c>
      <c r="I28" s="142">
        <v>1592</v>
      </c>
      <c r="J28" s="142">
        <v>2010</v>
      </c>
      <c r="K28" s="142">
        <v>2533</v>
      </c>
      <c r="L28" s="142">
        <v>3019</v>
      </c>
      <c r="M28" s="142">
        <v>3814</v>
      </c>
      <c r="N28" s="142">
        <v>4381</v>
      </c>
      <c r="O28" s="126"/>
    </row>
    <row r="29" spans="2:15">
      <c r="B29" s="133" t="s">
        <v>27</v>
      </c>
      <c r="C29" s="142">
        <f t="shared" ref="C29:N29" si="0">C27-C31</f>
        <v>3370</v>
      </c>
      <c r="D29" s="142">
        <f t="shared" si="0"/>
        <v>3732</v>
      </c>
      <c r="E29" s="142">
        <f t="shared" si="0"/>
        <v>3916</v>
      </c>
      <c r="F29" s="142">
        <f t="shared" si="0"/>
        <v>3637</v>
      </c>
      <c r="G29" s="142">
        <f t="shared" si="0"/>
        <v>3656</v>
      </c>
      <c r="H29" s="142">
        <f t="shared" si="0"/>
        <v>3300</v>
      </c>
      <c r="I29" s="142">
        <f t="shared" si="0"/>
        <v>7931</v>
      </c>
      <c r="J29" s="142">
        <f t="shared" si="0"/>
        <v>8142</v>
      </c>
      <c r="K29" s="142">
        <f t="shared" si="0"/>
        <v>8209</v>
      </c>
      <c r="L29" s="142">
        <f t="shared" si="0"/>
        <v>8112</v>
      </c>
      <c r="M29" s="142">
        <f t="shared" si="0"/>
        <v>8656</v>
      </c>
      <c r="N29" s="142">
        <f t="shared" si="0"/>
        <v>8924</v>
      </c>
      <c r="O29" s="126"/>
    </row>
    <row r="30" spans="2:15">
      <c r="B30" s="133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26"/>
    </row>
    <row r="31" spans="2:15">
      <c r="B31" s="129" t="s">
        <v>289</v>
      </c>
      <c r="C31" s="142">
        <v>59</v>
      </c>
      <c r="D31" s="142">
        <v>72</v>
      </c>
      <c r="E31" s="142">
        <v>196</v>
      </c>
      <c r="F31" s="142">
        <v>107</v>
      </c>
      <c r="G31" s="142">
        <v>258</v>
      </c>
      <c r="H31" s="142">
        <v>1405</v>
      </c>
      <c r="I31" s="142">
        <v>210</v>
      </c>
      <c r="J31" s="142">
        <v>140</v>
      </c>
      <c r="K31" s="142">
        <v>183</v>
      </c>
      <c r="L31" s="142">
        <v>426</v>
      </c>
      <c r="M31" s="142">
        <v>1020</v>
      </c>
      <c r="N31" s="142">
        <v>2698</v>
      </c>
      <c r="O31" s="127"/>
    </row>
    <row r="32" spans="2:15">
      <c r="B32" s="133" t="s">
        <v>29</v>
      </c>
      <c r="C32" s="142">
        <v>296</v>
      </c>
      <c r="D32" s="142">
        <v>1424</v>
      </c>
      <c r="E32" s="142">
        <v>1588</v>
      </c>
      <c r="F32" s="142">
        <v>2712</v>
      </c>
      <c r="G32" s="142">
        <v>2652</v>
      </c>
      <c r="H32" s="142">
        <v>2141</v>
      </c>
      <c r="I32" s="142">
        <v>2569</v>
      </c>
      <c r="J32" s="142">
        <v>2019</v>
      </c>
      <c r="K32" s="142">
        <v>4737</v>
      </c>
      <c r="L32" s="142">
        <v>3248</v>
      </c>
      <c r="M32" s="142">
        <v>4262</v>
      </c>
      <c r="N32" s="142">
        <v>4588</v>
      </c>
      <c r="O32" s="127"/>
    </row>
    <row r="33" spans="2:15">
      <c r="B33" s="133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27"/>
    </row>
    <row r="34" spans="2:15">
      <c r="B34" s="132" t="s">
        <v>290</v>
      </c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28"/>
    </row>
    <row r="35" spans="2:15">
      <c r="B35" s="129" t="s">
        <v>291</v>
      </c>
      <c r="C35" s="145">
        <v>1830</v>
      </c>
      <c r="D35" s="145">
        <v>2070</v>
      </c>
      <c r="E35" s="145">
        <v>2259</v>
      </c>
      <c r="F35" s="145">
        <v>1998</v>
      </c>
      <c r="G35" s="145">
        <v>2627</v>
      </c>
      <c r="H35" s="145">
        <v>2658</v>
      </c>
      <c r="I35" s="145">
        <v>3150</v>
      </c>
      <c r="J35" s="145">
        <v>3390</v>
      </c>
      <c r="K35" s="145">
        <v>3799</v>
      </c>
      <c r="L35" s="145">
        <v>6153</v>
      </c>
      <c r="M35" s="145">
        <v>6211</v>
      </c>
      <c r="N35" s="145">
        <v>5923</v>
      </c>
      <c r="O35" s="127"/>
    </row>
    <row r="36" spans="2:15">
      <c r="B36" s="129" t="s">
        <v>296</v>
      </c>
      <c r="C36" s="142">
        <v>981</v>
      </c>
      <c r="D36" s="142">
        <v>1110</v>
      </c>
      <c r="E36" s="142">
        <v>1182</v>
      </c>
      <c r="F36" s="142">
        <v>1187</v>
      </c>
      <c r="G36" s="142">
        <v>1447</v>
      </c>
      <c r="H36" s="142">
        <v>1731</v>
      </c>
      <c r="I36" s="142">
        <v>1907</v>
      </c>
      <c r="J36" s="142">
        <v>1795</v>
      </c>
      <c r="K36" s="142">
        <v>2602</v>
      </c>
      <c r="L36" s="142">
        <v>3871</v>
      </c>
      <c r="M36" s="142">
        <v>4637</v>
      </c>
      <c r="N36" s="142">
        <v>4889</v>
      </c>
      <c r="O36" s="128"/>
    </row>
    <row r="37" spans="2:15">
      <c r="B37" s="129" t="s">
        <v>313</v>
      </c>
      <c r="C37" s="142">
        <v>53</v>
      </c>
      <c r="D37" s="142">
        <v>51</v>
      </c>
      <c r="E37" s="142">
        <v>61</v>
      </c>
      <c r="F37" s="142">
        <v>0</v>
      </c>
      <c r="G37" s="142">
        <v>0</v>
      </c>
      <c r="H37" s="142">
        <v>0</v>
      </c>
      <c r="I37" s="142">
        <v>0</v>
      </c>
      <c r="J37" s="142">
        <v>0</v>
      </c>
      <c r="K37" s="142">
        <v>0</v>
      </c>
      <c r="L37" s="142">
        <v>279</v>
      </c>
      <c r="M37" s="142">
        <v>366</v>
      </c>
      <c r="N37" s="142">
        <v>586</v>
      </c>
      <c r="O37" s="126"/>
    </row>
    <row r="38" spans="2:15">
      <c r="B38" s="129" t="s">
        <v>314</v>
      </c>
      <c r="C38" s="142">
        <v>972</v>
      </c>
      <c r="D38" s="142">
        <v>1110</v>
      </c>
      <c r="E38" s="142">
        <v>1180</v>
      </c>
      <c r="F38" s="142">
        <v>1253</v>
      </c>
      <c r="G38" s="142">
        <v>1526</v>
      </c>
      <c r="H38" s="142">
        <v>1820</v>
      </c>
      <c r="I38" s="142">
        <v>2028</v>
      </c>
      <c r="J38" s="142">
        <v>1950</v>
      </c>
      <c r="K38" s="142">
        <v>2787</v>
      </c>
      <c r="L38" s="142">
        <v>3834</v>
      </c>
      <c r="M38" s="142">
        <v>4576</v>
      </c>
      <c r="N38" s="142">
        <v>4725</v>
      </c>
      <c r="O38" s="126"/>
    </row>
    <row r="39" spans="2:15">
      <c r="B39" s="129" t="s">
        <v>315</v>
      </c>
      <c r="C39" s="142">
        <v>-43</v>
      </c>
      <c r="D39" s="142">
        <v>-50</v>
      </c>
      <c r="E39" s="142">
        <v>-59</v>
      </c>
      <c r="F39" s="142">
        <v>-67</v>
      </c>
      <c r="G39" s="142">
        <v>-79</v>
      </c>
      <c r="H39" s="142">
        <v>-89</v>
      </c>
      <c r="I39" s="142">
        <v>-121</v>
      </c>
      <c r="J39" s="142">
        <v>-155</v>
      </c>
      <c r="K39" s="142">
        <v>-185</v>
      </c>
      <c r="L39" s="142">
        <v>-241</v>
      </c>
      <c r="M39" s="142">
        <v>-305</v>
      </c>
      <c r="N39" s="142">
        <v>-422</v>
      </c>
      <c r="O39" s="126"/>
    </row>
    <row r="40" spans="2:15">
      <c r="B40" s="129" t="s">
        <v>292</v>
      </c>
      <c r="C40" s="142">
        <v>737</v>
      </c>
      <c r="D40" s="142">
        <v>229</v>
      </c>
      <c r="E40" s="142">
        <v>204</v>
      </c>
      <c r="F40" s="142">
        <v>424</v>
      </c>
      <c r="G40" s="142">
        <v>801</v>
      </c>
      <c r="H40" s="142">
        <v>405</v>
      </c>
      <c r="I40" s="142">
        <v>445</v>
      </c>
      <c r="J40" s="142">
        <v>783</v>
      </c>
      <c r="K40" s="142">
        <v>611</v>
      </c>
      <c r="L40" s="142">
        <v>864</v>
      </c>
      <c r="M40" s="142">
        <v>844</v>
      </c>
      <c r="N40" s="142">
        <v>1084</v>
      </c>
      <c r="O40" s="126"/>
    </row>
    <row r="41" spans="2:15">
      <c r="B41" s="129" t="s">
        <v>293</v>
      </c>
      <c r="C41" s="142">
        <v>4</v>
      </c>
      <c r="D41" s="142">
        <v>7</v>
      </c>
      <c r="E41" s="142">
        <v>8</v>
      </c>
      <c r="F41" s="142">
        <v>9</v>
      </c>
      <c r="G41" s="142">
        <v>14</v>
      </c>
      <c r="H41" s="142">
        <v>13</v>
      </c>
      <c r="I41" s="142">
        <v>16</v>
      </c>
      <c r="J41" s="142">
        <v>12</v>
      </c>
      <c r="K41" s="142">
        <v>11</v>
      </c>
      <c r="L41" s="142">
        <v>8</v>
      </c>
      <c r="M41" s="142">
        <v>12</v>
      </c>
      <c r="N41" s="142">
        <v>17</v>
      </c>
      <c r="O41" s="126"/>
    </row>
    <row r="42" spans="2:15">
      <c r="B42" s="129" t="s">
        <v>294</v>
      </c>
      <c r="C42" s="143">
        <v>437</v>
      </c>
      <c r="D42" s="143">
        <v>603</v>
      </c>
      <c r="E42" s="143">
        <v>817</v>
      </c>
      <c r="F42" s="143">
        <v>705</v>
      </c>
      <c r="G42" s="143">
        <v>1303</v>
      </c>
      <c r="H42" s="143">
        <v>1678</v>
      </c>
      <c r="I42" s="143">
        <v>1456</v>
      </c>
      <c r="J42" s="143">
        <v>1727</v>
      </c>
      <c r="K42" s="143">
        <v>2555</v>
      </c>
      <c r="L42" s="143">
        <v>2869</v>
      </c>
      <c r="M42" s="143">
        <v>3024</v>
      </c>
      <c r="N42" s="143">
        <v>3555</v>
      </c>
      <c r="O42" s="127"/>
    </row>
    <row r="43" spans="2:15" ht="15" thickBot="1">
      <c r="B43" s="189" t="s">
        <v>115</v>
      </c>
      <c r="C43" s="190">
        <v>6784</v>
      </c>
      <c r="D43" s="190">
        <v>8075</v>
      </c>
      <c r="E43" s="190">
        <v>8914</v>
      </c>
      <c r="F43" s="190">
        <v>10559</v>
      </c>
      <c r="G43" s="190">
        <v>12405</v>
      </c>
      <c r="H43" s="190">
        <v>13763</v>
      </c>
      <c r="I43" s="190">
        <v>16249</v>
      </c>
      <c r="J43" s="190">
        <v>16138</v>
      </c>
      <c r="K43" s="190">
        <v>20355</v>
      </c>
      <c r="L43" s="190">
        <v>22958</v>
      </c>
      <c r="M43" s="190">
        <v>25779</v>
      </c>
      <c r="N43" s="190">
        <v>29901</v>
      </c>
      <c r="O43" s="128"/>
    </row>
    <row r="44" spans="2:15" ht="15" thickTop="1"/>
    <row r="49" spans="2:14">
      <c r="B49" s="135" t="s">
        <v>295</v>
      </c>
      <c r="C49" s="137">
        <v>41334</v>
      </c>
      <c r="D49" s="137">
        <v>41699</v>
      </c>
      <c r="E49" s="137">
        <v>42064</v>
      </c>
      <c r="F49" s="137">
        <v>42430</v>
      </c>
      <c r="G49" s="137">
        <v>42795</v>
      </c>
      <c r="H49" s="137">
        <v>43160</v>
      </c>
      <c r="I49" s="137">
        <v>43525</v>
      </c>
      <c r="J49" s="137">
        <v>43891</v>
      </c>
      <c r="K49" s="137">
        <v>44256</v>
      </c>
      <c r="L49" s="137">
        <v>44621</v>
      </c>
      <c r="M49" s="137">
        <v>44986</v>
      </c>
      <c r="N49" s="137">
        <v>45352</v>
      </c>
    </row>
    <row r="50" spans="2:14"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</row>
    <row r="51" spans="2:14">
      <c r="B51" s="130" t="s">
        <v>117</v>
      </c>
      <c r="C51" s="145">
        <v>1187</v>
      </c>
      <c r="D51" s="145">
        <v>1402</v>
      </c>
      <c r="E51" s="145">
        <v>1188</v>
      </c>
      <c r="F51" s="145">
        <v>2243</v>
      </c>
      <c r="G51" s="145">
        <v>1527</v>
      </c>
      <c r="H51" s="145">
        <v>2113</v>
      </c>
      <c r="I51" s="145">
        <v>2470</v>
      </c>
      <c r="J51" s="145">
        <v>3038</v>
      </c>
      <c r="K51" s="145">
        <v>3683</v>
      </c>
      <c r="L51" s="145">
        <v>986</v>
      </c>
      <c r="M51" s="145">
        <v>4193</v>
      </c>
      <c r="N51" s="145">
        <v>6104</v>
      </c>
    </row>
    <row r="52" spans="2:14">
      <c r="B52" s="17" t="s">
        <v>118</v>
      </c>
      <c r="C52" s="142">
        <v>1784</v>
      </c>
      <c r="D52" s="142">
        <v>2051</v>
      </c>
      <c r="E52" s="142">
        <v>2271</v>
      </c>
      <c r="F52" s="142">
        <v>2848</v>
      </c>
      <c r="G52" s="142">
        <v>3056</v>
      </c>
      <c r="H52" s="142">
        <v>3274</v>
      </c>
      <c r="I52" s="142">
        <v>3861</v>
      </c>
      <c r="J52" s="142">
        <v>4380</v>
      </c>
      <c r="K52" s="142">
        <v>4970</v>
      </c>
      <c r="L52" s="142">
        <v>4957</v>
      </c>
      <c r="M52" s="142">
        <v>6460</v>
      </c>
      <c r="N52" s="142">
        <v>7929</v>
      </c>
    </row>
    <row r="53" spans="2:14">
      <c r="B53" s="17" t="s">
        <v>69</v>
      </c>
      <c r="C53" s="142">
        <v>-299</v>
      </c>
      <c r="D53" s="142">
        <v>-254</v>
      </c>
      <c r="E53" s="142">
        <v>-155</v>
      </c>
      <c r="F53" s="142">
        <v>-146</v>
      </c>
      <c r="G53" s="142">
        <v>-475</v>
      </c>
      <c r="H53" s="142">
        <v>-483</v>
      </c>
      <c r="I53" s="142">
        <v>-205</v>
      </c>
      <c r="J53" s="142">
        <v>160</v>
      </c>
      <c r="K53" s="142">
        <v>-849</v>
      </c>
      <c r="L53" s="142">
        <v>-1326</v>
      </c>
      <c r="M53" s="142">
        <v>-834</v>
      </c>
      <c r="N53" s="142">
        <v>-362</v>
      </c>
    </row>
    <row r="54" spans="2:14">
      <c r="B54" s="17" t="s">
        <v>45</v>
      </c>
      <c r="C54" s="142">
        <v>-247</v>
      </c>
      <c r="D54" s="142">
        <v>-231</v>
      </c>
      <c r="E54" s="142">
        <v>-144</v>
      </c>
      <c r="F54" s="142">
        <v>202</v>
      </c>
      <c r="G54" s="142">
        <v>-629</v>
      </c>
      <c r="H54" s="142">
        <v>-39</v>
      </c>
      <c r="I54" s="142">
        <v>-492</v>
      </c>
      <c r="J54" s="142">
        <v>-251</v>
      </c>
      <c r="K54" s="142">
        <v>-409</v>
      </c>
      <c r="L54" s="142">
        <v>-2354</v>
      </c>
      <c r="M54" s="142">
        <v>-56</v>
      </c>
      <c r="N54" s="142">
        <v>315</v>
      </c>
    </row>
    <row r="55" spans="2:14">
      <c r="B55" s="17" t="s">
        <v>119</v>
      </c>
      <c r="C55" s="142">
        <v>388</v>
      </c>
      <c r="D55" s="142">
        <v>317</v>
      </c>
      <c r="E55" s="142">
        <v>-151</v>
      </c>
      <c r="F55" s="142">
        <v>142</v>
      </c>
      <c r="G55" s="142">
        <v>501</v>
      </c>
      <c r="H55" s="142">
        <v>442</v>
      </c>
      <c r="I55" s="142">
        <v>287</v>
      </c>
      <c r="J55" s="142">
        <v>-241</v>
      </c>
      <c r="K55" s="142">
        <v>1143</v>
      </c>
      <c r="L55" s="142">
        <v>644</v>
      </c>
      <c r="M55" s="142">
        <v>-539</v>
      </c>
      <c r="N55" s="142">
        <v>269</v>
      </c>
    </row>
    <row r="56" spans="2:14">
      <c r="B56" s="17" t="s">
        <v>121</v>
      </c>
      <c r="C56" s="142">
        <v>0</v>
      </c>
      <c r="D56" s="142">
        <v>0</v>
      </c>
      <c r="E56" s="142">
        <v>0</v>
      </c>
      <c r="F56" s="142">
        <v>0</v>
      </c>
      <c r="G56" s="142">
        <v>0</v>
      </c>
      <c r="H56" s="142">
        <v>0</v>
      </c>
      <c r="I56" s="142">
        <v>0</v>
      </c>
      <c r="J56" s="142">
        <v>0</v>
      </c>
      <c r="K56" s="142">
        <v>-92</v>
      </c>
      <c r="L56" s="142">
        <v>242</v>
      </c>
      <c r="M56" s="142">
        <v>657</v>
      </c>
      <c r="N56" s="142">
        <v>-212</v>
      </c>
    </row>
    <row r="57" spans="2:14">
      <c r="B57" s="17" t="s">
        <v>122</v>
      </c>
      <c r="C57" s="142">
        <v>-159</v>
      </c>
      <c r="D57" s="142">
        <v>-168</v>
      </c>
      <c r="E57" s="142">
        <v>-450</v>
      </c>
      <c r="F57" s="142">
        <v>198</v>
      </c>
      <c r="G57" s="142">
        <v>-603</v>
      </c>
      <c r="H57" s="142">
        <v>-80</v>
      </c>
      <c r="I57" s="142">
        <v>-410</v>
      </c>
      <c r="J57" s="142">
        <v>-331</v>
      </c>
      <c r="K57" s="142">
        <v>-206</v>
      </c>
      <c r="L57" s="142">
        <v>-2795</v>
      </c>
      <c r="M57" s="142">
        <v>-772</v>
      </c>
      <c r="N57" s="142">
        <v>10</v>
      </c>
    </row>
    <row r="58" spans="2:14">
      <c r="B58" s="17" t="s">
        <v>123</v>
      </c>
      <c r="C58" s="142">
        <v>-438</v>
      </c>
      <c r="D58" s="142">
        <v>-480</v>
      </c>
      <c r="E58" s="142">
        <v>-633</v>
      </c>
      <c r="F58" s="142">
        <v>-802</v>
      </c>
      <c r="G58" s="142">
        <v>-925</v>
      </c>
      <c r="H58" s="142">
        <v>-1081</v>
      </c>
      <c r="I58" s="142">
        <v>-982</v>
      </c>
      <c r="J58" s="142">
        <v>-1011</v>
      </c>
      <c r="K58" s="142">
        <v>-1080</v>
      </c>
      <c r="L58" s="142">
        <v>-1176</v>
      </c>
      <c r="M58" s="142">
        <v>-1494</v>
      </c>
      <c r="N58" s="142">
        <v>-1835</v>
      </c>
    </row>
    <row r="59" spans="2:14"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</row>
    <row r="60" spans="2:14">
      <c r="B60" s="130" t="s">
        <v>124</v>
      </c>
      <c r="C60" s="145">
        <v>-463</v>
      </c>
      <c r="D60" s="145">
        <v>-586</v>
      </c>
      <c r="E60" s="145">
        <v>-465</v>
      </c>
      <c r="F60" s="145">
        <v>-866</v>
      </c>
      <c r="G60" s="145">
        <v>-681</v>
      </c>
      <c r="H60" s="145">
        <v>-1556</v>
      </c>
      <c r="I60" s="145">
        <v>-918</v>
      </c>
      <c r="J60" s="145">
        <v>-518</v>
      </c>
      <c r="K60" s="145">
        <v>-541</v>
      </c>
      <c r="L60" s="145">
        <v>-317</v>
      </c>
      <c r="M60" s="145">
        <v>-1282</v>
      </c>
      <c r="N60" s="145">
        <v>-2548</v>
      </c>
    </row>
    <row r="61" spans="2:14">
      <c r="B61" s="17" t="s">
        <v>125</v>
      </c>
      <c r="C61" s="142">
        <v>-644</v>
      </c>
      <c r="D61" s="142">
        <v>-251</v>
      </c>
      <c r="E61" s="142">
        <v>-454</v>
      </c>
      <c r="F61" s="142">
        <v>-817</v>
      </c>
      <c r="G61" s="142">
        <v>-684</v>
      </c>
      <c r="H61" s="142">
        <v>-1426</v>
      </c>
      <c r="I61" s="142">
        <v>-1151</v>
      </c>
      <c r="J61" s="142">
        <v>-404</v>
      </c>
      <c r="K61" s="142">
        <v>-282</v>
      </c>
      <c r="L61" s="142">
        <v>-551</v>
      </c>
      <c r="M61" s="142">
        <v>-1446</v>
      </c>
      <c r="N61" s="142">
        <v>-2496</v>
      </c>
    </row>
    <row r="62" spans="2:14">
      <c r="B62" s="17" t="s">
        <v>126</v>
      </c>
      <c r="C62" s="142">
        <v>7</v>
      </c>
      <c r="D62" s="142">
        <v>16</v>
      </c>
      <c r="E62" s="142">
        <v>16</v>
      </c>
      <c r="F62" s="142">
        <v>15</v>
      </c>
      <c r="G62" s="142">
        <v>17</v>
      </c>
      <c r="H62" s="142">
        <v>17</v>
      </c>
      <c r="I62" s="142">
        <v>17</v>
      </c>
      <c r="J62" s="142">
        <v>37</v>
      </c>
      <c r="K62" s="142">
        <v>28</v>
      </c>
      <c r="L62" s="142">
        <v>40</v>
      </c>
      <c r="M62" s="142">
        <v>26</v>
      </c>
      <c r="N62" s="142">
        <v>5</v>
      </c>
    </row>
    <row r="63" spans="2:14">
      <c r="B63" s="17" t="s">
        <v>127</v>
      </c>
      <c r="C63" s="142">
        <v>-247</v>
      </c>
      <c r="D63" s="142">
        <v>-872</v>
      </c>
      <c r="E63" s="142">
        <v>-243</v>
      </c>
      <c r="F63" s="142">
        <v>-282</v>
      </c>
      <c r="G63" s="142">
        <v>-153</v>
      </c>
      <c r="H63" s="142">
        <v>-320</v>
      </c>
      <c r="I63" s="142">
        <v>-573</v>
      </c>
      <c r="J63" s="142">
        <v>-25</v>
      </c>
      <c r="K63" s="142">
        <v>-140</v>
      </c>
      <c r="L63" s="142">
        <v>0</v>
      </c>
      <c r="M63" s="142">
        <v>-146</v>
      </c>
      <c r="N63" s="142">
        <v>-212</v>
      </c>
    </row>
    <row r="64" spans="2:14">
      <c r="B64" s="17" t="s">
        <v>128</v>
      </c>
      <c r="C64" s="142">
        <v>330</v>
      </c>
      <c r="D64" s="142">
        <v>463</v>
      </c>
      <c r="E64" s="142">
        <v>278</v>
      </c>
      <c r="F64" s="142">
        <v>205</v>
      </c>
      <c r="G64" s="142">
        <v>357</v>
      </c>
      <c r="H64" s="142">
        <v>362</v>
      </c>
      <c r="I64" s="142">
        <v>733</v>
      </c>
      <c r="J64" s="142">
        <v>134</v>
      </c>
      <c r="K64" s="142">
        <v>272</v>
      </c>
      <c r="L64" s="142">
        <v>207</v>
      </c>
      <c r="M64" s="142">
        <v>446</v>
      </c>
      <c r="N64" s="142">
        <v>240</v>
      </c>
    </row>
    <row r="65" spans="2:14">
      <c r="B65" s="17" t="s">
        <v>129</v>
      </c>
      <c r="C65" s="142">
        <v>11</v>
      </c>
      <c r="D65" s="142">
        <v>14</v>
      </c>
      <c r="E65" s="142">
        <v>11</v>
      </c>
      <c r="F65" s="142">
        <v>15</v>
      </c>
      <c r="G65" s="142">
        <v>32</v>
      </c>
      <c r="H65" s="142">
        <v>39</v>
      </c>
      <c r="I65" s="142">
        <v>40</v>
      </c>
      <c r="J65" s="142">
        <v>65</v>
      </c>
      <c r="K65" s="142">
        <v>73</v>
      </c>
      <c r="L65" s="142">
        <v>77</v>
      </c>
      <c r="M65" s="142">
        <v>87</v>
      </c>
      <c r="N65" s="142">
        <v>135</v>
      </c>
    </row>
    <row r="66" spans="2:14">
      <c r="B66" s="17" t="s">
        <v>130</v>
      </c>
      <c r="C66" s="142">
        <v>33</v>
      </c>
      <c r="D66" s="142">
        <v>65</v>
      </c>
      <c r="E66" s="142">
        <v>71</v>
      </c>
      <c r="F66" s="142">
        <v>69</v>
      </c>
      <c r="G66" s="142">
        <v>74</v>
      </c>
      <c r="H66" s="142">
        <v>38</v>
      </c>
      <c r="I66" s="142">
        <v>40</v>
      </c>
      <c r="J66" s="142">
        <v>27</v>
      </c>
      <c r="K66" s="142">
        <v>8</v>
      </c>
      <c r="L66" s="142">
        <v>15</v>
      </c>
      <c r="M66" s="142">
        <v>56</v>
      </c>
      <c r="N66" s="142">
        <v>129</v>
      </c>
    </row>
    <row r="67" spans="2:14">
      <c r="B67" s="17" t="s">
        <v>131</v>
      </c>
      <c r="C67" s="142">
        <v>0</v>
      </c>
      <c r="D67" s="142">
        <v>0</v>
      </c>
      <c r="E67" s="142">
        <v>0</v>
      </c>
      <c r="F67" s="142">
        <v>0</v>
      </c>
      <c r="G67" s="142">
        <v>0</v>
      </c>
      <c r="H67" s="142">
        <v>0</v>
      </c>
      <c r="I67" s="142">
        <v>0</v>
      </c>
      <c r="J67" s="142">
        <v>0</v>
      </c>
      <c r="K67" s="142">
        <v>0</v>
      </c>
      <c r="L67" s="142">
        <v>0</v>
      </c>
      <c r="M67" s="142">
        <v>-180</v>
      </c>
      <c r="N67" s="142">
        <v>0</v>
      </c>
    </row>
    <row r="68" spans="2:14">
      <c r="B68" s="17" t="s">
        <v>132</v>
      </c>
      <c r="C68" s="142">
        <v>0</v>
      </c>
      <c r="D68" s="142">
        <v>0</v>
      </c>
      <c r="E68" s="142">
        <v>0</v>
      </c>
      <c r="F68" s="142">
        <v>0</v>
      </c>
      <c r="G68" s="142">
        <v>0</v>
      </c>
      <c r="H68" s="142">
        <v>141</v>
      </c>
      <c r="I68" s="142">
        <v>0</v>
      </c>
      <c r="J68" s="142">
        <v>0</v>
      </c>
      <c r="K68" s="142">
        <v>0</v>
      </c>
      <c r="L68" s="142">
        <v>0</v>
      </c>
      <c r="M68" s="142">
        <v>0</v>
      </c>
      <c r="N68" s="142">
        <v>0</v>
      </c>
    </row>
    <row r="69" spans="2:14">
      <c r="B69" s="17" t="s">
        <v>133</v>
      </c>
      <c r="C69" s="142">
        <v>0</v>
      </c>
      <c r="D69" s="142">
        <v>0</v>
      </c>
      <c r="E69" s="142">
        <v>0</v>
      </c>
      <c r="F69" s="142">
        <v>0</v>
      </c>
      <c r="G69" s="142">
        <v>0</v>
      </c>
      <c r="H69" s="142">
        <v>-525</v>
      </c>
      <c r="I69" s="142">
        <v>0</v>
      </c>
      <c r="J69" s="142">
        <v>0</v>
      </c>
      <c r="K69" s="142">
        <v>0</v>
      </c>
      <c r="L69" s="142">
        <v>0</v>
      </c>
      <c r="M69" s="142">
        <v>0</v>
      </c>
      <c r="N69" s="142">
        <v>0</v>
      </c>
    </row>
    <row r="70" spans="2:14">
      <c r="B70" s="17" t="s">
        <v>135</v>
      </c>
      <c r="C70" s="142">
        <v>46</v>
      </c>
      <c r="D70" s="142">
        <v>-21</v>
      </c>
      <c r="E70" s="142">
        <v>-144</v>
      </c>
      <c r="F70" s="142">
        <v>-70</v>
      </c>
      <c r="G70" s="142">
        <v>-324</v>
      </c>
      <c r="H70" s="142">
        <v>118</v>
      </c>
      <c r="I70" s="142">
        <v>-24</v>
      </c>
      <c r="J70" s="142">
        <v>-353</v>
      </c>
      <c r="K70" s="142">
        <v>-500</v>
      </c>
      <c r="L70" s="142">
        <v>-105</v>
      </c>
      <c r="M70" s="142">
        <v>-126</v>
      </c>
      <c r="N70" s="142">
        <v>-350</v>
      </c>
    </row>
    <row r="71" spans="2:14"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</row>
    <row r="72" spans="2:14">
      <c r="B72" s="130" t="s">
        <v>136</v>
      </c>
      <c r="C72" s="145">
        <v>-601</v>
      </c>
      <c r="D72" s="145">
        <v>-626</v>
      </c>
      <c r="E72" s="145">
        <v>-576</v>
      </c>
      <c r="F72" s="145">
        <v>-849</v>
      </c>
      <c r="G72" s="145">
        <v>-756</v>
      </c>
      <c r="H72" s="145">
        <v>-1379</v>
      </c>
      <c r="I72" s="145">
        <v>-1117</v>
      </c>
      <c r="J72" s="145">
        <v>-2871</v>
      </c>
      <c r="K72" s="145">
        <v>-650</v>
      </c>
      <c r="L72" s="145">
        <v>-1808</v>
      </c>
      <c r="M72" s="145">
        <v>-2140</v>
      </c>
      <c r="N72" s="145">
        <v>-2982</v>
      </c>
    </row>
    <row r="73" spans="2:14">
      <c r="B73" s="17" t="s">
        <v>137</v>
      </c>
      <c r="C73" s="142">
        <v>0</v>
      </c>
      <c r="D73" s="142">
        <v>0</v>
      </c>
      <c r="E73" s="142">
        <v>0</v>
      </c>
      <c r="F73" s="142">
        <v>0</v>
      </c>
      <c r="G73" s="142">
        <v>0</v>
      </c>
      <c r="H73" s="142">
        <v>0</v>
      </c>
      <c r="I73" s="142">
        <v>0</v>
      </c>
      <c r="J73" s="142">
        <v>0</v>
      </c>
      <c r="K73" s="142">
        <v>0</v>
      </c>
      <c r="L73" s="142">
        <v>0</v>
      </c>
      <c r="M73" s="142">
        <v>0</v>
      </c>
      <c r="N73" s="142">
        <v>1</v>
      </c>
    </row>
    <row r="74" spans="2:14">
      <c r="B74" s="17" t="s">
        <v>139</v>
      </c>
      <c r="C74" s="142">
        <v>33</v>
      </c>
      <c r="D74" s="142">
        <v>44</v>
      </c>
      <c r="E74" s="142">
        <v>239</v>
      </c>
      <c r="F74" s="142">
        <v>8</v>
      </c>
      <c r="G74" s="142">
        <v>271</v>
      </c>
      <c r="H74" s="142">
        <v>10</v>
      </c>
      <c r="I74" s="142">
        <v>243</v>
      </c>
      <c r="J74" s="142">
        <v>18</v>
      </c>
      <c r="K74" s="142">
        <v>155</v>
      </c>
      <c r="L74" s="142">
        <v>418</v>
      </c>
      <c r="M74" s="142">
        <v>254</v>
      </c>
      <c r="N74" s="142">
        <v>101</v>
      </c>
    </row>
    <row r="75" spans="2:14">
      <c r="B75" s="17" t="s">
        <v>140</v>
      </c>
      <c r="C75" s="142">
        <v>-135</v>
      </c>
      <c r="D75" s="142">
        <v>-81</v>
      </c>
      <c r="E75" s="142">
        <v>-86</v>
      </c>
      <c r="F75" s="142">
        <v>-119</v>
      </c>
      <c r="G75" s="142">
        <v>-58</v>
      </c>
      <c r="H75" s="142">
        <v>-54</v>
      </c>
      <c r="I75" s="142">
        <v>-26</v>
      </c>
      <c r="J75" s="142">
        <v>-279</v>
      </c>
      <c r="K75" s="142">
        <v>-14</v>
      </c>
      <c r="L75" s="142">
        <v>-8</v>
      </c>
      <c r="M75" s="142">
        <v>-25</v>
      </c>
      <c r="N75" s="142">
        <v>-98</v>
      </c>
    </row>
    <row r="76" spans="2:14">
      <c r="B76" s="17" t="s">
        <v>141</v>
      </c>
      <c r="C76" s="142">
        <v>-37</v>
      </c>
      <c r="D76" s="142">
        <v>-42</v>
      </c>
      <c r="E76" s="142">
        <v>-35</v>
      </c>
      <c r="F76" s="142">
        <v>-40</v>
      </c>
      <c r="G76" s="142">
        <v>-36</v>
      </c>
      <c r="H76" s="142">
        <v>-35</v>
      </c>
      <c r="I76" s="142">
        <v>-106</v>
      </c>
      <c r="J76" s="142">
        <v>-101</v>
      </c>
      <c r="K76" s="142">
        <v>-89</v>
      </c>
      <c r="L76" s="142">
        <v>-94</v>
      </c>
      <c r="M76" s="142">
        <v>-142</v>
      </c>
      <c r="N76" s="142">
        <v>-191</v>
      </c>
    </row>
    <row r="77" spans="2:14">
      <c r="B77" s="17" t="s">
        <v>142</v>
      </c>
      <c r="C77" s="142">
        <v>-462</v>
      </c>
      <c r="D77" s="142">
        <v>-547</v>
      </c>
      <c r="E77" s="142">
        <v>-695</v>
      </c>
      <c r="F77" s="142">
        <v>-764</v>
      </c>
      <c r="G77" s="142">
        <v>-947</v>
      </c>
      <c r="H77" s="142">
        <v>-1218</v>
      </c>
      <c r="I77" s="142">
        <v>-1049</v>
      </c>
      <c r="J77" s="142">
        <v>-2121</v>
      </c>
      <c r="K77" s="142">
        <v>-499</v>
      </c>
      <c r="L77" s="142">
        <v>-1763</v>
      </c>
      <c r="M77" s="142">
        <v>-1936</v>
      </c>
      <c r="N77" s="142">
        <v>-2551</v>
      </c>
    </row>
    <row r="78" spans="2:14">
      <c r="B78" s="17" t="s">
        <v>143</v>
      </c>
      <c r="C78" s="142">
        <v>0</v>
      </c>
      <c r="D78" s="142">
        <v>0</v>
      </c>
      <c r="E78" s="142">
        <v>0</v>
      </c>
      <c r="F78" s="142">
        <v>0</v>
      </c>
      <c r="G78" s="142">
        <v>0</v>
      </c>
      <c r="H78" s="142">
        <v>0</v>
      </c>
      <c r="I78" s="142">
        <v>-180</v>
      </c>
      <c r="J78" s="142">
        <v>-179</v>
      </c>
      <c r="K78" s="142">
        <v>-203</v>
      </c>
      <c r="L78" s="142">
        <v>-221</v>
      </c>
      <c r="M78" s="142">
        <v>-256</v>
      </c>
      <c r="N78" s="142">
        <v>-286</v>
      </c>
    </row>
    <row r="79" spans="2:14">
      <c r="B79" s="17" t="s">
        <v>144</v>
      </c>
      <c r="C79" s="142">
        <v>0</v>
      </c>
      <c r="D79" s="142">
        <v>0</v>
      </c>
      <c r="E79" s="142">
        <v>0</v>
      </c>
      <c r="F79" s="142">
        <v>66</v>
      </c>
      <c r="G79" s="142">
        <v>13</v>
      </c>
      <c r="H79" s="142">
        <v>-82</v>
      </c>
      <c r="I79" s="142">
        <v>0</v>
      </c>
      <c r="J79" s="142">
        <v>-209</v>
      </c>
      <c r="K79" s="142">
        <v>0</v>
      </c>
      <c r="L79" s="142">
        <v>-140</v>
      </c>
      <c r="M79" s="142">
        <v>-36</v>
      </c>
      <c r="N79" s="142">
        <v>41</v>
      </c>
    </row>
    <row r="80" spans="2:14" ht="15" thickBot="1">
      <c r="B80" s="189" t="s">
        <v>35</v>
      </c>
      <c r="C80" s="190">
        <v>123</v>
      </c>
      <c r="D80" s="190">
        <v>190</v>
      </c>
      <c r="E80" s="190">
        <v>147</v>
      </c>
      <c r="F80" s="190">
        <v>528</v>
      </c>
      <c r="G80" s="190">
        <v>90</v>
      </c>
      <c r="H80" s="190">
        <v>-822</v>
      </c>
      <c r="I80" s="190">
        <v>434</v>
      </c>
      <c r="J80" s="190">
        <v>-351</v>
      </c>
      <c r="K80" s="190">
        <v>2492</v>
      </c>
      <c r="L80" s="190">
        <v>-1138</v>
      </c>
      <c r="M80" s="190">
        <v>771</v>
      </c>
      <c r="N80" s="190">
        <v>573</v>
      </c>
    </row>
    <row r="81" ht="15" thickTop="1"/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2060"/>
  </sheetPr>
  <dimension ref="B2:O39"/>
  <sheetViews>
    <sheetView showGridLines="0" workbookViewId="0">
      <selection activeCell="H26" sqref="H26"/>
    </sheetView>
  </sheetViews>
  <sheetFormatPr defaultColWidth="9.109375" defaultRowHeight="14.4"/>
  <cols>
    <col min="1" max="1" width="1.33203125" style="219" customWidth="1"/>
    <col min="2" max="2" width="6.109375" style="219" bestFit="1" customWidth="1"/>
    <col min="3" max="3" width="17.33203125" style="219" bestFit="1" customWidth="1"/>
    <col min="4" max="4" width="8.44140625" style="219" bestFit="1" customWidth="1"/>
    <col min="5" max="5" width="17" style="219" bestFit="1" customWidth="1"/>
    <col min="6" max="6" width="17" style="219" customWidth="1"/>
    <col min="7" max="7" width="11.109375" style="219" bestFit="1" customWidth="1"/>
    <col min="8" max="8" width="14.88671875" style="219" bestFit="1" customWidth="1"/>
    <col min="9" max="10" width="14.88671875" style="219" customWidth="1"/>
    <col min="11" max="11" width="10" style="219" bestFit="1" customWidth="1"/>
    <col min="12" max="12" width="11.44140625" style="219" bestFit="1" customWidth="1"/>
    <col min="13" max="13" width="11.44140625" style="219" customWidth="1"/>
    <col min="14" max="15" width="13.6640625" style="219" bestFit="1" customWidth="1"/>
    <col min="16" max="256" width="9.109375" style="219"/>
    <col min="257" max="257" width="1.33203125" style="219" customWidth="1"/>
    <col min="258" max="258" width="6.109375" style="219" bestFit="1" customWidth="1"/>
    <col min="259" max="259" width="17.33203125" style="219" bestFit="1" customWidth="1"/>
    <col min="260" max="260" width="8.44140625" style="219" bestFit="1" customWidth="1"/>
    <col min="261" max="261" width="17" style="219" bestFit="1" customWidth="1"/>
    <col min="262" max="262" width="17" style="219" customWidth="1"/>
    <col min="263" max="263" width="11.109375" style="219" bestFit="1" customWidth="1"/>
    <col min="264" max="264" width="14.88671875" style="219" bestFit="1" customWidth="1"/>
    <col min="265" max="266" width="14.88671875" style="219" customWidth="1"/>
    <col min="267" max="267" width="10" style="219" bestFit="1" customWidth="1"/>
    <col min="268" max="268" width="11.44140625" style="219" bestFit="1" customWidth="1"/>
    <col min="269" max="269" width="11.44140625" style="219" customWidth="1"/>
    <col min="270" max="271" width="13.6640625" style="219" bestFit="1" customWidth="1"/>
    <col min="272" max="512" width="9.109375" style="219"/>
    <col min="513" max="513" width="1.33203125" style="219" customWidth="1"/>
    <col min="514" max="514" width="6.109375" style="219" bestFit="1" customWidth="1"/>
    <col min="515" max="515" width="17.33203125" style="219" bestFit="1" customWidth="1"/>
    <col min="516" max="516" width="8.44140625" style="219" bestFit="1" customWidth="1"/>
    <col min="517" max="517" width="17" style="219" bestFit="1" customWidth="1"/>
    <col min="518" max="518" width="17" style="219" customWidth="1"/>
    <col min="519" max="519" width="11.109375" style="219" bestFit="1" customWidth="1"/>
    <col min="520" max="520" width="14.88671875" style="219" bestFit="1" customWidth="1"/>
    <col min="521" max="522" width="14.88671875" style="219" customWidth="1"/>
    <col min="523" max="523" width="10" style="219" bestFit="1" customWidth="1"/>
    <col min="524" max="524" width="11.44140625" style="219" bestFit="1" customWidth="1"/>
    <col min="525" max="525" width="11.44140625" style="219" customWidth="1"/>
    <col min="526" max="527" width="13.6640625" style="219" bestFit="1" customWidth="1"/>
    <col min="528" max="768" width="9.109375" style="219"/>
    <col min="769" max="769" width="1.33203125" style="219" customWidth="1"/>
    <col min="770" max="770" width="6.109375" style="219" bestFit="1" customWidth="1"/>
    <col min="771" max="771" width="17.33203125" style="219" bestFit="1" customWidth="1"/>
    <col min="772" max="772" width="8.44140625" style="219" bestFit="1" customWidth="1"/>
    <col min="773" max="773" width="17" style="219" bestFit="1" customWidth="1"/>
    <col min="774" max="774" width="17" style="219" customWidth="1"/>
    <col min="775" max="775" width="11.109375" style="219" bestFit="1" customWidth="1"/>
    <col min="776" max="776" width="14.88671875" style="219" bestFit="1" customWidth="1"/>
    <col min="777" max="778" width="14.88671875" style="219" customWidth="1"/>
    <col min="779" max="779" width="10" style="219" bestFit="1" customWidth="1"/>
    <col min="780" max="780" width="11.44140625" style="219" bestFit="1" customWidth="1"/>
    <col min="781" max="781" width="11.44140625" style="219" customWidth="1"/>
    <col min="782" max="783" width="13.6640625" style="219" bestFit="1" customWidth="1"/>
    <col min="784" max="1024" width="9.109375" style="219"/>
    <col min="1025" max="1025" width="1.33203125" style="219" customWidth="1"/>
    <col min="1026" max="1026" width="6.109375" style="219" bestFit="1" customWidth="1"/>
    <col min="1027" max="1027" width="17.33203125" style="219" bestFit="1" customWidth="1"/>
    <col min="1028" max="1028" width="8.44140625" style="219" bestFit="1" customWidth="1"/>
    <col min="1029" max="1029" width="17" style="219" bestFit="1" customWidth="1"/>
    <col min="1030" max="1030" width="17" style="219" customWidth="1"/>
    <col min="1031" max="1031" width="11.109375" style="219" bestFit="1" customWidth="1"/>
    <col min="1032" max="1032" width="14.88671875" style="219" bestFit="1" customWidth="1"/>
    <col min="1033" max="1034" width="14.88671875" style="219" customWidth="1"/>
    <col min="1035" max="1035" width="10" style="219" bestFit="1" customWidth="1"/>
    <col min="1036" max="1036" width="11.44140625" style="219" bestFit="1" customWidth="1"/>
    <col min="1037" max="1037" width="11.44140625" style="219" customWidth="1"/>
    <col min="1038" max="1039" width="13.6640625" style="219" bestFit="1" customWidth="1"/>
    <col min="1040" max="1280" width="9.109375" style="219"/>
    <col min="1281" max="1281" width="1.33203125" style="219" customWidth="1"/>
    <col min="1282" max="1282" width="6.109375" style="219" bestFit="1" customWidth="1"/>
    <col min="1283" max="1283" width="17.33203125" style="219" bestFit="1" customWidth="1"/>
    <col min="1284" max="1284" width="8.44140625" style="219" bestFit="1" customWidth="1"/>
    <col min="1285" max="1285" width="17" style="219" bestFit="1" customWidth="1"/>
    <col min="1286" max="1286" width="17" style="219" customWidth="1"/>
    <col min="1287" max="1287" width="11.109375" style="219" bestFit="1" customWidth="1"/>
    <col min="1288" max="1288" width="14.88671875" style="219" bestFit="1" customWidth="1"/>
    <col min="1289" max="1290" width="14.88671875" style="219" customWidth="1"/>
    <col min="1291" max="1291" width="10" style="219" bestFit="1" customWidth="1"/>
    <col min="1292" max="1292" width="11.44140625" style="219" bestFit="1" customWidth="1"/>
    <col min="1293" max="1293" width="11.44140625" style="219" customWidth="1"/>
    <col min="1294" max="1295" width="13.6640625" style="219" bestFit="1" customWidth="1"/>
    <col min="1296" max="1536" width="9.109375" style="219"/>
    <col min="1537" max="1537" width="1.33203125" style="219" customWidth="1"/>
    <col min="1538" max="1538" width="6.109375" style="219" bestFit="1" customWidth="1"/>
    <col min="1539" max="1539" width="17.33203125" style="219" bestFit="1" customWidth="1"/>
    <col min="1540" max="1540" width="8.44140625" style="219" bestFit="1" customWidth="1"/>
    <col min="1541" max="1541" width="17" style="219" bestFit="1" customWidth="1"/>
    <col min="1542" max="1542" width="17" style="219" customWidth="1"/>
    <col min="1543" max="1543" width="11.109375" style="219" bestFit="1" customWidth="1"/>
    <col min="1544" max="1544" width="14.88671875" style="219" bestFit="1" customWidth="1"/>
    <col min="1545" max="1546" width="14.88671875" style="219" customWidth="1"/>
    <col min="1547" max="1547" width="10" style="219" bestFit="1" customWidth="1"/>
    <col min="1548" max="1548" width="11.44140625" style="219" bestFit="1" customWidth="1"/>
    <col min="1549" max="1549" width="11.44140625" style="219" customWidth="1"/>
    <col min="1550" max="1551" width="13.6640625" style="219" bestFit="1" customWidth="1"/>
    <col min="1552" max="1792" width="9.109375" style="219"/>
    <col min="1793" max="1793" width="1.33203125" style="219" customWidth="1"/>
    <col min="1794" max="1794" width="6.109375" style="219" bestFit="1" customWidth="1"/>
    <col min="1795" max="1795" width="17.33203125" style="219" bestFit="1" customWidth="1"/>
    <col min="1796" max="1796" width="8.44140625" style="219" bestFit="1" customWidth="1"/>
    <col min="1797" max="1797" width="17" style="219" bestFit="1" customWidth="1"/>
    <col min="1798" max="1798" width="17" style="219" customWidth="1"/>
    <col min="1799" max="1799" width="11.109375" style="219" bestFit="1" customWidth="1"/>
    <col min="1800" max="1800" width="14.88671875" style="219" bestFit="1" customWidth="1"/>
    <col min="1801" max="1802" width="14.88671875" style="219" customWidth="1"/>
    <col min="1803" max="1803" width="10" style="219" bestFit="1" customWidth="1"/>
    <col min="1804" max="1804" width="11.44140625" style="219" bestFit="1" customWidth="1"/>
    <col min="1805" max="1805" width="11.44140625" style="219" customWidth="1"/>
    <col min="1806" max="1807" width="13.6640625" style="219" bestFit="1" customWidth="1"/>
    <col min="1808" max="2048" width="9.109375" style="219"/>
    <col min="2049" max="2049" width="1.33203125" style="219" customWidth="1"/>
    <col min="2050" max="2050" width="6.109375" style="219" bestFit="1" customWidth="1"/>
    <col min="2051" max="2051" width="17.33203125" style="219" bestFit="1" customWidth="1"/>
    <col min="2052" max="2052" width="8.44140625" style="219" bestFit="1" customWidth="1"/>
    <col min="2053" max="2053" width="17" style="219" bestFit="1" customWidth="1"/>
    <col min="2054" max="2054" width="17" style="219" customWidth="1"/>
    <col min="2055" max="2055" width="11.109375" style="219" bestFit="1" customWidth="1"/>
    <col min="2056" max="2056" width="14.88671875" style="219" bestFit="1" customWidth="1"/>
    <col min="2057" max="2058" width="14.88671875" style="219" customWidth="1"/>
    <col min="2059" max="2059" width="10" style="219" bestFit="1" customWidth="1"/>
    <col min="2060" max="2060" width="11.44140625" style="219" bestFit="1" customWidth="1"/>
    <col min="2061" max="2061" width="11.44140625" style="219" customWidth="1"/>
    <col min="2062" max="2063" width="13.6640625" style="219" bestFit="1" customWidth="1"/>
    <col min="2064" max="2304" width="9.109375" style="219"/>
    <col min="2305" max="2305" width="1.33203125" style="219" customWidth="1"/>
    <col min="2306" max="2306" width="6.109375" style="219" bestFit="1" customWidth="1"/>
    <col min="2307" max="2307" width="17.33203125" style="219" bestFit="1" customWidth="1"/>
    <col min="2308" max="2308" width="8.44140625" style="219" bestFit="1" customWidth="1"/>
    <col min="2309" max="2309" width="17" style="219" bestFit="1" customWidth="1"/>
    <col min="2310" max="2310" width="17" style="219" customWidth="1"/>
    <col min="2311" max="2311" width="11.109375" style="219" bestFit="1" customWidth="1"/>
    <col min="2312" max="2312" width="14.88671875" style="219" bestFit="1" customWidth="1"/>
    <col min="2313" max="2314" width="14.88671875" style="219" customWidth="1"/>
    <col min="2315" max="2315" width="10" style="219" bestFit="1" customWidth="1"/>
    <col min="2316" max="2316" width="11.44140625" style="219" bestFit="1" customWidth="1"/>
    <col min="2317" max="2317" width="11.44140625" style="219" customWidth="1"/>
    <col min="2318" max="2319" width="13.6640625" style="219" bestFit="1" customWidth="1"/>
    <col min="2320" max="2560" width="9.109375" style="219"/>
    <col min="2561" max="2561" width="1.33203125" style="219" customWidth="1"/>
    <col min="2562" max="2562" width="6.109375" style="219" bestFit="1" customWidth="1"/>
    <col min="2563" max="2563" width="17.33203125" style="219" bestFit="1" customWidth="1"/>
    <col min="2564" max="2564" width="8.44140625" style="219" bestFit="1" customWidth="1"/>
    <col min="2565" max="2565" width="17" style="219" bestFit="1" customWidth="1"/>
    <col min="2566" max="2566" width="17" style="219" customWidth="1"/>
    <col min="2567" max="2567" width="11.109375" style="219" bestFit="1" customWidth="1"/>
    <col min="2568" max="2568" width="14.88671875" style="219" bestFit="1" customWidth="1"/>
    <col min="2569" max="2570" width="14.88671875" style="219" customWidth="1"/>
    <col min="2571" max="2571" width="10" style="219" bestFit="1" customWidth="1"/>
    <col min="2572" max="2572" width="11.44140625" style="219" bestFit="1" customWidth="1"/>
    <col min="2573" max="2573" width="11.44140625" style="219" customWidth="1"/>
    <col min="2574" max="2575" width="13.6640625" style="219" bestFit="1" customWidth="1"/>
    <col min="2576" max="2816" width="9.109375" style="219"/>
    <col min="2817" max="2817" width="1.33203125" style="219" customWidth="1"/>
    <col min="2818" max="2818" width="6.109375" style="219" bestFit="1" customWidth="1"/>
    <col min="2819" max="2819" width="17.33203125" style="219" bestFit="1" customWidth="1"/>
    <col min="2820" max="2820" width="8.44140625" style="219" bestFit="1" customWidth="1"/>
    <col min="2821" max="2821" width="17" style="219" bestFit="1" customWidth="1"/>
    <col min="2822" max="2822" width="17" style="219" customWidth="1"/>
    <col min="2823" max="2823" width="11.109375" style="219" bestFit="1" customWidth="1"/>
    <col min="2824" max="2824" width="14.88671875" style="219" bestFit="1" customWidth="1"/>
    <col min="2825" max="2826" width="14.88671875" style="219" customWidth="1"/>
    <col min="2827" max="2827" width="10" style="219" bestFit="1" customWidth="1"/>
    <col min="2828" max="2828" width="11.44140625" style="219" bestFit="1" customWidth="1"/>
    <col min="2829" max="2829" width="11.44140625" style="219" customWidth="1"/>
    <col min="2830" max="2831" width="13.6640625" style="219" bestFit="1" customWidth="1"/>
    <col min="2832" max="3072" width="9.109375" style="219"/>
    <col min="3073" max="3073" width="1.33203125" style="219" customWidth="1"/>
    <col min="3074" max="3074" width="6.109375" style="219" bestFit="1" customWidth="1"/>
    <col min="3075" max="3075" width="17.33203125" style="219" bestFit="1" customWidth="1"/>
    <col min="3076" max="3076" width="8.44140625" style="219" bestFit="1" customWidth="1"/>
    <col min="3077" max="3077" width="17" style="219" bestFit="1" customWidth="1"/>
    <col min="3078" max="3078" width="17" style="219" customWidth="1"/>
    <col min="3079" max="3079" width="11.109375" style="219" bestFit="1" customWidth="1"/>
    <col min="3080" max="3080" width="14.88671875" style="219" bestFit="1" customWidth="1"/>
    <col min="3081" max="3082" width="14.88671875" style="219" customWidth="1"/>
    <col min="3083" max="3083" width="10" style="219" bestFit="1" customWidth="1"/>
    <col min="3084" max="3084" width="11.44140625" style="219" bestFit="1" customWidth="1"/>
    <col min="3085" max="3085" width="11.44140625" style="219" customWidth="1"/>
    <col min="3086" max="3087" width="13.6640625" style="219" bestFit="1" customWidth="1"/>
    <col min="3088" max="3328" width="9.109375" style="219"/>
    <col min="3329" max="3329" width="1.33203125" style="219" customWidth="1"/>
    <col min="3330" max="3330" width="6.109375" style="219" bestFit="1" customWidth="1"/>
    <col min="3331" max="3331" width="17.33203125" style="219" bestFit="1" customWidth="1"/>
    <col min="3332" max="3332" width="8.44140625" style="219" bestFit="1" customWidth="1"/>
    <col min="3333" max="3333" width="17" style="219" bestFit="1" customWidth="1"/>
    <col min="3334" max="3334" width="17" style="219" customWidth="1"/>
    <col min="3335" max="3335" width="11.109375" style="219" bestFit="1" customWidth="1"/>
    <col min="3336" max="3336" width="14.88671875" style="219" bestFit="1" customWidth="1"/>
    <col min="3337" max="3338" width="14.88671875" style="219" customWidth="1"/>
    <col min="3339" max="3339" width="10" style="219" bestFit="1" customWidth="1"/>
    <col min="3340" max="3340" width="11.44140625" style="219" bestFit="1" customWidth="1"/>
    <col min="3341" max="3341" width="11.44140625" style="219" customWidth="1"/>
    <col min="3342" max="3343" width="13.6640625" style="219" bestFit="1" customWidth="1"/>
    <col min="3344" max="3584" width="9.109375" style="219"/>
    <col min="3585" max="3585" width="1.33203125" style="219" customWidth="1"/>
    <col min="3586" max="3586" width="6.109375" style="219" bestFit="1" customWidth="1"/>
    <col min="3587" max="3587" width="17.33203125" style="219" bestFit="1" customWidth="1"/>
    <col min="3588" max="3588" width="8.44140625" style="219" bestFit="1" customWidth="1"/>
    <col min="3589" max="3589" width="17" style="219" bestFit="1" customWidth="1"/>
    <col min="3590" max="3590" width="17" style="219" customWidth="1"/>
    <col min="3591" max="3591" width="11.109375" style="219" bestFit="1" customWidth="1"/>
    <col min="3592" max="3592" width="14.88671875" style="219" bestFit="1" customWidth="1"/>
    <col min="3593" max="3594" width="14.88671875" style="219" customWidth="1"/>
    <col min="3595" max="3595" width="10" style="219" bestFit="1" customWidth="1"/>
    <col min="3596" max="3596" width="11.44140625" style="219" bestFit="1" customWidth="1"/>
    <col min="3597" max="3597" width="11.44140625" style="219" customWidth="1"/>
    <col min="3598" max="3599" width="13.6640625" style="219" bestFit="1" customWidth="1"/>
    <col min="3600" max="3840" width="9.109375" style="219"/>
    <col min="3841" max="3841" width="1.33203125" style="219" customWidth="1"/>
    <col min="3842" max="3842" width="6.109375" style="219" bestFit="1" customWidth="1"/>
    <col min="3843" max="3843" width="17.33203125" style="219" bestFit="1" customWidth="1"/>
    <col min="3844" max="3844" width="8.44140625" style="219" bestFit="1" customWidth="1"/>
    <col min="3845" max="3845" width="17" style="219" bestFit="1" customWidth="1"/>
    <col min="3846" max="3846" width="17" style="219" customWidth="1"/>
    <col min="3847" max="3847" width="11.109375" style="219" bestFit="1" customWidth="1"/>
    <col min="3848" max="3848" width="14.88671875" style="219" bestFit="1" customWidth="1"/>
    <col min="3849" max="3850" width="14.88671875" style="219" customWidth="1"/>
    <col min="3851" max="3851" width="10" style="219" bestFit="1" customWidth="1"/>
    <col min="3852" max="3852" width="11.44140625" style="219" bestFit="1" customWidth="1"/>
    <col min="3853" max="3853" width="11.44140625" style="219" customWidth="1"/>
    <col min="3854" max="3855" width="13.6640625" style="219" bestFit="1" customWidth="1"/>
    <col min="3856" max="4096" width="9.109375" style="219"/>
    <col min="4097" max="4097" width="1.33203125" style="219" customWidth="1"/>
    <col min="4098" max="4098" width="6.109375" style="219" bestFit="1" customWidth="1"/>
    <col min="4099" max="4099" width="17.33203125" style="219" bestFit="1" customWidth="1"/>
    <col min="4100" max="4100" width="8.44140625" style="219" bestFit="1" customWidth="1"/>
    <col min="4101" max="4101" width="17" style="219" bestFit="1" customWidth="1"/>
    <col min="4102" max="4102" width="17" style="219" customWidth="1"/>
    <col min="4103" max="4103" width="11.109375" style="219" bestFit="1" customWidth="1"/>
    <col min="4104" max="4104" width="14.88671875" style="219" bestFit="1" customWidth="1"/>
    <col min="4105" max="4106" width="14.88671875" style="219" customWidth="1"/>
    <col min="4107" max="4107" width="10" style="219" bestFit="1" customWidth="1"/>
    <col min="4108" max="4108" width="11.44140625" style="219" bestFit="1" customWidth="1"/>
    <col min="4109" max="4109" width="11.44140625" style="219" customWidth="1"/>
    <col min="4110" max="4111" width="13.6640625" style="219" bestFit="1" customWidth="1"/>
    <col min="4112" max="4352" width="9.109375" style="219"/>
    <col min="4353" max="4353" width="1.33203125" style="219" customWidth="1"/>
    <col min="4354" max="4354" width="6.109375" style="219" bestFit="1" customWidth="1"/>
    <col min="4355" max="4355" width="17.33203125" style="219" bestFit="1" customWidth="1"/>
    <col min="4356" max="4356" width="8.44140625" style="219" bestFit="1" customWidth="1"/>
    <col min="4357" max="4357" width="17" style="219" bestFit="1" customWidth="1"/>
    <col min="4358" max="4358" width="17" style="219" customWidth="1"/>
    <col min="4359" max="4359" width="11.109375" style="219" bestFit="1" customWidth="1"/>
    <col min="4360" max="4360" width="14.88671875" style="219" bestFit="1" customWidth="1"/>
    <col min="4361" max="4362" width="14.88671875" style="219" customWidth="1"/>
    <col min="4363" max="4363" width="10" style="219" bestFit="1" customWidth="1"/>
    <col min="4364" max="4364" width="11.44140625" style="219" bestFit="1" customWidth="1"/>
    <col min="4365" max="4365" width="11.44140625" style="219" customWidth="1"/>
    <col min="4366" max="4367" width="13.6640625" style="219" bestFit="1" customWidth="1"/>
    <col min="4368" max="4608" width="9.109375" style="219"/>
    <col min="4609" max="4609" width="1.33203125" style="219" customWidth="1"/>
    <col min="4610" max="4610" width="6.109375" style="219" bestFit="1" customWidth="1"/>
    <col min="4611" max="4611" width="17.33203125" style="219" bestFit="1" customWidth="1"/>
    <col min="4612" max="4612" width="8.44140625" style="219" bestFit="1" customWidth="1"/>
    <col min="4613" max="4613" width="17" style="219" bestFit="1" customWidth="1"/>
    <col min="4614" max="4614" width="17" style="219" customWidth="1"/>
    <col min="4615" max="4615" width="11.109375" style="219" bestFit="1" customWidth="1"/>
    <col min="4616" max="4616" width="14.88671875" style="219" bestFit="1" customWidth="1"/>
    <col min="4617" max="4618" width="14.88671875" style="219" customWidth="1"/>
    <col min="4619" max="4619" width="10" style="219" bestFit="1" customWidth="1"/>
    <col min="4620" max="4620" width="11.44140625" style="219" bestFit="1" customWidth="1"/>
    <col min="4621" max="4621" width="11.44140625" style="219" customWidth="1"/>
    <col min="4622" max="4623" width="13.6640625" style="219" bestFit="1" customWidth="1"/>
    <col min="4624" max="4864" width="9.109375" style="219"/>
    <col min="4865" max="4865" width="1.33203125" style="219" customWidth="1"/>
    <col min="4866" max="4866" width="6.109375" style="219" bestFit="1" customWidth="1"/>
    <col min="4867" max="4867" width="17.33203125" style="219" bestFit="1" customWidth="1"/>
    <col min="4868" max="4868" width="8.44140625" style="219" bestFit="1" customWidth="1"/>
    <col min="4869" max="4869" width="17" style="219" bestFit="1" customWidth="1"/>
    <col min="4870" max="4870" width="17" style="219" customWidth="1"/>
    <col min="4871" max="4871" width="11.109375" style="219" bestFit="1" customWidth="1"/>
    <col min="4872" max="4872" width="14.88671875" style="219" bestFit="1" customWidth="1"/>
    <col min="4873" max="4874" width="14.88671875" style="219" customWidth="1"/>
    <col min="4875" max="4875" width="10" style="219" bestFit="1" customWidth="1"/>
    <col min="4876" max="4876" width="11.44140625" style="219" bestFit="1" customWidth="1"/>
    <col min="4877" max="4877" width="11.44140625" style="219" customWidth="1"/>
    <col min="4878" max="4879" width="13.6640625" style="219" bestFit="1" customWidth="1"/>
    <col min="4880" max="5120" width="9.109375" style="219"/>
    <col min="5121" max="5121" width="1.33203125" style="219" customWidth="1"/>
    <col min="5122" max="5122" width="6.109375" style="219" bestFit="1" customWidth="1"/>
    <col min="5123" max="5123" width="17.33203125" style="219" bestFit="1" customWidth="1"/>
    <col min="5124" max="5124" width="8.44140625" style="219" bestFit="1" customWidth="1"/>
    <col min="5125" max="5125" width="17" style="219" bestFit="1" customWidth="1"/>
    <col min="5126" max="5126" width="17" style="219" customWidth="1"/>
    <col min="5127" max="5127" width="11.109375" style="219" bestFit="1" customWidth="1"/>
    <col min="5128" max="5128" width="14.88671875" style="219" bestFit="1" customWidth="1"/>
    <col min="5129" max="5130" width="14.88671875" style="219" customWidth="1"/>
    <col min="5131" max="5131" width="10" style="219" bestFit="1" customWidth="1"/>
    <col min="5132" max="5132" width="11.44140625" style="219" bestFit="1" customWidth="1"/>
    <col min="5133" max="5133" width="11.44140625" style="219" customWidth="1"/>
    <col min="5134" max="5135" width="13.6640625" style="219" bestFit="1" customWidth="1"/>
    <col min="5136" max="5376" width="9.109375" style="219"/>
    <col min="5377" max="5377" width="1.33203125" style="219" customWidth="1"/>
    <col min="5378" max="5378" width="6.109375" style="219" bestFit="1" customWidth="1"/>
    <col min="5379" max="5379" width="17.33203125" style="219" bestFit="1" customWidth="1"/>
    <col min="5380" max="5380" width="8.44140625" style="219" bestFit="1" customWidth="1"/>
    <col min="5381" max="5381" width="17" style="219" bestFit="1" customWidth="1"/>
    <col min="5382" max="5382" width="17" style="219" customWidth="1"/>
    <col min="5383" max="5383" width="11.109375" style="219" bestFit="1" customWidth="1"/>
    <col min="5384" max="5384" width="14.88671875" style="219" bestFit="1" customWidth="1"/>
    <col min="5385" max="5386" width="14.88671875" style="219" customWidth="1"/>
    <col min="5387" max="5387" width="10" style="219" bestFit="1" customWidth="1"/>
    <col min="5388" max="5388" width="11.44140625" style="219" bestFit="1" customWidth="1"/>
    <col min="5389" max="5389" width="11.44140625" style="219" customWidth="1"/>
    <col min="5390" max="5391" width="13.6640625" style="219" bestFit="1" customWidth="1"/>
    <col min="5392" max="5632" width="9.109375" style="219"/>
    <col min="5633" max="5633" width="1.33203125" style="219" customWidth="1"/>
    <col min="5634" max="5634" width="6.109375" style="219" bestFit="1" customWidth="1"/>
    <col min="5635" max="5635" width="17.33203125" style="219" bestFit="1" customWidth="1"/>
    <col min="5636" max="5636" width="8.44140625" style="219" bestFit="1" customWidth="1"/>
    <col min="5637" max="5637" width="17" style="219" bestFit="1" customWidth="1"/>
    <col min="5638" max="5638" width="17" style="219" customWidth="1"/>
    <col min="5639" max="5639" width="11.109375" style="219" bestFit="1" customWidth="1"/>
    <col min="5640" max="5640" width="14.88671875" style="219" bestFit="1" customWidth="1"/>
    <col min="5641" max="5642" width="14.88671875" style="219" customWidth="1"/>
    <col min="5643" max="5643" width="10" style="219" bestFit="1" customWidth="1"/>
    <col min="5644" max="5644" width="11.44140625" style="219" bestFit="1" customWidth="1"/>
    <col min="5645" max="5645" width="11.44140625" style="219" customWidth="1"/>
    <col min="5646" max="5647" width="13.6640625" style="219" bestFit="1" customWidth="1"/>
    <col min="5648" max="5888" width="9.109375" style="219"/>
    <col min="5889" max="5889" width="1.33203125" style="219" customWidth="1"/>
    <col min="5890" max="5890" width="6.109375" style="219" bestFit="1" customWidth="1"/>
    <col min="5891" max="5891" width="17.33203125" style="219" bestFit="1" customWidth="1"/>
    <col min="5892" max="5892" width="8.44140625" style="219" bestFit="1" customWidth="1"/>
    <col min="5893" max="5893" width="17" style="219" bestFit="1" customWidth="1"/>
    <col min="5894" max="5894" width="17" style="219" customWidth="1"/>
    <col min="5895" max="5895" width="11.109375" style="219" bestFit="1" customWidth="1"/>
    <col min="5896" max="5896" width="14.88671875" style="219" bestFit="1" customWidth="1"/>
    <col min="5897" max="5898" width="14.88671875" style="219" customWidth="1"/>
    <col min="5899" max="5899" width="10" style="219" bestFit="1" customWidth="1"/>
    <col min="5900" max="5900" width="11.44140625" style="219" bestFit="1" customWidth="1"/>
    <col min="5901" max="5901" width="11.44140625" style="219" customWidth="1"/>
    <col min="5902" max="5903" width="13.6640625" style="219" bestFit="1" customWidth="1"/>
    <col min="5904" max="6144" width="9.109375" style="219"/>
    <col min="6145" max="6145" width="1.33203125" style="219" customWidth="1"/>
    <col min="6146" max="6146" width="6.109375" style="219" bestFit="1" customWidth="1"/>
    <col min="6147" max="6147" width="17.33203125" style="219" bestFit="1" customWidth="1"/>
    <col min="6148" max="6148" width="8.44140625" style="219" bestFit="1" customWidth="1"/>
    <col min="6149" max="6149" width="17" style="219" bestFit="1" customWidth="1"/>
    <col min="6150" max="6150" width="17" style="219" customWidth="1"/>
    <col min="6151" max="6151" width="11.109375" style="219" bestFit="1" customWidth="1"/>
    <col min="6152" max="6152" width="14.88671875" style="219" bestFit="1" customWidth="1"/>
    <col min="6153" max="6154" width="14.88671875" style="219" customWidth="1"/>
    <col min="6155" max="6155" width="10" style="219" bestFit="1" customWidth="1"/>
    <col min="6156" max="6156" width="11.44140625" style="219" bestFit="1" customWidth="1"/>
    <col min="6157" max="6157" width="11.44140625" style="219" customWidth="1"/>
    <col min="6158" max="6159" width="13.6640625" style="219" bestFit="1" customWidth="1"/>
    <col min="6160" max="6400" width="9.109375" style="219"/>
    <col min="6401" max="6401" width="1.33203125" style="219" customWidth="1"/>
    <col min="6402" max="6402" width="6.109375" style="219" bestFit="1" customWidth="1"/>
    <col min="6403" max="6403" width="17.33203125" style="219" bestFit="1" customWidth="1"/>
    <col min="6404" max="6404" width="8.44140625" style="219" bestFit="1" customWidth="1"/>
    <col min="6405" max="6405" width="17" style="219" bestFit="1" customWidth="1"/>
    <col min="6406" max="6406" width="17" style="219" customWidth="1"/>
    <col min="6407" max="6407" width="11.109375" style="219" bestFit="1" customWidth="1"/>
    <col min="6408" max="6408" width="14.88671875" style="219" bestFit="1" customWidth="1"/>
    <col min="6409" max="6410" width="14.88671875" style="219" customWidth="1"/>
    <col min="6411" max="6411" width="10" style="219" bestFit="1" customWidth="1"/>
    <col min="6412" max="6412" width="11.44140625" style="219" bestFit="1" customWidth="1"/>
    <col min="6413" max="6413" width="11.44140625" style="219" customWidth="1"/>
    <col min="6414" max="6415" width="13.6640625" style="219" bestFit="1" customWidth="1"/>
    <col min="6416" max="6656" width="9.109375" style="219"/>
    <col min="6657" max="6657" width="1.33203125" style="219" customWidth="1"/>
    <col min="6658" max="6658" width="6.109375" style="219" bestFit="1" customWidth="1"/>
    <col min="6659" max="6659" width="17.33203125" style="219" bestFit="1" customWidth="1"/>
    <col min="6660" max="6660" width="8.44140625" style="219" bestFit="1" customWidth="1"/>
    <col min="6661" max="6661" width="17" style="219" bestFit="1" customWidth="1"/>
    <col min="6662" max="6662" width="17" style="219" customWidth="1"/>
    <col min="6663" max="6663" width="11.109375" style="219" bestFit="1" customWidth="1"/>
    <col min="6664" max="6664" width="14.88671875" style="219" bestFit="1" customWidth="1"/>
    <col min="6665" max="6666" width="14.88671875" style="219" customWidth="1"/>
    <col min="6667" max="6667" width="10" style="219" bestFit="1" customWidth="1"/>
    <col min="6668" max="6668" width="11.44140625" style="219" bestFit="1" customWidth="1"/>
    <col min="6669" max="6669" width="11.44140625" style="219" customWidth="1"/>
    <col min="6670" max="6671" width="13.6640625" style="219" bestFit="1" customWidth="1"/>
    <col min="6672" max="6912" width="9.109375" style="219"/>
    <col min="6913" max="6913" width="1.33203125" style="219" customWidth="1"/>
    <col min="6914" max="6914" width="6.109375" style="219" bestFit="1" customWidth="1"/>
    <col min="6915" max="6915" width="17.33203125" style="219" bestFit="1" customWidth="1"/>
    <col min="6916" max="6916" width="8.44140625" style="219" bestFit="1" customWidth="1"/>
    <col min="6917" max="6917" width="17" style="219" bestFit="1" customWidth="1"/>
    <col min="6918" max="6918" width="17" style="219" customWidth="1"/>
    <col min="6919" max="6919" width="11.109375" style="219" bestFit="1" customWidth="1"/>
    <col min="6920" max="6920" width="14.88671875" style="219" bestFit="1" customWidth="1"/>
    <col min="6921" max="6922" width="14.88671875" style="219" customWidth="1"/>
    <col min="6923" max="6923" width="10" style="219" bestFit="1" customWidth="1"/>
    <col min="6924" max="6924" width="11.44140625" style="219" bestFit="1" customWidth="1"/>
    <col min="6925" max="6925" width="11.44140625" style="219" customWidth="1"/>
    <col min="6926" max="6927" width="13.6640625" style="219" bestFit="1" customWidth="1"/>
    <col min="6928" max="7168" width="9.109375" style="219"/>
    <col min="7169" max="7169" width="1.33203125" style="219" customWidth="1"/>
    <col min="7170" max="7170" width="6.109375" style="219" bestFit="1" customWidth="1"/>
    <col min="7171" max="7171" width="17.33203125" style="219" bestFit="1" customWidth="1"/>
    <col min="7172" max="7172" width="8.44140625" style="219" bestFit="1" customWidth="1"/>
    <col min="7173" max="7173" width="17" style="219" bestFit="1" customWidth="1"/>
    <col min="7174" max="7174" width="17" style="219" customWidth="1"/>
    <col min="7175" max="7175" width="11.109375" style="219" bestFit="1" customWidth="1"/>
    <col min="7176" max="7176" width="14.88671875" style="219" bestFit="1" customWidth="1"/>
    <col min="7177" max="7178" width="14.88671875" style="219" customWidth="1"/>
    <col min="7179" max="7179" width="10" style="219" bestFit="1" customWidth="1"/>
    <col min="7180" max="7180" width="11.44140625" style="219" bestFit="1" customWidth="1"/>
    <col min="7181" max="7181" width="11.44140625" style="219" customWidth="1"/>
    <col min="7182" max="7183" width="13.6640625" style="219" bestFit="1" customWidth="1"/>
    <col min="7184" max="7424" width="9.109375" style="219"/>
    <col min="7425" max="7425" width="1.33203125" style="219" customWidth="1"/>
    <col min="7426" max="7426" width="6.109375" style="219" bestFit="1" customWidth="1"/>
    <col min="7427" max="7427" width="17.33203125" style="219" bestFit="1" customWidth="1"/>
    <col min="7428" max="7428" width="8.44140625" style="219" bestFit="1" customWidth="1"/>
    <col min="7429" max="7429" width="17" style="219" bestFit="1" customWidth="1"/>
    <col min="7430" max="7430" width="17" style="219" customWidth="1"/>
    <col min="7431" max="7431" width="11.109375" style="219" bestFit="1" customWidth="1"/>
    <col min="7432" max="7432" width="14.88671875" style="219" bestFit="1" customWidth="1"/>
    <col min="7433" max="7434" width="14.88671875" style="219" customWidth="1"/>
    <col min="7435" max="7435" width="10" style="219" bestFit="1" customWidth="1"/>
    <col min="7436" max="7436" width="11.44140625" style="219" bestFit="1" customWidth="1"/>
    <col min="7437" max="7437" width="11.44140625" style="219" customWidth="1"/>
    <col min="7438" max="7439" width="13.6640625" style="219" bestFit="1" customWidth="1"/>
    <col min="7440" max="7680" width="9.109375" style="219"/>
    <col min="7681" max="7681" width="1.33203125" style="219" customWidth="1"/>
    <col min="7682" max="7682" width="6.109375" style="219" bestFit="1" customWidth="1"/>
    <col min="7683" max="7683" width="17.33203125" style="219" bestFit="1" customWidth="1"/>
    <col min="7684" max="7684" width="8.44140625" style="219" bestFit="1" customWidth="1"/>
    <col min="7685" max="7685" width="17" style="219" bestFit="1" customWidth="1"/>
    <col min="7686" max="7686" width="17" style="219" customWidth="1"/>
    <col min="7687" max="7687" width="11.109375" style="219" bestFit="1" customWidth="1"/>
    <col min="7688" max="7688" width="14.88671875" style="219" bestFit="1" customWidth="1"/>
    <col min="7689" max="7690" width="14.88671875" style="219" customWidth="1"/>
    <col min="7691" max="7691" width="10" style="219" bestFit="1" customWidth="1"/>
    <col min="7692" max="7692" width="11.44140625" style="219" bestFit="1" customWidth="1"/>
    <col min="7693" max="7693" width="11.44140625" style="219" customWidth="1"/>
    <col min="7694" max="7695" width="13.6640625" style="219" bestFit="1" customWidth="1"/>
    <col min="7696" max="7936" width="9.109375" style="219"/>
    <col min="7937" max="7937" width="1.33203125" style="219" customWidth="1"/>
    <col min="7938" max="7938" width="6.109375" style="219" bestFit="1" customWidth="1"/>
    <col min="7939" max="7939" width="17.33203125" style="219" bestFit="1" customWidth="1"/>
    <col min="7940" max="7940" width="8.44140625" style="219" bestFit="1" customWidth="1"/>
    <col min="7941" max="7941" width="17" style="219" bestFit="1" customWidth="1"/>
    <col min="7942" max="7942" width="17" style="219" customWidth="1"/>
    <col min="7943" max="7943" width="11.109375" style="219" bestFit="1" customWidth="1"/>
    <col min="7944" max="7944" width="14.88671875" style="219" bestFit="1" customWidth="1"/>
    <col min="7945" max="7946" width="14.88671875" style="219" customWidth="1"/>
    <col min="7947" max="7947" width="10" style="219" bestFit="1" customWidth="1"/>
    <col min="7948" max="7948" width="11.44140625" style="219" bestFit="1" customWidth="1"/>
    <col min="7949" max="7949" width="11.44140625" style="219" customWidth="1"/>
    <col min="7950" max="7951" width="13.6640625" style="219" bestFit="1" customWidth="1"/>
    <col min="7952" max="8192" width="9.109375" style="219"/>
    <col min="8193" max="8193" width="1.33203125" style="219" customWidth="1"/>
    <col min="8194" max="8194" width="6.109375" style="219" bestFit="1" customWidth="1"/>
    <col min="8195" max="8195" width="17.33203125" style="219" bestFit="1" customWidth="1"/>
    <col min="8196" max="8196" width="8.44140625" style="219" bestFit="1" customWidth="1"/>
    <col min="8197" max="8197" width="17" style="219" bestFit="1" customWidth="1"/>
    <col min="8198" max="8198" width="17" style="219" customWidth="1"/>
    <col min="8199" max="8199" width="11.109375" style="219" bestFit="1" customWidth="1"/>
    <col min="8200" max="8200" width="14.88671875" style="219" bestFit="1" customWidth="1"/>
    <col min="8201" max="8202" width="14.88671875" style="219" customWidth="1"/>
    <col min="8203" max="8203" width="10" style="219" bestFit="1" customWidth="1"/>
    <col min="8204" max="8204" width="11.44140625" style="219" bestFit="1" customWidth="1"/>
    <col min="8205" max="8205" width="11.44140625" style="219" customWidth="1"/>
    <col min="8206" max="8207" width="13.6640625" style="219" bestFit="1" customWidth="1"/>
    <col min="8208" max="8448" width="9.109375" style="219"/>
    <col min="8449" max="8449" width="1.33203125" style="219" customWidth="1"/>
    <col min="8450" max="8450" width="6.109375" style="219" bestFit="1" customWidth="1"/>
    <col min="8451" max="8451" width="17.33203125" style="219" bestFit="1" customWidth="1"/>
    <col min="8452" max="8452" width="8.44140625" style="219" bestFit="1" customWidth="1"/>
    <col min="8453" max="8453" width="17" style="219" bestFit="1" customWidth="1"/>
    <col min="8454" max="8454" width="17" style="219" customWidth="1"/>
    <col min="8455" max="8455" width="11.109375" style="219" bestFit="1" customWidth="1"/>
    <col min="8456" max="8456" width="14.88671875" style="219" bestFit="1" customWidth="1"/>
    <col min="8457" max="8458" width="14.88671875" style="219" customWidth="1"/>
    <col min="8459" max="8459" width="10" style="219" bestFit="1" customWidth="1"/>
    <col min="8460" max="8460" width="11.44140625" style="219" bestFit="1" customWidth="1"/>
    <col min="8461" max="8461" width="11.44140625" style="219" customWidth="1"/>
    <col min="8462" max="8463" width="13.6640625" style="219" bestFit="1" customWidth="1"/>
    <col min="8464" max="8704" width="9.109375" style="219"/>
    <col min="8705" max="8705" width="1.33203125" style="219" customWidth="1"/>
    <col min="8706" max="8706" width="6.109375" style="219" bestFit="1" customWidth="1"/>
    <col min="8707" max="8707" width="17.33203125" style="219" bestFit="1" customWidth="1"/>
    <col min="8708" max="8708" width="8.44140625" style="219" bestFit="1" customWidth="1"/>
    <col min="8709" max="8709" width="17" style="219" bestFit="1" customWidth="1"/>
    <col min="8710" max="8710" width="17" style="219" customWidth="1"/>
    <col min="8711" max="8711" width="11.109375" style="219" bestFit="1" customWidth="1"/>
    <col min="8712" max="8712" width="14.88671875" style="219" bestFit="1" customWidth="1"/>
    <col min="8713" max="8714" width="14.88671875" style="219" customWidth="1"/>
    <col min="8715" max="8715" width="10" style="219" bestFit="1" customWidth="1"/>
    <col min="8716" max="8716" width="11.44140625" style="219" bestFit="1" customWidth="1"/>
    <col min="8717" max="8717" width="11.44140625" style="219" customWidth="1"/>
    <col min="8718" max="8719" width="13.6640625" style="219" bestFit="1" customWidth="1"/>
    <col min="8720" max="8960" width="9.109375" style="219"/>
    <col min="8961" max="8961" width="1.33203125" style="219" customWidth="1"/>
    <col min="8962" max="8962" width="6.109375" style="219" bestFit="1" customWidth="1"/>
    <col min="8963" max="8963" width="17.33203125" style="219" bestFit="1" customWidth="1"/>
    <col min="8964" max="8964" width="8.44140625" style="219" bestFit="1" customWidth="1"/>
    <col min="8965" max="8965" width="17" style="219" bestFit="1" customWidth="1"/>
    <col min="8966" max="8966" width="17" style="219" customWidth="1"/>
    <col min="8967" max="8967" width="11.109375" style="219" bestFit="1" customWidth="1"/>
    <col min="8968" max="8968" width="14.88671875" style="219" bestFit="1" customWidth="1"/>
    <col min="8969" max="8970" width="14.88671875" style="219" customWidth="1"/>
    <col min="8971" max="8971" width="10" style="219" bestFit="1" customWidth="1"/>
    <col min="8972" max="8972" width="11.44140625" style="219" bestFit="1" customWidth="1"/>
    <col min="8973" max="8973" width="11.44140625" style="219" customWidth="1"/>
    <col min="8974" max="8975" width="13.6640625" style="219" bestFit="1" customWidth="1"/>
    <col min="8976" max="9216" width="9.109375" style="219"/>
    <col min="9217" max="9217" width="1.33203125" style="219" customWidth="1"/>
    <col min="9218" max="9218" width="6.109375" style="219" bestFit="1" customWidth="1"/>
    <col min="9219" max="9219" width="17.33203125" style="219" bestFit="1" customWidth="1"/>
    <col min="9220" max="9220" width="8.44140625" style="219" bestFit="1" customWidth="1"/>
    <col min="9221" max="9221" width="17" style="219" bestFit="1" customWidth="1"/>
    <col min="9222" max="9222" width="17" style="219" customWidth="1"/>
    <col min="9223" max="9223" width="11.109375" style="219" bestFit="1" customWidth="1"/>
    <col min="9224" max="9224" width="14.88671875" style="219" bestFit="1" customWidth="1"/>
    <col min="9225" max="9226" width="14.88671875" style="219" customWidth="1"/>
    <col min="9227" max="9227" width="10" style="219" bestFit="1" customWidth="1"/>
    <col min="9228" max="9228" width="11.44140625" style="219" bestFit="1" customWidth="1"/>
    <col min="9229" max="9229" width="11.44140625" style="219" customWidth="1"/>
    <col min="9230" max="9231" width="13.6640625" style="219" bestFit="1" customWidth="1"/>
    <col min="9232" max="9472" width="9.109375" style="219"/>
    <col min="9473" max="9473" width="1.33203125" style="219" customWidth="1"/>
    <col min="9474" max="9474" width="6.109375" style="219" bestFit="1" customWidth="1"/>
    <col min="9475" max="9475" width="17.33203125" style="219" bestFit="1" customWidth="1"/>
    <col min="9476" max="9476" width="8.44140625" style="219" bestFit="1" customWidth="1"/>
    <col min="9477" max="9477" width="17" style="219" bestFit="1" customWidth="1"/>
    <col min="9478" max="9478" width="17" style="219" customWidth="1"/>
    <col min="9479" max="9479" width="11.109375" style="219" bestFit="1" customWidth="1"/>
    <col min="9480" max="9480" width="14.88671875" style="219" bestFit="1" customWidth="1"/>
    <col min="9481" max="9482" width="14.88671875" style="219" customWidth="1"/>
    <col min="9483" max="9483" width="10" style="219" bestFit="1" customWidth="1"/>
    <col min="9484" max="9484" width="11.44140625" style="219" bestFit="1" customWidth="1"/>
    <col min="9485" max="9485" width="11.44140625" style="219" customWidth="1"/>
    <col min="9486" max="9487" width="13.6640625" style="219" bestFit="1" customWidth="1"/>
    <col min="9488" max="9728" width="9.109375" style="219"/>
    <col min="9729" max="9729" width="1.33203125" style="219" customWidth="1"/>
    <col min="9730" max="9730" width="6.109375" style="219" bestFit="1" customWidth="1"/>
    <col min="9731" max="9731" width="17.33203125" style="219" bestFit="1" customWidth="1"/>
    <col min="9732" max="9732" width="8.44140625" style="219" bestFit="1" customWidth="1"/>
    <col min="9733" max="9733" width="17" style="219" bestFit="1" customWidth="1"/>
    <col min="9734" max="9734" width="17" style="219" customWidth="1"/>
    <col min="9735" max="9735" width="11.109375" style="219" bestFit="1" customWidth="1"/>
    <col min="9736" max="9736" width="14.88671875" style="219" bestFit="1" customWidth="1"/>
    <col min="9737" max="9738" width="14.88671875" style="219" customWidth="1"/>
    <col min="9739" max="9739" width="10" style="219" bestFit="1" customWidth="1"/>
    <col min="9740" max="9740" width="11.44140625" style="219" bestFit="1" customWidth="1"/>
    <col min="9741" max="9741" width="11.44140625" style="219" customWidth="1"/>
    <col min="9742" max="9743" width="13.6640625" style="219" bestFit="1" customWidth="1"/>
    <col min="9744" max="9984" width="9.109375" style="219"/>
    <col min="9985" max="9985" width="1.33203125" style="219" customWidth="1"/>
    <col min="9986" max="9986" width="6.109375" style="219" bestFit="1" customWidth="1"/>
    <col min="9987" max="9987" width="17.33203125" style="219" bestFit="1" customWidth="1"/>
    <col min="9988" max="9988" width="8.44140625" style="219" bestFit="1" customWidth="1"/>
    <col min="9989" max="9989" width="17" style="219" bestFit="1" customWidth="1"/>
    <col min="9990" max="9990" width="17" style="219" customWidth="1"/>
    <col min="9991" max="9991" width="11.109375" style="219" bestFit="1" customWidth="1"/>
    <col min="9992" max="9992" width="14.88671875" style="219" bestFit="1" customWidth="1"/>
    <col min="9993" max="9994" width="14.88671875" style="219" customWidth="1"/>
    <col min="9995" max="9995" width="10" style="219" bestFit="1" customWidth="1"/>
    <col min="9996" max="9996" width="11.44140625" style="219" bestFit="1" customWidth="1"/>
    <col min="9997" max="9997" width="11.44140625" style="219" customWidth="1"/>
    <col min="9998" max="9999" width="13.6640625" style="219" bestFit="1" customWidth="1"/>
    <col min="10000" max="10240" width="9.109375" style="219"/>
    <col min="10241" max="10241" width="1.33203125" style="219" customWidth="1"/>
    <col min="10242" max="10242" width="6.109375" style="219" bestFit="1" customWidth="1"/>
    <col min="10243" max="10243" width="17.33203125" style="219" bestFit="1" customWidth="1"/>
    <col min="10244" max="10244" width="8.44140625" style="219" bestFit="1" customWidth="1"/>
    <col min="10245" max="10245" width="17" style="219" bestFit="1" customWidth="1"/>
    <col min="10246" max="10246" width="17" style="219" customWidth="1"/>
    <col min="10247" max="10247" width="11.109375" style="219" bestFit="1" customWidth="1"/>
    <col min="10248" max="10248" width="14.88671875" style="219" bestFit="1" customWidth="1"/>
    <col min="10249" max="10250" width="14.88671875" style="219" customWidth="1"/>
    <col min="10251" max="10251" width="10" style="219" bestFit="1" customWidth="1"/>
    <col min="10252" max="10252" width="11.44140625" style="219" bestFit="1" customWidth="1"/>
    <col min="10253" max="10253" width="11.44140625" style="219" customWidth="1"/>
    <col min="10254" max="10255" width="13.6640625" style="219" bestFit="1" customWidth="1"/>
    <col min="10256" max="10496" width="9.109375" style="219"/>
    <col min="10497" max="10497" width="1.33203125" style="219" customWidth="1"/>
    <col min="10498" max="10498" width="6.109375" style="219" bestFit="1" customWidth="1"/>
    <col min="10499" max="10499" width="17.33203125" style="219" bestFit="1" customWidth="1"/>
    <col min="10500" max="10500" width="8.44140625" style="219" bestFit="1" customWidth="1"/>
    <col min="10501" max="10501" width="17" style="219" bestFit="1" customWidth="1"/>
    <col min="10502" max="10502" width="17" style="219" customWidth="1"/>
    <col min="10503" max="10503" width="11.109375" style="219" bestFit="1" customWidth="1"/>
    <col min="10504" max="10504" width="14.88671875" style="219" bestFit="1" customWidth="1"/>
    <col min="10505" max="10506" width="14.88671875" style="219" customWidth="1"/>
    <col min="10507" max="10507" width="10" style="219" bestFit="1" customWidth="1"/>
    <col min="10508" max="10508" width="11.44140625" style="219" bestFit="1" customWidth="1"/>
    <col min="10509" max="10509" width="11.44140625" style="219" customWidth="1"/>
    <col min="10510" max="10511" width="13.6640625" style="219" bestFit="1" customWidth="1"/>
    <col min="10512" max="10752" width="9.109375" style="219"/>
    <col min="10753" max="10753" width="1.33203125" style="219" customWidth="1"/>
    <col min="10754" max="10754" width="6.109375" style="219" bestFit="1" customWidth="1"/>
    <col min="10755" max="10755" width="17.33203125" style="219" bestFit="1" customWidth="1"/>
    <col min="10756" max="10756" width="8.44140625" style="219" bestFit="1" customWidth="1"/>
    <col min="10757" max="10757" width="17" style="219" bestFit="1" customWidth="1"/>
    <col min="10758" max="10758" width="17" style="219" customWidth="1"/>
    <col min="10759" max="10759" width="11.109375" style="219" bestFit="1" customWidth="1"/>
    <col min="10760" max="10760" width="14.88671875" style="219" bestFit="1" customWidth="1"/>
    <col min="10761" max="10762" width="14.88671875" style="219" customWidth="1"/>
    <col min="10763" max="10763" width="10" style="219" bestFit="1" customWidth="1"/>
    <col min="10764" max="10764" width="11.44140625" style="219" bestFit="1" customWidth="1"/>
    <col min="10765" max="10765" width="11.44140625" style="219" customWidth="1"/>
    <col min="10766" max="10767" width="13.6640625" style="219" bestFit="1" customWidth="1"/>
    <col min="10768" max="11008" width="9.109375" style="219"/>
    <col min="11009" max="11009" width="1.33203125" style="219" customWidth="1"/>
    <col min="11010" max="11010" width="6.109375" style="219" bestFit="1" customWidth="1"/>
    <col min="11011" max="11011" width="17.33203125" style="219" bestFit="1" customWidth="1"/>
    <col min="11012" max="11012" width="8.44140625" style="219" bestFit="1" customWidth="1"/>
    <col min="11013" max="11013" width="17" style="219" bestFit="1" customWidth="1"/>
    <col min="11014" max="11014" width="17" style="219" customWidth="1"/>
    <col min="11015" max="11015" width="11.109375" style="219" bestFit="1" customWidth="1"/>
    <col min="11016" max="11016" width="14.88671875" style="219" bestFit="1" customWidth="1"/>
    <col min="11017" max="11018" width="14.88671875" style="219" customWidth="1"/>
    <col min="11019" max="11019" width="10" style="219" bestFit="1" customWidth="1"/>
    <col min="11020" max="11020" width="11.44140625" style="219" bestFit="1" customWidth="1"/>
    <col min="11021" max="11021" width="11.44140625" style="219" customWidth="1"/>
    <col min="11022" max="11023" width="13.6640625" style="219" bestFit="1" customWidth="1"/>
    <col min="11024" max="11264" width="9.109375" style="219"/>
    <col min="11265" max="11265" width="1.33203125" style="219" customWidth="1"/>
    <col min="11266" max="11266" width="6.109375" style="219" bestFit="1" customWidth="1"/>
    <col min="11267" max="11267" width="17.33203125" style="219" bestFit="1" customWidth="1"/>
    <col min="11268" max="11268" width="8.44140625" style="219" bestFit="1" customWidth="1"/>
    <col min="11269" max="11269" width="17" style="219" bestFit="1" customWidth="1"/>
    <col min="11270" max="11270" width="17" style="219" customWidth="1"/>
    <col min="11271" max="11271" width="11.109375" style="219" bestFit="1" customWidth="1"/>
    <col min="11272" max="11272" width="14.88671875" style="219" bestFit="1" customWidth="1"/>
    <col min="11273" max="11274" width="14.88671875" style="219" customWidth="1"/>
    <col min="11275" max="11275" width="10" style="219" bestFit="1" customWidth="1"/>
    <col min="11276" max="11276" width="11.44140625" style="219" bestFit="1" customWidth="1"/>
    <col min="11277" max="11277" width="11.44140625" style="219" customWidth="1"/>
    <col min="11278" max="11279" width="13.6640625" style="219" bestFit="1" customWidth="1"/>
    <col min="11280" max="11520" width="9.109375" style="219"/>
    <col min="11521" max="11521" width="1.33203125" style="219" customWidth="1"/>
    <col min="11522" max="11522" width="6.109375" style="219" bestFit="1" customWidth="1"/>
    <col min="11523" max="11523" width="17.33203125" style="219" bestFit="1" customWidth="1"/>
    <col min="11524" max="11524" width="8.44140625" style="219" bestFit="1" customWidth="1"/>
    <col min="11525" max="11525" width="17" style="219" bestFit="1" customWidth="1"/>
    <col min="11526" max="11526" width="17" style="219" customWidth="1"/>
    <col min="11527" max="11527" width="11.109375" style="219" bestFit="1" customWidth="1"/>
    <col min="11528" max="11528" width="14.88671875" style="219" bestFit="1" customWidth="1"/>
    <col min="11529" max="11530" width="14.88671875" style="219" customWidth="1"/>
    <col min="11531" max="11531" width="10" style="219" bestFit="1" customWidth="1"/>
    <col min="11532" max="11532" width="11.44140625" style="219" bestFit="1" customWidth="1"/>
    <col min="11533" max="11533" width="11.44140625" style="219" customWidth="1"/>
    <col min="11534" max="11535" width="13.6640625" style="219" bestFit="1" customWidth="1"/>
    <col min="11536" max="11776" width="9.109375" style="219"/>
    <col min="11777" max="11777" width="1.33203125" style="219" customWidth="1"/>
    <col min="11778" max="11778" width="6.109375" style="219" bestFit="1" customWidth="1"/>
    <col min="11779" max="11779" width="17.33203125" style="219" bestFit="1" customWidth="1"/>
    <col min="11780" max="11780" width="8.44140625" style="219" bestFit="1" customWidth="1"/>
    <col min="11781" max="11781" width="17" style="219" bestFit="1" customWidth="1"/>
    <col min="11782" max="11782" width="17" style="219" customWidth="1"/>
    <col min="11783" max="11783" width="11.109375" style="219" bestFit="1" customWidth="1"/>
    <col min="11784" max="11784" width="14.88671875" style="219" bestFit="1" customWidth="1"/>
    <col min="11785" max="11786" width="14.88671875" style="219" customWidth="1"/>
    <col min="11787" max="11787" width="10" style="219" bestFit="1" customWidth="1"/>
    <col min="11788" max="11788" width="11.44140625" style="219" bestFit="1" customWidth="1"/>
    <col min="11789" max="11789" width="11.44140625" style="219" customWidth="1"/>
    <col min="11790" max="11791" width="13.6640625" style="219" bestFit="1" customWidth="1"/>
    <col min="11792" max="12032" width="9.109375" style="219"/>
    <col min="12033" max="12033" width="1.33203125" style="219" customWidth="1"/>
    <col min="12034" max="12034" width="6.109375" style="219" bestFit="1" customWidth="1"/>
    <col min="12035" max="12035" width="17.33203125" style="219" bestFit="1" customWidth="1"/>
    <col min="12036" max="12036" width="8.44140625" style="219" bestFit="1" customWidth="1"/>
    <col min="12037" max="12037" width="17" style="219" bestFit="1" customWidth="1"/>
    <col min="12038" max="12038" width="17" style="219" customWidth="1"/>
    <col min="12039" max="12039" width="11.109375" style="219" bestFit="1" customWidth="1"/>
    <col min="12040" max="12040" width="14.88671875" style="219" bestFit="1" customWidth="1"/>
    <col min="12041" max="12042" width="14.88671875" style="219" customWidth="1"/>
    <col min="12043" max="12043" width="10" style="219" bestFit="1" customWidth="1"/>
    <col min="12044" max="12044" width="11.44140625" style="219" bestFit="1" customWidth="1"/>
    <col min="12045" max="12045" width="11.44140625" style="219" customWidth="1"/>
    <col min="12046" max="12047" width="13.6640625" style="219" bestFit="1" customWidth="1"/>
    <col min="12048" max="12288" width="9.109375" style="219"/>
    <col min="12289" max="12289" width="1.33203125" style="219" customWidth="1"/>
    <col min="12290" max="12290" width="6.109375" style="219" bestFit="1" customWidth="1"/>
    <col min="12291" max="12291" width="17.33203125" style="219" bestFit="1" customWidth="1"/>
    <col min="12292" max="12292" width="8.44140625" style="219" bestFit="1" customWidth="1"/>
    <col min="12293" max="12293" width="17" style="219" bestFit="1" customWidth="1"/>
    <col min="12294" max="12294" width="17" style="219" customWidth="1"/>
    <col min="12295" max="12295" width="11.109375" style="219" bestFit="1" customWidth="1"/>
    <col min="12296" max="12296" width="14.88671875" style="219" bestFit="1" customWidth="1"/>
    <col min="12297" max="12298" width="14.88671875" style="219" customWidth="1"/>
    <col min="12299" max="12299" width="10" style="219" bestFit="1" customWidth="1"/>
    <col min="12300" max="12300" width="11.44140625" style="219" bestFit="1" customWidth="1"/>
    <col min="12301" max="12301" width="11.44140625" style="219" customWidth="1"/>
    <col min="12302" max="12303" width="13.6640625" style="219" bestFit="1" customWidth="1"/>
    <col min="12304" max="12544" width="9.109375" style="219"/>
    <col min="12545" max="12545" width="1.33203125" style="219" customWidth="1"/>
    <col min="12546" max="12546" width="6.109375" style="219" bestFit="1" customWidth="1"/>
    <col min="12547" max="12547" width="17.33203125" style="219" bestFit="1" customWidth="1"/>
    <col min="12548" max="12548" width="8.44140625" style="219" bestFit="1" customWidth="1"/>
    <col min="12549" max="12549" width="17" style="219" bestFit="1" customWidth="1"/>
    <col min="12550" max="12550" width="17" style="219" customWidth="1"/>
    <col min="12551" max="12551" width="11.109375" style="219" bestFit="1" customWidth="1"/>
    <col min="12552" max="12552" width="14.88671875" style="219" bestFit="1" customWidth="1"/>
    <col min="12553" max="12554" width="14.88671875" style="219" customWidth="1"/>
    <col min="12555" max="12555" width="10" style="219" bestFit="1" customWidth="1"/>
    <col min="12556" max="12556" width="11.44140625" style="219" bestFit="1" customWidth="1"/>
    <col min="12557" max="12557" width="11.44140625" style="219" customWidth="1"/>
    <col min="12558" max="12559" width="13.6640625" style="219" bestFit="1" customWidth="1"/>
    <col min="12560" max="12800" width="9.109375" style="219"/>
    <col min="12801" max="12801" width="1.33203125" style="219" customWidth="1"/>
    <col min="12802" max="12802" width="6.109375" style="219" bestFit="1" customWidth="1"/>
    <col min="12803" max="12803" width="17.33203125" style="219" bestFit="1" customWidth="1"/>
    <col min="12804" max="12804" width="8.44140625" style="219" bestFit="1" customWidth="1"/>
    <col min="12805" max="12805" width="17" style="219" bestFit="1" customWidth="1"/>
    <col min="12806" max="12806" width="17" style="219" customWidth="1"/>
    <col min="12807" max="12807" width="11.109375" style="219" bestFit="1" customWidth="1"/>
    <col min="12808" max="12808" width="14.88671875" style="219" bestFit="1" customWidth="1"/>
    <col min="12809" max="12810" width="14.88671875" style="219" customWidth="1"/>
    <col min="12811" max="12811" width="10" style="219" bestFit="1" customWidth="1"/>
    <col min="12812" max="12812" width="11.44140625" style="219" bestFit="1" customWidth="1"/>
    <col min="12813" max="12813" width="11.44140625" style="219" customWidth="1"/>
    <col min="12814" max="12815" width="13.6640625" style="219" bestFit="1" customWidth="1"/>
    <col min="12816" max="13056" width="9.109375" style="219"/>
    <col min="13057" max="13057" width="1.33203125" style="219" customWidth="1"/>
    <col min="13058" max="13058" width="6.109375" style="219" bestFit="1" customWidth="1"/>
    <col min="13059" max="13059" width="17.33203125" style="219" bestFit="1" customWidth="1"/>
    <col min="13060" max="13060" width="8.44140625" style="219" bestFit="1" customWidth="1"/>
    <col min="13061" max="13061" width="17" style="219" bestFit="1" customWidth="1"/>
    <col min="13062" max="13062" width="17" style="219" customWidth="1"/>
    <col min="13063" max="13063" width="11.109375" style="219" bestFit="1" customWidth="1"/>
    <col min="13064" max="13064" width="14.88671875" style="219" bestFit="1" customWidth="1"/>
    <col min="13065" max="13066" width="14.88671875" style="219" customWidth="1"/>
    <col min="13067" max="13067" width="10" style="219" bestFit="1" customWidth="1"/>
    <col min="13068" max="13068" width="11.44140625" style="219" bestFit="1" customWidth="1"/>
    <col min="13069" max="13069" width="11.44140625" style="219" customWidth="1"/>
    <col min="13070" max="13071" width="13.6640625" style="219" bestFit="1" customWidth="1"/>
    <col min="13072" max="13312" width="9.109375" style="219"/>
    <col min="13313" max="13313" width="1.33203125" style="219" customWidth="1"/>
    <col min="13314" max="13314" width="6.109375" style="219" bestFit="1" customWidth="1"/>
    <col min="13315" max="13315" width="17.33203125" style="219" bestFit="1" customWidth="1"/>
    <col min="13316" max="13316" width="8.44140625" style="219" bestFit="1" customWidth="1"/>
    <col min="13317" max="13317" width="17" style="219" bestFit="1" customWidth="1"/>
    <col min="13318" max="13318" width="17" style="219" customWidth="1"/>
    <col min="13319" max="13319" width="11.109375" style="219" bestFit="1" customWidth="1"/>
    <col min="13320" max="13320" width="14.88671875" style="219" bestFit="1" customWidth="1"/>
    <col min="13321" max="13322" width="14.88671875" style="219" customWidth="1"/>
    <col min="13323" max="13323" width="10" style="219" bestFit="1" customWidth="1"/>
    <col min="13324" max="13324" width="11.44140625" style="219" bestFit="1" customWidth="1"/>
    <col min="13325" max="13325" width="11.44140625" style="219" customWidth="1"/>
    <col min="13326" max="13327" width="13.6640625" style="219" bestFit="1" customWidth="1"/>
    <col min="13328" max="13568" width="9.109375" style="219"/>
    <col min="13569" max="13569" width="1.33203125" style="219" customWidth="1"/>
    <col min="13570" max="13570" width="6.109375" style="219" bestFit="1" customWidth="1"/>
    <col min="13571" max="13571" width="17.33203125" style="219" bestFit="1" customWidth="1"/>
    <col min="13572" max="13572" width="8.44140625" style="219" bestFit="1" customWidth="1"/>
    <col min="13573" max="13573" width="17" style="219" bestFit="1" customWidth="1"/>
    <col min="13574" max="13574" width="17" style="219" customWidth="1"/>
    <col min="13575" max="13575" width="11.109375" style="219" bestFit="1" customWidth="1"/>
    <col min="13576" max="13576" width="14.88671875" style="219" bestFit="1" customWidth="1"/>
    <col min="13577" max="13578" width="14.88671875" style="219" customWidth="1"/>
    <col min="13579" max="13579" width="10" style="219" bestFit="1" customWidth="1"/>
    <col min="13580" max="13580" width="11.44140625" style="219" bestFit="1" customWidth="1"/>
    <col min="13581" max="13581" width="11.44140625" style="219" customWidth="1"/>
    <col min="13582" max="13583" width="13.6640625" style="219" bestFit="1" customWidth="1"/>
    <col min="13584" max="13824" width="9.109375" style="219"/>
    <col min="13825" max="13825" width="1.33203125" style="219" customWidth="1"/>
    <col min="13826" max="13826" width="6.109375" style="219" bestFit="1" customWidth="1"/>
    <col min="13827" max="13827" width="17.33203125" style="219" bestFit="1" customWidth="1"/>
    <col min="13828" max="13828" width="8.44140625" style="219" bestFit="1" customWidth="1"/>
    <col min="13829" max="13829" width="17" style="219" bestFit="1" customWidth="1"/>
    <col min="13830" max="13830" width="17" style="219" customWidth="1"/>
    <col min="13831" max="13831" width="11.109375" style="219" bestFit="1" customWidth="1"/>
    <col min="13832" max="13832" width="14.88671875" style="219" bestFit="1" customWidth="1"/>
    <col min="13833" max="13834" width="14.88671875" style="219" customWidth="1"/>
    <col min="13835" max="13835" width="10" style="219" bestFit="1" customWidth="1"/>
    <col min="13836" max="13836" width="11.44140625" style="219" bestFit="1" customWidth="1"/>
    <col min="13837" max="13837" width="11.44140625" style="219" customWidth="1"/>
    <col min="13838" max="13839" width="13.6640625" style="219" bestFit="1" customWidth="1"/>
    <col min="13840" max="14080" width="9.109375" style="219"/>
    <col min="14081" max="14081" width="1.33203125" style="219" customWidth="1"/>
    <col min="14082" max="14082" width="6.109375" style="219" bestFit="1" customWidth="1"/>
    <col min="14083" max="14083" width="17.33203125" style="219" bestFit="1" customWidth="1"/>
    <col min="14084" max="14084" width="8.44140625" style="219" bestFit="1" customWidth="1"/>
    <col min="14085" max="14085" width="17" style="219" bestFit="1" customWidth="1"/>
    <col min="14086" max="14086" width="17" style="219" customWidth="1"/>
    <col min="14087" max="14087" width="11.109375" style="219" bestFit="1" customWidth="1"/>
    <col min="14088" max="14088" width="14.88671875" style="219" bestFit="1" customWidth="1"/>
    <col min="14089" max="14090" width="14.88671875" style="219" customWidth="1"/>
    <col min="14091" max="14091" width="10" style="219" bestFit="1" customWidth="1"/>
    <col min="14092" max="14092" width="11.44140625" style="219" bestFit="1" customWidth="1"/>
    <col min="14093" max="14093" width="11.44140625" style="219" customWidth="1"/>
    <col min="14094" max="14095" width="13.6640625" style="219" bestFit="1" customWidth="1"/>
    <col min="14096" max="14336" width="9.109375" style="219"/>
    <col min="14337" max="14337" width="1.33203125" style="219" customWidth="1"/>
    <col min="14338" max="14338" width="6.109375" style="219" bestFit="1" customWidth="1"/>
    <col min="14339" max="14339" width="17.33203125" style="219" bestFit="1" customWidth="1"/>
    <col min="14340" max="14340" width="8.44140625" style="219" bestFit="1" customWidth="1"/>
    <col min="14341" max="14341" width="17" style="219" bestFit="1" customWidth="1"/>
    <col min="14342" max="14342" width="17" style="219" customWidth="1"/>
    <col min="14343" max="14343" width="11.109375" style="219" bestFit="1" customWidth="1"/>
    <col min="14344" max="14344" width="14.88671875" style="219" bestFit="1" customWidth="1"/>
    <col min="14345" max="14346" width="14.88671875" style="219" customWidth="1"/>
    <col min="14347" max="14347" width="10" style="219" bestFit="1" customWidth="1"/>
    <col min="14348" max="14348" width="11.44140625" style="219" bestFit="1" customWidth="1"/>
    <col min="14349" max="14349" width="11.44140625" style="219" customWidth="1"/>
    <col min="14350" max="14351" width="13.6640625" style="219" bestFit="1" customWidth="1"/>
    <col min="14352" max="14592" width="9.109375" style="219"/>
    <col min="14593" max="14593" width="1.33203125" style="219" customWidth="1"/>
    <col min="14594" max="14594" width="6.109375" style="219" bestFit="1" customWidth="1"/>
    <col min="14595" max="14595" width="17.33203125" style="219" bestFit="1" customWidth="1"/>
    <col min="14596" max="14596" width="8.44140625" style="219" bestFit="1" customWidth="1"/>
    <col min="14597" max="14597" width="17" style="219" bestFit="1" customWidth="1"/>
    <col min="14598" max="14598" width="17" style="219" customWidth="1"/>
    <col min="14599" max="14599" width="11.109375" style="219" bestFit="1" customWidth="1"/>
    <col min="14600" max="14600" width="14.88671875" style="219" bestFit="1" customWidth="1"/>
    <col min="14601" max="14602" width="14.88671875" style="219" customWidth="1"/>
    <col min="14603" max="14603" width="10" style="219" bestFit="1" customWidth="1"/>
    <col min="14604" max="14604" width="11.44140625" style="219" bestFit="1" customWidth="1"/>
    <col min="14605" max="14605" width="11.44140625" style="219" customWidth="1"/>
    <col min="14606" max="14607" width="13.6640625" style="219" bestFit="1" customWidth="1"/>
    <col min="14608" max="14848" width="9.109375" style="219"/>
    <col min="14849" max="14849" width="1.33203125" style="219" customWidth="1"/>
    <col min="14850" max="14850" width="6.109375" style="219" bestFit="1" customWidth="1"/>
    <col min="14851" max="14851" width="17.33203125" style="219" bestFit="1" customWidth="1"/>
    <col min="14852" max="14852" width="8.44140625" style="219" bestFit="1" customWidth="1"/>
    <col min="14853" max="14853" width="17" style="219" bestFit="1" customWidth="1"/>
    <col min="14854" max="14854" width="17" style="219" customWidth="1"/>
    <col min="14855" max="14855" width="11.109375" style="219" bestFit="1" customWidth="1"/>
    <col min="14856" max="14856" width="14.88671875" style="219" bestFit="1" customWidth="1"/>
    <col min="14857" max="14858" width="14.88671875" style="219" customWidth="1"/>
    <col min="14859" max="14859" width="10" style="219" bestFit="1" customWidth="1"/>
    <col min="14860" max="14860" width="11.44140625" style="219" bestFit="1" customWidth="1"/>
    <col min="14861" max="14861" width="11.44140625" style="219" customWidth="1"/>
    <col min="14862" max="14863" width="13.6640625" style="219" bestFit="1" customWidth="1"/>
    <col min="14864" max="15104" width="9.109375" style="219"/>
    <col min="15105" max="15105" width="1.33203125" style="219" customWidth="1"/>
    <col min="15106" max="15106" width="6.109375" style="219" bestFit="1" customWidth="1"/>
    <col min="15107" max="15107" width="17.33203125" style="219" bestFit="1" customWidth="1"/>
    <col min="15108" max="15108" width="8.44140625" style="219" bestFit="1" customWidth="1"/>
    <col min="15109" max="15109" width="17" style="219" bestFit="1" customWidth="1"/>
    <col min="15110" max="15110" width="17" style="219" customWidth="1"/>
    <col min="15111" max="15111" width="11.109375" style="219" bestFit="1" customWidth="1"/>
    <col min="15112" max="15112" width="14.88671875" style="219" bestFit="1" customWidth="1"/>
    <col min="15113" max="15114" width="14.88671875" style="219" customWidth="1"/>
    <col min="15115" max="15115" width="10" style="219" bestFit="1" customWidth="1"/>
    <col min="15116" max="15116" width="11.44140625" style="219" bestFit="1" customWidth="1"/>
    <col min="15117" max="15117" width="11.44140625" style="219" customWidth="1"/>
    <col min="15118" max="15119" width="13.6640625" style="219" bestFit="1" customWidth="1"/>
    <col min="15120" max="15360" width="9.109375" style="219"/>
    <col min="15361" max="15361" width="1.33203125" style="219" customWidth="1"/>
    <col min="15362" max="15362" width="6.109375" style="219" bestFit="1" customWidth="1"/>
    <col min="15363" max="15363" width="17.33203125" style="219" bestFit="1" customWidth="1"/>
    <col min="15364" max="15364" width="8.44140625" style="219" bestFit="1" customWidth="1"/>
    <col min="15365" max="15365" width="17" style="219" bestFit="1" customWidth="1"/>
    <col min="15366" max="15366" width="17" style="219" customWidth="1"/>
    <col min="15367" max="15367" width="11.109375" style="219" bestFit="1" customWidth="1"/>
    <col min="15368" max="15368" width="14.88671875" style="219" bestFit="1" customWidth="1"/>
    <col min="15369" max="15370" width="14.88671875" style="219" customWidth="1"/>
    <col min="15371" max="15371" width="10" style="219" bestFit="1" customWidth="1"/>
    <col min="15372" max="15372" width="11.44140625" style="219" bestFit="1" customWidth="1"/>
    <col min="15373" max="15373" width="11.44140625" style="219" customWidth="1"/>
    <col min="15374" max="15375" width="13.6640625" style="219" bestFit="1" customWidth="1"/>
    <col min="15376" max="15616" width="9.109375" style="219"/>
    <col min="15617" max="15617" width="1.33203125" style="219" customWidth="1"/>
    <col min="15618" max="15618" width="6.109375" style="219" bestFit="1" customWidth="1"/>
    <col min="15619" max="15619" width="17.33203125" style="219" bestFit="1" customWidth="1"/>
    <col min="15620" max="15620" width="8.44140625" style="219" bestFit="1" customWidth="1"/>
    <col min="15621" max="15621" width="17" style="219" bestFit="1" customWidth="1"/>
    <col min="15622" max="15622" width="17" style="219" customWidth="1"/>
    <col min="15623" max="15623" width="11.109375" style="219" bestFit="1" customWidth="1"/>
    <col min="15624" max="15624" width="14.88671875" style="219" bestFit="1" customWidth="1"/>
    <col min="15625" max="15626" width="14.88671875" style="219" customWidth="1"/>
    <col min="15627" max="15627" width="10" style="219" bestFit="1" customWidth="1"/>
    <col min="15628" max="15628" width="11.44140625" style="219" bestFit="1" customWidth="1"/>
    <col min="15629" max="15629" width="11.44140625" style="219" customWidth="1"/>
    <col min="15630" max="15631" width="13.6640625" style="219" bestFit="1" customWidth="1"/>
    <col min="15632" max="15872" width="9.109375" style="219"/>
    <col min="15873" max="15873" width="1.33203125" style="219" customWidth="1"/>
    <col min="15874" max="15874" width="6.109375" style="219" bestFit="1" customWidth="1"/>
    <col min="15875" max="15875" width="17.33203125" style="219" bestFit="1" customWidth="1"/>
    <col min="15876" max="15876" width="8.44140625" style="219" bestFit="1" customWidth="1"/>
    <col min="15877" max="15877" width="17" style="219" bestFit="1" customWidth="1"/>
    <col min="15878" max="15878" width="17" style="219" customWidth="1"/>
    <col min="15879" max="15879" width="11.109375" style="219" bestFit="1" customWidth="1"/>
    <col min="15880" max="15880" width="14.88671875" style="219" bestFit="1" customWidth="1"/>
    <col min="15881" max="15882" width="14.88671875" style="219" customWidth="1"/>
    <col min="15883" max="15883" width="10" style="219" bestFit="1" customWidth="1"/>
    <col min="15884" max="15884" width="11.44140625" style="219" bestFit="1" customWidth="1"/>
    <col min="15885" max="15885" width="11.44140625" style="219" customWidth="1"/>
    <col min="15886" max="15887" width="13.6640625" style="219" bestFit="1" customWidth="1"/>
    <col min="15888" max="16128" width="9.109375" style="219"/>
    <col min="16129" max="16129" width="1.33203125" style="219" customWidth="1"/>
    <col min="16130" max="16130" width="6.109375" style="219" bestFit="1" customWidth="1"/>
    <col min="16131" max="16131" width="17.33203125" style="219" bestFit="1" customWidth="1"/>
    <col min="16132" max="16132" width="8.44140625" style="219" bestFit="1" customWidth="1"/>
    <col min="16133" max="16133" width="17" style="219" bestFit="1" customWidth="1"/>
    <col min="16134" max="16134" width="17" style="219" customWidth="1"/>
    <col min="16135" max="16135" width="11.109375" style="219" bestFit="1" customWidth="1"/>
    <col min="16136" max="16136" width="14.88671875" style="219" bestFit="1" customWidth="1"/>
    <col min="16137" max="16138" width="14.88671875" style="219" customWidth="1"/>
    <col min="16139" max="16139" width="10" style="219" bestFit="1" customWidth="1"/>
    <col min="16140" max="16140" width="11.44140625" style="219" bestFit="1" customWidth="1"/>
    <col min="16141" max="16141" width="11.44140625" style="219" customWidth="1"/>
    <col min="16142" max="16143" width="13.6640625" style="219" bestFit="1" customWidth="1"/>
    <col min="16144" max="16384" width="9.109375" style="219"/>
  </cols>
  <sheetData>
    <row r="2" spans="2:15">
      <c r="B2" s="217" t="s">
        <v>379</v>
      </c>
      <c r="C2" s="217" t="s">
        <v>272</v>
      </c>
      <c r="D2" s="217" t="s">
        <v>273</v>
      </c>
      <c r="E2" s="217" t="s">
        <v>380</v>
      </c>
      <c r="F2" s="217" t="s">
        <v>381</v>
      </c>
      <c r="G2" s="217" t="s">
        <v>275</v>
      </c>
      <c r="H2" s="217" t="s">
        <v>382</v>
      </c>
      <c r="I2" s="218" t="s">
        <v>383</v>
      </c>
      <c r="J2" s="218" t="s">
        <v>384</v>
      </c>
      <c r="K2" s="217" t="s">
        <v>385</v>
      </c>
      <c r="L2" s="217" t="s">
        <v>386</v>
      </c>
      <c r="M2" s="218" t="s">
        <v>92</v>
      </c>
      <c r="N2" s="217" t="s">
        <v>387</v>
      </c>
      <c r="O2" s="217"/>
    </row>
    <row r="3" spans="2:15">
      <c r="B3" s="219">
        <v>1</v>
      </c>
      <c r="C3" s="219" t="s">
        <v>388</v>
      </c>
      <c r="D3" s="220">
        <v>315.10000000000002</v>
      </c>
      <c r="E3" s="220">
        <v>969.67</v>
      </c>
      <c r="F3" s="220">
        <f>E3*D3</f>
        <v>305543.01699999999</v>
      </c>
      <c r="G3" s="220">
        <v>242009.49</v>
      </c>
      <c r="H3" s="220">
        <v>6847.34</v>
      </c>
      <c r="I3" s="220">
        <f>G3-H3</f>
        <v>235162.15</v>
      </c>
      <c r="J3" s="220">
        <f>F3+G3-H3</f>
        <v>540705.16700000002</v>
      </c>
      <c r="K3" s="220">
        <v>539728.97</v>
      </c>
      <c r="L3" s="220">
        <v>185891.75</v>
      </c>
      <c r="M3" s="220">
        <v>59485.36</v>
      </c>
      <c r="N3" s="220">
        <v>22546.06</v>
      </c>
      <c r="O3" s="220"/>
    </row>
    <row r="4" spans="2:15">
      <c r="B4" s="219">
        <v>2</v>
      </c>
      <c r="C4" s="219" t="s">
        <v>389</v>
      </c>
      <c r="D4" s="220">
        <v>282.14999999999998</v>
      </c>
      <c r="E4" s="220">
        <v>930.06</v>
      </c>
      <c r="F4" s="220">
        <f t="shared" ref="F4:F39" si="0">E4*D4</f>
        <v>262416.42899999995</v>
      </c>
      <c r="G4" s="220">
        <v>122567.5</v>
      </c>
      <c r="H4" s="220">
        <v>7495.12</v>
      </c>
      <c r="I4" s="220">
        <f t="shared" ref="I4:I12" si="1">G4-H4</f>
        <v>115072.38</v>
      </c>
      <c r="J4" s="220">
        <f t="shared" ref="J4:J39" si="2">F4+G4-H4</f>
        <v>377488.80899999995</v>
      </c>
      <c r="K4" s="220">
        <v>376028.47</v>
      </c>
      <c r="L4" s="220">
        <v>45495.08</v>
      </c>
      <c r="M4" s="220">
        <v>40490.621200000001</v>
      </c>
      <c r="N4" s="220">
        <v>15544.9</v>
      </c>
      <c r="O4" s="220"/>
    </row>
    <row r="5" spans="2:15">
      <c r="B5" s="219">
        <v>3</v>
      </c>
      <c r="C5" s="219" t="s">
        <v>390</v>
      </c>
      <c r="D5" s="220">
        <v>503.65</v>
      </c>
      <c r="E5" s="220">
        <v>385.69</v>
      </c>
      <c r="F5" s="220">
        <f t="shared" si="0"/>
        <v>194252.76849999998</v>
      </c>
      <c r="G5" s="220">
        <v>37704.97</v>
      </c>
      <c r="H5" s="220">
        <v>7211.76</v>
      </c>
      <c r="I5" s="220">
        <f t="shared" si="1"/>
        <v>30493.21</v>
      </c>
      <c r="J5" s="220">
        <f t="shared" si="2"/>
        <v>224745.97849999997</v>
      </c>
      <c r="K5" s="220">
        <v>225838.07999999999</v>
      </c>
      <c r="L5" s="220">
        <v>55329.38</v>
      </c>
      <c r="M5" s="220">
        <v>24344.927199999998</v>
      </c>
      <c r="N5" s="220">
        <v>12887.62</v>
      </c>
      <c r="O5" s="220"/>
    </row>
    <row r="6" spans="2:15">
      <c r="B6" s="219">
        <v>4</v>
      </c>
      <c r="C6" s="219" t="s">
        <v>391</v>
      </c>
      <c r="D6" s="220">
        <v>1000.25</v>
      </c>
      <c r="E6" s="220">
        <v>158.4</v>
      </c>
      <c r="F6" s="220">
        <f t="shared" si="0"/>
        <v>158439.6</v>
      </c>
      <c r="G6" s="220">
        <v>67430</v>
      </c>
      <c r="H6" s="220">
        <v>8764</v>
      </c>
      <c r="I6" s="220">
        <f t="shared" si="1"/>
        <v>58666</v>
      </c>
      <c r="J6" s="220">
        <f t="shared" si="2"/>
        <v>217105.6</v>
      </c>
      <c r="K6" s="220">
        <v>220000.92</v>
      </c>
      <c r="L6" s="220">
        <v>10782</v>
      </c>
      <c r="M6" s="220">
        <v>9272.52</v>
      </c>
      <c r="N6" s="220">
        <v>1928</v>
      </c>
      <c r="O6" s="220"/>
    </row>
    <row r="7" spans="2:15">
      <c r="B7" s="219">
        <v>5</v>
      </c>
      <c r="C7" s="219" t="s">
        <v>392</v>
      </c>
      <c r="D7" s="220">
        <v>365.95</v>
      </c>
      <c r="E7" s="220">
        <v>319.52999999999997</v>
      </c>
      <c r="F7" s="220">
        <f t="shared" si="0"/>
        <v>116932.00349999999</v>
      </c>
      <c r="G7" s="220">
        <v>58313.94</v>
      </c>
      <c r="H7" s="220">
        <v>9151.91</v>
      </c>
      <c r="I7" s="220">
        <f t="shared" si="1"/>
        <v>49162.03</v>
      </c>
      <c r="J7" s="220">
        <f t="shared" si="2"/>
        <v>166094.03349999999</v>
      </c>
      <c r="K7" s="220">
        <v>166029.07</v>
      </c>
      <c r="L7" s="220">
        <v>64228.93</v>
      </c>
      <c r="M7" s="220">
        <v>14772.653900000001</v>
      </c>
      <c r="N7" s="220">
        <v>4514.84</v>
      </c>
      <c r="O7" s="220"/>
    </row>
    <row r="8" spans="2:15">
      <c r="B8" s="219">
        <v>6</v>
      </c>
      <c r="C8" s="219" t="s">
        <v>393</v>
      </c>
      <c r="D8" s="220">
        <v>112</v>
      </c>
      <c r="E8" s="220">
        <v>842.63</v>
      </c>
      <c r="F8" s="220">
        <f t="shared" si="0"/>
        <v>94374.56</v>
      </c>
      <c r="G8" s="220">
        <v>13856.58</v>
      </c>
      <c r="H8" s="220">
        <v>472.14</v>
      </c>
      <c r="I8" s="220">
        <f t="shared" si="1"/>
        <v>13384.44</v>
      </c>
      <c r="J8" s="220">
        <f t="shared" si="2"/>
        <v>107759</v>
      </c>
      <c r="K8" s="220">
        <v>107759.33</v>
      </c>
      <c r="L8" s="220">
        <v>1962.6</v>
      </c>
      <c r="M8" s="220">
        <v>1825.2180000000001</v>
      </c>
      <c r="N8" s="220">
        <v>344.72</v>
      </c>
      <c r="O8" s="220"/>
    </row>
    <row r="9" spans="2:15">
      <c r="B9" s="219">
        <v>7</v>
      </c>
      <c r="C9" s="219" t="s">
        <v>394</v>
      </c>
      <c r="D9" s="220">
        <v>775.75</v>
      </c>
      <c r="E9" s="220">
        <v>120.13</v>
      </c>
      <c r="F9" s="220">
        <f t="shared" si="0"/>
        <v>93190.847500000003</v>
      </c>
      <c r="G9" s="220">
        <v>39008.720000000001</v>
      </c>
      <c r="H9" s="220">
        <v>2228.14</v>
      </c>
      <c r="I9" s="220">
        <f t="shared" si="1"/>
        <v>36780.58</v>
      </c>
      <c r="J9" s="220">
        <f t="shared" si="2"/>
        <v>129971.42750000001</v>
      </c>
      <c r="K9" s="220">
        <v>126137.98</v>
      </c>
      <c r="L9" s="220">
        <v>22099.360000000001</v>
      </c>
      <c r="M9" s="220">
        <v>7292.7888000000003</v>
      </c>
      <c r="N9" s="220">
        <v>589.32000000000005</v>
      </c>
      <c r="O9" s="220"/>
    </row>
    <row r="10" spans="2:15">
      <c r="B10" s="219">
        <v>8</v>
      </c>
      <c r="C10" s="219" t="s">
        <v>395</v>
      </c>
      <c r="D10" s="220">
        <v>493.5</v>
      </c>
      <c r="E10" s="220">
        <v>174.78</v>
      </c>
      <c r="F10" s="220">
        <f t="shared" si="0"/>
        <v>86253.930000000008</v>
      </c>
      <c r="G10" s="220">
        <v>30853.06</v>
      </c>
      <c r="H10" s="220">
        <v>4206.6000000000004</v>
      </c>
      <c r="I10" s="220">
        <f t="shared" si="1"/>
        <v>26646.46</v>
      </c>
      <c r="J10" s="220">
        <f t="shared" si="2"/>
        <v>112900.39</v>
      </c>
      <c r="K10" s="220">
        <v>113193.91</v>
      </c>
      <c r="L10" s="220">
        <v>11311.87</v>
      </c>
      <c r="M10" s="220">
        <v>5882.1724000000004</v>
      </c>
      <c r="N10" s="220">
        <v>1913.64</v>
      </c>
      <c r="O10" s="220"/>
    </row>
    <row r="11" spans="2:15">
      <c r="B11" s="219">
        <v>9</v>
      </c>
      <c r="C11" s="219" t="s">
        <v>396</v>
      </c>
      <c r="D11" s="220">
        <v>78.5</v>
      </c>
      <c r="E11" s="220">
        <v>1004.5</v>
      </c>
      <c r="F11" s="220">
        <f t="shared" si="0"/>
        <v>78853.25</v>
      </c>
      <c r="G11" s="220">
        <v>34210.300000000003</v>
      </c>
      <c r="H11" s="220">
        <v>3622.38</v>
      </c>
      <c r="I11" s="220">
        <f t="shared" si="1"/>
        <v>30587.920000000002</v>
      </c>
      <c r="J11" s="220">
        <f t="shared" si="2"/>
        <v>109441.17</v>
      </c>
      <c r="K11" s="220">
        <v>110282.86</v>
      </c>
      <c r="L11" s="220">
        <v>9689.77</v>
      </c>
      <c r="M11" s="220">
        <v>7073.5321000000004</v>
      </c>
      <c r="N11" s="220">
        <v>3417.11</v>
      </c>
      <c r="O11" s="220"/>
    </row>
    <row r="12" spans="2:15">
      <c r="B12" s="219">
        <v>10</v>
      </c>
      <c r="C12" s="219" t="s">
        <v>397</v>
      </c>
      <c r="D12" s="220">
        <v>1373.55</v>
      </c>
      <c r="E12" s="220">
        <v>50.39</v>
      </c>
      <c r="F12" s="220">
        <f t="shared" si="0"/>
        <v>69213.184500000003</v>
      </c>
      <c r="G12" s="220">
        <v>11567.44</v>
      </c>
      <c r="H12" s="220">
        <v>418.74</v>
      </c>
      <c r="I12" s="220">
        <f t="shared" si="1"/>
        <v>11148.7</v>
      </c>
      <c r="J12" s="220">
        <f t="shared" si="2"/>
        <v>80361.8845</v>
      </c>
      <c r="K12" s="220">
        <v>80335.27</v>
      </c>
      <c r="L12" s="220">
        <v>29237.5</v>
      </c>
      <c r="M12" s="220">
        <v>5847.5</v>
      </c>
      <c r="N12" s="220">
        <v>2428.4299999999998</v>
      </c>
      <c r="O12" s="220"/>
    </row>
    <row r="13" spans="2:15"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</row>
    <row r="14" spans="2:15"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</row>
    <row r="15" spans="2:15"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</row>
    <row r="16" spans="2:15"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</row>
    <row r="17" spans="2:15"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</row>
    <row r="18" spans="2:15"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</row>
    <row r="19" spans="2:15"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</row>
    <row r="20" spans="2:15">
      <c r="B20" s="219">
        <v>11</v>
      </c>
      <c r="C20" s="219" t="s">
        <v>398</v>
      </c>
      <c r="D20" s="220">
        <v>97.02</v>
      </c>
      <c r="E20" s="220">
        <v>392.98</v>
      </c>
      <c r="F20" s="220">
        <f t="shared" si="0"/>
        <v>38126.919600000001</v>
      </c>
      <c r="G20" s="220">
        <v>23883.68</v>
      </c>
      <c r="H20" s="220">
        <v>3749.81</v>
      </c>
      <c r="I20" s="220"/>
      <c r="J20" s="220">
        <f t="shared" si="2"/>
        <v>58260.789600000004</v>
      </c>
      <c r="K20" s="220">
        <v>57997.03</v>
      </c>
      <c r="L20" s="220">
        <v>2922.84</v>
      </c>
      <c r="M20" s="220">
        <v>2425.9571999999998</v>
      </c>
      <c r="N20" s="220">
        <v>997.04</v>
      </c>
      <c r="O20" s="220"/>
    </row>
    <row r="21" spans="2:15">
      <c r="B21" s="219">
        <v>12</v>
      </c>
      <c r="C21" s="219" t="s">
        <v>399</v>
      </c>
      <c r="D21" s="220">
        <v>219.15</v>
      </c>
      <c r="E21" s="220">
        <v>138.66</v>
      </c>
      <c r="F21" s="220">
        <f t="shared" si="0"/>
        <v>30387.339</v>
      </c>
      <c r="G21" s="220">
        <v>22521.46</v>
      </c>
      <c r="H21" s="220">
        <v>745.59</v>
      </c>
      <c r="I21" s="220"/>
      <c r="J21" s="220">
        <f t="shared" si="2"/>
        <v>52163.209000000003</v>
      </c>
      <c r="K21" s="220">
        <v>51965.77</v>
      </c>
      <c r="L21" s="220">
        <v>14985.34</v>
      </c>
      <c r="M21" s="220">
        <v>5544.5757999999996</v>
      </c>
      <c r="N21" s="220">
        <v>2359.0700000000002</v>
      </c>
      <c r="O21" s="220"/>
    </row>
    <row r="22" spans="2:15">
      <c r="B22" s="219">
        <v>13</v>
      </c>
      <c r="C22" s="219" t="s">
        <v>400</v>
      </c>
      <c r="D22" s="220">
        <v>138.5</v>
      </c>
      <c r="E22" s="220">
        <v>132.56</v>
      </c>
      <c r="F22" s="220">
        <f t="shared" si="0"/>
        <v>18359.560000000001</v>
      </c>
      <c r="G22" s="220">
        <v>15572</v>
      </c>
      <c r="H22" s="220">
        <v>2711.35</v>
      </c>
      <c r="I22" s="220"/>
      <c r="J22" s="220">
        <f t="shared" si="2"/>
        <v>31220.21</v>
      </c>
      <c r="K22" s="220">
        <v>30851.16</v>
      </c>
      <c r="L22" s="220">
        <v>16511</v>
      </c>
      <c r="M22" s="220">
        <v>4292.8600000000006</v>
      </c>
      <c r="N22" s="220">
        <v>1458</v>
      </c>
      <c r="O22" s="220"/>
    </row>
    <row r="23" spans="2:15">
      <c r="B23" s="219">
        <v>14</v>
      </c>
      <c r="C23" s="219" t="s">
        <v>401</v>
      </c>
      <c r="D23" s="220">
        <v>42.25</v>
      </c>
      <c r="E23" s="220">
        <v>401.7</v>
      </c>
      <c r="F23" s="220">
        <f t="shared" si="0"/>
        <v>16971.825000000001</v>
      </c>
      <c r="G23" s="220">
        <v>14902.83</v>
      </c>
      <c r="H23" s="220">
        <v>917.6</v>
      </c>
      <c r="I23" s="220"/>
      <c r="J23" s="220">
        <f t="shared" si="2"/>
        <v>30957.055</v>
      </c>
      <c r="K23" s="220">
        <v>31027.85</v>
      </c>
      <c r="L23" s="220">
        <v>7601.53</v>
      </c>
      <c r="M23" s="220">
        <v>2508.5048999999999</v>
      </c>
      <c r="N23" s="220">
        <v>2424.69</v>
      </c>
      <c r="O23" s="220"/>
    </row>
    <row r="24" spans="2:15">
      <c r="B24" s="219">
        <v>15</v>
      </c>
      <c r="C24" s="219" t="s">
        <v>402</v>
      </c>
      <c r="D24" s="220">
        <v>9280.15</v>
      </c>
      <c r="E24" s="220">
        <v>1.2</v>
      </c>
      <c r="F24" s="220">
        <f t="shared" si="0"/>
        <v>11136.179999999998</v>
      </c>
      <c r="G24" s="220">
        <v>1475.23</v>
      </c>
      <c r="H24" s="220">
        <v>54.08</v>
      </c>
      <c r="I24" s="220"/>
      <c r="J24" s="220">
        <f t="shared" si="2"/>
        <v>12557.329999999998</v>
      </c>
      <c r="K24" s="220">
        <v>12123.62</v>
      </c>
      <c r="L24" s="220">
        <v>2813.11</v>
      </c>
      <c r="M24" s="220">
        <v>759.53970000000004</v>
      </c>
      <c r="N24" s="220">
        <v>288.39999999999998</v>
      </c>
      <c r="O24" s="220"/>
    </row>
    <row r="25" spans="2:15">
      <c r="B25" s="219">
        <v>16</v>
      </c>
      <c r="C25" s="219" t="s">
        <v>403</v>
      </c>
      <c r="D25" s="220">
        <v>15.2</v>
      </c>
      <c r="E25" s="220">
        <v>685.35</v>
      </c>
      <c r="F25" s="220">
        <f t="shared" si="0"/>
        <v>10417.32</v>
      </c>
      <c r="G25" s="220">
        <v>4013.97</v>
      </c>
      <c r="H25" s="220">
        <v>957.24</v>
      </c>
      <c r="I25" s="220"/>
      <c r="J25" s="220">
        <f t="shared" si="2"/>
        <v>13474.05</v>
      </c>
      <c r="K25" s="220">
        <v>13155.96</v>
      </c>
      <c r="L25" s="220">
        <v>5636.11</v>
      </c>
      <c r="M25" s="220">
        <v>2761.6938999999998</v>
      </c>
      <c r="N25" s="220">
        <v>1246.67</v>
      </c>
      <c r="O25" s="220"/>
    </row>
    <row r="26" spans="2:15">
      <c r="B26" s="219">
        <v>17</v>
      </c>
      <c r="C26" s="219" t="s">
        <v>404</v>
      </c>
      <c r="D26" s="220">
        <v>11.15</v>
      </c>
      <c r="E26" s="220">
        <v>537.01</v>
      </c>
      <c r="F26" s="220">
        <f t="shared" si="0"/>
        <v>5987.6615000000002</v>
      </c>
      <c r="G26" s="220">
        <v>3463.08</v>
      </c>
      <c r="H26" s="220">
        <v>461.66</v>
      </c>
      <c r="I26" s="220"/>
      <c r="J26" s="220">
        <f t="shared" si="2"/>
        <v>8989.0815000000002</v>
      </c>
      <c r="K26" s="220">
        <v>8988.06</v>
      </c>
      <c r="L26" s="220">
        <v>3261.54</v>
      </c>
      <c r="M26" s="220">
        <v>913.23120000000006</v>
      </c>
      <c r="N26" s="220">
        <v>10761.73</v>
      </c>
      <c r="O26" s="220"/>
    </row>
    <row r="27" spans="2:15">
      <c r="B27" s="219">
        <v>18</v>
      </c>
      <c r="C27" s="219" t="s">
        <v>405</v>
      </c>
      <c r="D27" s="220">
        <v>862.9</v>
      </c>
      <c r="E27" s="220">
        <v>3.77</v>
      </c>
      <c r="F27" s="220">
        <f t="shared" si="0"/>
        <v>3253.1329999999998</v>
      </c>
      <c r="G27" s="220">
        <v>1116.21</v>
      </c>
      <c r="H27" s="220">
        <v>194.56</v>
      </c>
      <c r="I27" s="220"/>
      <c r="J27" s="220">
        <f t="shared" si="2"/>
        <v>4174.7829999999994</v>
      </c>
      <c r="K27" s="220">
        <v>4158.62</v>
      </c>
      <c r="L27" s="220">
        <v>906.52</v>
      </c>
      <c r="M27" s="220">
        <v>643.62919999999997</v>
      </c>
      <c r="N27" s="220">
        <v>326.2</v>
      </c>
      <c r="O27" s="220"/>
    </row>
    <row r="28" spans="2:15">
      <c r="B28" s="219">
        <v>19</v>
      </c>
      <c r="C28" s="219" t="s">
        <v>406</v>
      </c>
      <c r="D28" s="220">
        <v>189.65</v>
      </c>
      <c r="E28" s="220">
        <v>15.13</v>
      </c>
      <c r="F28" s="220">
        <f t="shared" si="0"/>
        <v>2869.4045000000001</v>
      </c>
      <c r="G28" s="220">
        <v>695.66</v>
      </c>
      <c r="H28" s="220">
        <v>610.41999999999996</v>
      </c>
      <c r="I28" s="220"/>
      <c r="J28" s="220">
        <f t="shared" si="2"/>
        <v>2954.6444999999999</v>
      </c>
      <c r="K28" s="220">
        <v>3035.35</v>
      </c>
      <c r="L28" s="220">
        <v>1322.27</v>
      </c>
      <c r="M28" s="220">
        <v>476.0172</v>
      </c>
      <c r="N28" s="220">
        <v>215.3</v>
      </c>
      <c r="O28" s="220"/>
    </row>
    <row r="29" spans="2:15">
      <c r="B29" s="219">
        <v>20</v>
      </c>
      <c r="C29" s="219" t="s">
        <v>407</v>
      </c>
      <c r="D29" s="220">
        <v>15.08</v>
      </c>
      <c r="E29" s="220">
        <v>117.3</v>
      </c>
      <c r="F29" s="220">
        <f t="shared" si="0"/>
        <v>1768.884</v>
      </c>
      <c r="G29" s="220">
        <v>602.04999999999995</v>
      </c>
      <c r="H29" s="220">
        <v>72.8</v>
      </c>
      <c r="I29" s="220"/>
      <c r="J29" s="220">
        <f t="shared" si="2"/>
        <v>2298.134</v>
      </c>
      <c r="K29" s="220">
        <v>2184.0300000000002</v>
      </c>
      <c r="L29" s="220">
        <v>258</v>
      </c>
      <c r="M29" s="220">
        <v>183.17999999999998</v>
      </c>
      <c r="N29" s="220">
        <v>24.8</v>
      </c>
      <c r="O29" s="220"/>
    </row>
    <row r="30" spans="2:15">
      <c r="B30" s="219">
        <v>21</v>
      </c>
      <c r="C30" s="219" t="s">
        <v>408</v>
      </c>
      <c r="D30" s="220">
        <v>15.21</v>
      </c>
      <c r="E30" s="220">
        <v>97.38</v>
      </c>
      <c r="F30" s="220">
        <f t="shared" si="0"/>
        <v>1481.1497999999999</v>
      </c>
      <c r="G30" s="220">
        <v>172.14</v>
      </c>
      <c r="H30" s="220">
        <v>31.38</v>
      </c>
      <c r="I30" s="220"/>
      <c r="J30" s="220">
        <f t="shared" si="2"/>
        <v>1621.9097999999999</v>
      </c>
      <c r="K30" s="220">
        <v>1614.18</v>
      </c>
      <c r="L30" s="220">
        <v>630.30999999999995</v>
      </c>
      <c r="M30" s="220">
        <v>88.243399999999994</v>
      </c>
      <c r="N30" s="220">
        <v>17.79</v>
      </c>
      <c r="O30" s="220"/>
    </row>
    <row r="31" spans="2:15">
      <c r="B31" s="219">
        <v>22</v>
      </c>
      <c r="C31" s="219" t="s">
        <v>409</v>
      </c>
      <c r="D31" s="220">
        <v>576.29999999999995</v>
      </c>
      <c r="E31" s="220">
        <v>1.31</v>
      </c>
      <c r="F31" s="220">
        <f t="shared" si="0"/>
        <v>754.95299999999997</v>
      </c>
      <c r="G31" s="220">
        <v>907.1</v>
      </c>
      <c r="H31" s="220">
        <v>338.04</v>
      </c>
      <c r="I31" s="220"/>
      <c r="J31" s="220">
        <f t="shared" si="2"/>
        <v>1324.0129999999999</v>
      </c>
      <c r="K31" s="220">
        <v>1422.8</v>
      </c>
      <c r="L31" s="220">
        <v>9.9499999999999993</v>
      </c>
      <c r="M31" s="220">
        <v>-8.1589999999999989</v>
      </c>
      <c r="N31" s="220">
        <v>-90.01</v>
      </c>
      <c r="O31" s="220"/>
    </row>
    <row r="32" spans="2:15">
      <c r="B32" s="219">
        <v>23</v>
      </c>
      <c r="C32" s="219" t="s">
        <v>410</v>
      </c>
      <c r="D32" s="220">
        <v>24</v>
      </c>
      <c r="E32" s="220">
        <v>12.88</v>
      </c>
      <c r="F32" s="220">
        <f t="shared" si="0"/>
        <v>309.12</v>
      </c>
      <c r="G32" s="220">
        <v>19.28</v>
      </c>
      <c r="H32" s="220">
        <v>0.48</v>
      </c>
      <c r="I32" s="220"/>
      <c r="J32" s="220">
        <f t="shared" si="2"/>
        <v>327.91999999999996</v>
      </c>
      <c r="K32" s="220">
        <v>303.36</v>
      </c>
      <c r="L32" s="220">
        <v>32.97</v>
      </c>
      <c r="M32" s="220">
        <v>13.847399999999999</v>
      </c>
      <c r="N32" s="220">
        <v>6.67</v>
      </c>
      <c r="O32" s="220"/>
    </row>
    <row r="33" spans="2:15">
      <c r="B33" s="219">
        <v>24</v>
      </c>
      <c r="C33" s="219" t="s">
        <v>411</v>
      </c>
      <c r="D33" s="220">
        <v>90.5</v>
      </c>
      <c r="E33" s="220">
        <v>3.2</v>
      </c>
      <c r="F33" s="220">
        <f t="shared" si="0"/>
        <v>289.60000000000002</v>
      </c>
      <c r="G33" s="220">
        <v>238.79</v>
      </c>
      <c r="H33" s="220">
        <v>3.87</v>
      </c>
      <c r="I33" s="220"/>
      <c r="J33" s="220">
        <f t="shared" si="2"/>
        <v>524.52</v>
      </c>
      <c r="K33" s="220">
        <v>523.77</v>
      </c>
      <c r="L33" s="220">
        <v>1581.39</v>
      </c>
      <c r="M33" s="220">
        <v>47.441700000000004</v>
      </c>
      <c r="N33" s="220">
        <v>11.89</v>
      </c>
      <c r="O33" s="220"/>
    </row>
    <row r="34" spans="2:15">
      <c r="B34" s="219">
        <v>25</v>
      </c>
      <c r="C34" s="219" t="s">
        <v>412</v>
      </c>
      <c r="D34" s="220">
        <v>21.1</v>
      </c>
      <c r="E34" s="220">
        <v>13.58</v>
      </c>
      <c r="F34" s="220">
        <f t="shared" si="0"/>
        <v>286.53800000000001</v>
      </c>
      <c r="G34" s="220">
        <v>7.34</v>
      </c>
      <c r="H34" s="220">
        <v>2.41</v>
      </c>
      <c r="I34" s="220"/>
      <c r="J34" s="220">
        <f t="shared" si="2"/>
        <v>291.46799999999996</v>
      </c>
      <c r="K34" s="220">
        <v>292.88</v>
      </c>
      <c r="L34" s="220">
        <v>17.75</v>
      </c>
      <c r="M34" s="220">
        <v>21.477499999999999</v>
      </c>
      <c r="N34" s="220">
        <v>9.67</v>
      </c>
      <c r="O34" s="220"/>
    </row>
    <row r="35" spans="2:15">
      <c r="B35" s="219">
        <v>26</v>
      </c>
      <c r="C35" s="219" t="s">
        <v>413</v>
      </c>
      <c r="D35" s="220">
        <v>89.51</v>
      </c>
      <c r="E35" s="220">
        <v>1.33</v>
      </c>
      <c r="F35" s="220">
        <f t="shared" si="0"/>
        <v>119.04830000000001</v>
      </c>
      <c r="G35" s="220">
        <v>62.01</v>
      </c>
      <c r="H35" s="220">
        <v>19.260000000000002</v>
      </c>
      <c r="I35" s="220"/>
      <c r="J35" s="220">
        <f t="shared" si="2"/>
        <v>161.79830000000001</v>
      </c>
      <c r="K35" s="220">
        <v>158.16999999999999</v>
      </c>
      <c r="L35" s="220">
        <v>17.420000000000002</v>
      </c>
      <c r="M35" s="220">
        <v>6.619600000000001</v>
      </c>
      <c r="N35" s="220">
        <v>1.3</v>
      </c>
      <c r="O35" s="220"/>
    </row>
    <row r="36" spans="2:15">
      <c r="B36" s="219">
        <v>27</v>
      </c>
      <c r="C36" s="219" t="s">
        <v>414</v>
      </c>
      <c r="D36" s="220">
        <v>23.6</v>
      </c>
      <c r="E36" s="220">
        <v>4.75</v>
      </c>
      <c r="F36" s="220">
        <f t="shared" si="0"/>
        <v>112.10000000000001</v>
      </c>
      <c r="G36" s="220">
        <v>151.38999999999999</v>
      </c>
      <c r="H36" s="220">
        <v>17.98</v>
      </c>
      <c r="I36" s="220"/>
      <c r="J36" s="220">
        <f t="shared" si="2"/>
        <v>245.51000000000002</v>
      </c>
      <c r="K36" s="220">
        <v>246.74</v>
      </c>
      <c r="L36" s="220">
        <v>34.99</v>
      </c>
      <c r="M36" s="220">
        <v>22.043700000000001</v>
      </c>
      <c r="N36" s="220">
        <v>2.59</v>
      </c>
      <c r="O36" s="220"/>
    </row>
    <row r="37" spans="2:15">
      <c r="B37" s="219">
        <v>28</v>
      </c>
      <c r="C37" s="219" t="s">
        <v>415</v>
      </c>
      <c r="D37" s="220">
        <v>62.22</v>
      </c>
      <c r="E37" s="220">
        <v>1.1599999999999999</v>
      </c>
      <c r="F37" s="220">
        <f t="shared" si="0"/>
        <v>72.17519999999999</v>
      </c>
      <c r="G37" s="220">
        <v>0.98</v>
      </c>
      <c r="H37" s="220">
        <v>0.09</v>
      </c>
      <c r="I37" s="220"/>
      <c r="J37" s="220">
        <f t="shared" si="2"/>
        <v>73.06519999999999</v>
      </c>
      <c r="K37" s="220">
        <v>67.83</v>
      </c>
      <c r="L37" s="220">
        <v>9.36</v>
      </c>
      <c r="M37" s="220">
        <v>1.5911999999999999</v>
      </c>
      <c r="N37" s="220">
        <v>-0.08</v>
      </c>
      <c r="O37" s="220"/>
    </row>
    <row r="38" spans="2:15">
      <c r="B38" s="219">
        <v>29</v>
      </c>
      <c r="C38" s="219" t="s">
        <v>416</v>
      </c>
      <c r="D38" s="220">
        <v>31.62</v>
      </c>
      <c r="E38" s="220">
        <v>2.0099999999999998</v>
      </c>
      <c r="F38" s="220">
        <f t="shared" si="0"/>
        <v>63.556199999999997</v>
      </c>
      <c r="G38" s="220">
        <v>0</v>
      </c>
      <c r="H38" s="220">
        <v>4.78</v>
      </c>
      <c r="I38" s="220"/>
      <c r="J38" s="220">
        <f t="shared" si="2"/>
        <v>58.776199999999996</v>
      </c>
      <c r="K38" s="220">
        <v>59.19</v>
      </c>
      <c r="L38" s="220">
        <v>12.32</v>
      </c>
      <c r="M38" s="220">
        <v>13.9216</v>
      </c>
      <c r="N38" s="220">
        <v>8.91</v>
      </c>
      <c r="O38" s="220"/>
    </row>
    <row r="39" spans="2:15">
      <c r="B39" s="219">
        <v>30</v>
      </c>
      <c r="C39" s="219" t="s">
        <v>417</v>
      </c>
      <c r="D39" s="220">
        <v>139</v>
      </c>
      <c r="E39" s="220">
        <v>0.41</v>
      </c>
      <c r="F39" s="220">
        <f t="shared" si="0"/>
        <v>56.989999999999995</v>
      </c>
      <c r="G39" s="220">
        <v>0</v>
      </c>
      <c r="H39" s="220">
        <v>0.04</v>
      </c>
      <c r="I39" s="220"/>
      <c r="J39" s="220">
        <f t="shared" si="2"/>
        <v>56.949999999999996</v>
      </c>
      <c r="K39" s="220">
        <v>57.06</v>
      </c>
      <c r="L39" s="220">
        <v>0.87</v>
      </c>
      <c r="M39" s="220">
        <v>0.2697</v>
      </c>
      <c r="N39" s="220">
        <v>0.26</v>
      </c>
      <c r="O39" s="220"/>
    </row>
  </sheetData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01A9-8AAD-41A6-8441-64D481CA1051}">
  <dimension ref="B3:M101"/>
  <sheetViews>
    <sheetView showGridLines="0" topLeftCell="D1" workbookViewId="0">
      <pane ySplit="5" topLeftCell="A6" activePane="bottomLeft" state="frozen"/>
      <selection pane="bottomLeft" activeCell="M7" sqref="M7"/>
    </sheetView>
  </sheetViews>
  <sheetFormatPr defaultRowHeight="14.4"/>
  <cols>
    <col min="1" max="1" width="1.88671875" style="247" customWidth="1"/>
    <col min="2" max="2" width="38.6640625" style="247" bestFit="1" customWidth="1"/>
    <col min="3" max="3" width="11.6640625" style="247" customWidth="1"/>
    <col min="4" max="4" width="17" style="247" customWidth="1"/>
    <col min="5" max="5" width="15" style="247" customWidth="1"/>
    <col min="6" max="6" width="17.5546875" style="247" customWidth="1"/>
    <col min="7" max="7" width="13.44140625" style="247" customWidth="1"/>
    <col min="8" max="8" width="13.33203125" style="247" customWidth="1"/>
    <col min="9" max="9" width="14.6640625" style="247" customWidth="1"/>
    <col min="10" max="10" width="15.44140625" style="247" customWidth="1"/>
    <col min="11" max="11" width="11.6640625" style="247" customWidth="1"/>
    <col min="12" max="12" width="16" style="247" customWidth="1"/>
    <col min="13" max="13" width="15" style="247" customWidth="1"/>
    <col min="14" max="16384" width="8.88671875" style="247"/>
  </cols>
  <sheetData>
    <row r="3" spans="2:13" ht="21">
      <c r="B3" s="278" t="s">
        <v>552</v>
      </c>
    </row>
    <row r="4" spans="2:13">
      <c r="B4" s="247" t="s">
        <v>551</v>
      </c>
    </row>
    <row r="5" spans="2:13" ht="42">
      <c r="B5" s="276" t="s">
        <v>550</v>
      </c>
      <c r="C5" s="276" t="s">
        <v>549</v>
      </c>
      <c r="D5" s="276" t="s">
        <v>548</v>
      </c>
      <c r="E5" s="276" t="s">
        <v>547</v>
      </c>
      <c r="F5" s="276" t="s">
        <v>546</v>
      </c>
      <c r="G5" s="276" t="s">
        <v>545</v>
      </c>
      <c r="H5" s="276" t="s">
        <v>544</v>
      </c>
      <c r="I5" s="276" t="s">
        <v>543</v>
      </c>
      <c r="J5" s="276" t="s">
        <v>542</v>
      </c>
      <c r="K5" s="276" t="s">
        <v>541</v>
      </c>
      <c r="L5" s="277" t="s">
        <v>332</v>
      </c>
      <c r="M5" s="276" t="s">
        <v>540</v>
      </c>
    </row>
    <row r="6" spans="2:13">
      <c r="B6" s="275" t="s">
        <v>539</v>
      </c>
      <c r="C6" s="274">
        <v>13</v>
      </c>
      <c r="D6" s="273">
        <v>12.254999999999999</v>
      </c>
      <c r="E6" s="273">
        <v>6.1719999999999988</v>
      </c>
      <c r="F6" s="272">
        <v>1.9855800388852887</v>
      </c>
      <c r="G6" s="273">
        <v>15.7</v>
      </c>
      <c r="H6" s="273">
        <v>1.9499999999999993</v>
      </c>
      <c r="I6" s="272">
        <v>0.11509866777887166</v>
      </c>
      <c r="J6" s="272">
        <v>0.92871967524177057</v>
      </c>
      <c r="K6" s="271">
        <v>4.3520758141792797</v>
      </c>
      <c r="L6" s="270">
        <f t="shared" ref="L6:L37" si="0">1/K6</f>
        <v>0.22977540895357343</v>
      </c>
      <c r="M6" s="269">
        <f>VLOOKUP(B6,'[3]Industry Averages'!$A$9:$E$104,5,0)</f>
        <v>0.5859619601682664</v>
      </c>
    </row>
    <row r="7" spans="2:13">
      <c r="B7" s="275" t="s">
        <v>538</v>
      </c>
      <c r="C7" s="274">
        <v>13</v>
      </c>
      <c r="D7" s="273">
        <v>179.85599999999999</v>
      </c>
      <c r="E7" s="273">
        <v>230.04299999999998</v>
      </c>
      <c r="F7" s="272">
        <v>0.78183643927439661</v>
      </c>
      <c r="G7" s="273">
        <v>0</v>
      </c>
      <c r="H7" s="273">
        <v>130.91380000000004</v>
      </c>
      <c r="I7" s="272">
        <v>1.1286262733025205E-2</v>
      </c>
      <c r="J7" s="272">
        <v>8.590057130269689E-2</v>
      </c>
      <c r="K7" s="271">
        <v>2.3987361826292801</v>
      </c>
      <c r="L7" s="270">
        <f t="shared" si="0"/>
        <v>0.41688619500619256</v>
      </c>
      <c r="M7" s="269">
        <f>VLOOKUP(B7,'[3]Industry Averages'!$A$9:$E$104,5,0)</f>
        <v>3.398413975620472E-2</v>
      </c>
    </row>
    <row r="8" spans="2:13">
      <c r="B8" s="275" t="s">
        <v>537</v>
      </c>
      <c r="C8" s="274">
        <v>6</v>
      </c>
      <c r="D8" s="273">
        <v>522.1389999999999</v>
      </c>
      <c r="E8" s="273">
        <v>907.27300000000002</v>
      </c>
      <c r="F8" s="272">
        <v>0.57550373481851647</v>
      </c>
      <c r="G8" s="273">
        <v>0</v>
      </c>
      <c r="H8" s="273">
        <v>0</v>
      </c>
      <c r="I8" s="272">
        <v>-5.2425788869725737E-2</v>
      </c>
      <c r="J8" s="272">
        <v>-30.163963317758547</v>
      </c>
      <c r="K8" s="271">
        <v>0.99250581619997469</v>
      </c>
      <c r="L8" s="270">
        <f t="shared" si="0"/>
        <v>1.0075507706632072</v>
      </c>
      <c r="M8" s="269">
        <f>VLOOKUP(B8,'[3]Industry Averages'!$A$9:$E$104,5,0)</f>
        <v>-0.59810780376869188</v>
      </c>
    </row>
    <row r="9" spans="2:13">
      <c r="B9" s="275" t="s">
        <v>536</v>
      </c>
      <c r="C9" s="274">
        <v>323</v>
      </c>
      <c r="D9" s="273">
        <v>1319.1549999999995</v>
      </c>
      <c r="E9" s="273">
        <v>1037.4009999999992</v>
      </c>
      <c r="F9" s="272">
        <v>1.2715960366338577</v>
      </c>
      <c r="G9" s="273">
        <v>18.023</v>
      </c>
      <c r="H9" s="273">
        <v>19.954000000001088</v>
      </c>
      <c r="I9" s="272">
        <v>4.4862222418410296E-3</v>
      </c>
      <c r="J9" s="272">
        <v>0.1324811729154258</v>
      </c>
      <c r="K9" s="271">
        <v>2.8247623583292145</v>
      </c>
      <c r="L9" s="270">
        <f t="shared" si="0"/>
        <v>0.35401208071587242</v>
      </c>
      <c r="M9" s="269">
        <f>VLOOKUP(B9,'[3]Industry Averages'!$A$9:$E$104,5,0)</f>
        <v>9.5153899651068408E-2</v>
      </c>
    </row>
    <row r="10" spans="2:13">
      <c r="B10" s="275" t="s">
        <v>535</v>
      </c>
      <c r="C10" s="274">
        <v>12</v>
      </c>
      <c r="D10" s="273">
        <v>2055.7350000000001</v>
      </c>
      <c r="E10" s="273">
        <v>4078.6380000000004</v>
      </c>
      <c r="F10" s="272">
        <v>0.50402487300907806</v>
      </c>
      <c r="G10" s="273">
        <v>103.39999999999999</v>
      </c>
      <c r="H10" s="273">
        <v>106.72619999999915</v>
      </c>
      <c r="I10" s="272">
        <v>-2.3678847600735676E-2</v>
      </c>
      <c r="J10" s="272">
        <v>-0.48880651837000005</v>
      </c>
      <c r="K10" s="271">
        <v>1.1695525313659343</v>
      </c>
      <c r="L10" s="270">
        <f t="shared" si="0"/>
        <v>0.85502786166610933</v>
      </c>
      <c r="M10" s="269">
        <f>VLOOKUP(B10,'[3]Industry Averages'!$A$9:$E$104,5,0)</f>
        <v>-3.5019143033347938E-2</v>
      </c>
    </row>
    <row r="11" spans="2:13">
      <c r="B11" s="275" t="s">
        <v>534</v>
      </c>
      <c r="C11" s="274">
        <v>107</v>
      </c>
      <c r="D11" s="273">
        <v>1610.9509999999998</v>
      </c>
      <c r="E11" s="273">
        <v>1354.4360000000001</v>
      </c>
      <c r="F11" s="272">
        <v>1.1893887935642582</v>
      </c>
      <c r="G11" s="273">
        <v>188.833</v>
      </c>
      <c r="H11" s="273">
        <v>14.640199999999822</v>
      </c>
      <c r="I11" s="272">
        <v>1.2636963472964002E-2</v>
      </c>
      <c r="J11" s="272">
        <v>0.25411285871330636</v>
      </c>
      <c r="K11" s="271">
        <v>1.9351196747785298</v>
      </c>
      <c r="L11" s="270">
        <f t="shared" si="0"/>
        <v>0.51676390511323178</v>
      </c>
      <c r="M11" s="269">
        <f>VLOOKUP(B11,'[3]Industry Averages'!$A$9:$E$104,5,0)</f>
        <v>5.9256669670706655E-2</v>
      </c>
    </row>
    <row r="12" spans="2:13">
      <c r="B12" s="275" t="s">
        <v>533</v>
      </c>
      <c r="C12" s="274">
        <v>32</v>
      </c>
      <c r="D12" s="273">
        <v>2515.3199999999997</v>
      </c>
      <c r="E12" s="273">
        <v>9.25</v>
      </c>
      <c r="F12" s="272" t="s">
        <v>446</v>
      </c>
      <c r="G12" s="273">
        <v>283.76100000000002</v>
      </c>
      <c r="H12" s="273">
        <v>0</v>
      </c>
      <c r="I12" s="272">
        <v>2.8561625183255935E-2</v>
      </c>
      <c r="J12" s="272">
        <v>95.33594666973957</v>
      </c>
      <c r="K12" s="271">
        <v>0.4374686930360836</v>
      </c>
      <c r="L12" s="270">
        <f t="shared" si="0"/>
        <v>2.2858778603330072</v>
      </c>
      <c r="M12" s="269">
        <f>VLOOKUP(B12,'[3]Industry Averages'!$A$9:$E$104,5,0)</f>
        <v>1.176175134580692E-2</v>
      </c>
    </row>
    <row r="13" spans="2:13">
      <c r="B13" s="275" t="s">
        <v>532</v>
      </c>
      <c r="C13" s="274">
        <v>5</v>
      </c>
      <c r="D13" s="273">
        <v>90.31</v>
      </c>
      <c r="E13" s="273">
        <v>0</v>
      </c>
      <c r="F13" s="272" t="s">
        <v>446</v>
      </c>
      <c r="G13" s="273">
        <v>0</v>
      </c>
      <c r="H13" s="273">
        <v>0</v>
      </c>
      <c r="I13" s="272">
        <v>4.0481420054686447E-2</v>
      </c>
      <c r="J13" s="272">
        <v>14.611621092579158</v>
      </c>
      <c r="K13" s="271">
        <v>0.52508707334008453</v>
      </c>
      <c r="L13" s="270">
        <f t="shared" si="0"/>
        <v>1.9044460448035585</v>
      </c>
      <c r="M13" s="269">
        <f>VLOOKUP(B13,'[3]Industry Averages'!$A$9:$E$104,5,0)</f>
        <v>2.1963454228465167E-2</v>
      </c>
    </row>
    <row r="14" spans="2:13">
      <c r="B14" s="275" t="s">
        <v>531</v>
      </c>
      <c r="C14" s="274">
        <v>19</v>
      </c>
      <c r="D14" s="273">
        <v>132.85499999999999</v>
      </c>
      <c r="E14" s="273">
        <v>94.073999999999998</v>
      </c>
      <c r="F14" s="272">
        <v>1.4122393009758274</v>
      </c>
      <c r="G14" s="273">
        <v>31.029999999999998</v>
      </c>
      <c r="H14" s="273">
        <v>1.3230000000000359</v>
      </c>
      <c r="I14" s="272">
        <v>1.9774489535232507E-2</v>
      </c>
      <c r="J14" s="272">
        <v>0.23780071124215976</v>
      </c>
      <c r="K14" s="271">
        <v>1.8773559185600828</v>
      </c>
      <c r="L14" s="270">
        <f t="shared" si="0"/>
        <v>0.5326640463397011</v>
      </c>
      <c r="M14" s="269">
        <f>VLOOKUP(B14,'[3]Industry Averages'!$A$9:$E$104,5,0)</f>
        <v>4.3070540726236804E-2</v>
      </c>
    </row>
    <row r="15" spans="2:13">
      <c r="B15" s="275" t="s">
        <v>530</v>
      </c>
      <c r="C15" s="274">
        <v>5</v>
      </c>
      <c r="D15" s="273">
        <v>1.59</v>
      </c>
      <c r="E15" s="273">
        <v>70.091000000000008</v>
      </c>
      <c r="F15" s="272">
        <v>2.2684795480161501E-2</v>
      </c>
      <c r="G15" s="273">
        <v>0</v>
      </c>
      <c r="H15" s="273">
        <v>0</v>
      </c>
      <c r="I15" s="272">
        <v>-4.3484802124820511E-2</v>
      </c>
      <c r="J15" s="272">
        <v>-0.34007573967155907</v>
      </c>
      <c r="K15" s="271">
        <v>2.0035510469356326</v>
      </c>
      <c r="L15" s="270">
        <f t="shared" si="0"/>
        <v>0.49911381171419023</v>
      </c>
      <c r="M15" s="269">
        <f>VLOOKUP(B15,'[3]Industry Averages'!$A$9:$E$104,5,0)</f>
        <v>-0.10415246868424263</v>
      </c>
    </row>
    <row r="16" spans="2:13">
      <c r="B16" s="275" t="s">
        <v>529</v>
      </c>
      <c r="C16" s="274">
        <v>17</v>
      </c>
      <c r="D16" s="273">
        <v>182.505</v>
      </c>
      <c r="E16" s="273">
        <v>165.614</v>
      </c>
      <c r="F16" s="272">
        <v>1.1019901699131716</v>
      </c>
      <c r="G16" s="273">
        <v>4.95</v>
      </c>
      <c r="H16" s="273">
        <v>4.0799999999990177E-2</v>
      </c>
      <c r="I16" s="272">
        <v>6.484380093286779E-3</v>
      </c>
      <c r="J16" s="272">
        <v>4.8500550382375579E-2</v>
      </c>
      <c r="K16" s="271">
        <v>1.0879530894503171</v>
      </c>
      <c r="L16" s="270">
        <f t="shared" si="0"/>
        <v>0.91915727773266864</v>
      </c>
      <c r="M16" s="269">
        <f>VLOOKUP(B16,'[3]Industry Averages'!$A$9:$E$104,5,0)</f>
        <v>0.17417747786795842</v>
      </c>
    </row>
    <row r="17" spans="2:13">
      <c r="B17" s="275" t="s">
        <v>528</v>
      </c>
      <c r="C17" s="274">
        <v>174</v>
      </c>
      <c r="D17" s="273">
        <v>98.346000000000089</v>
      </c>
      <c r="E17" s="273">
        <v>60.774000000000022</v>
      </c>
      <c r="F17" s="272">
        <v>1.6182248988054111</v>
      </c>
      <c r="G17" s="273">
        <v>1.6089999999999998</v>
      </c>
      <c r="H17" s="273">
        <v>0.97879999999999967</v>
      </c>
      <c r="I17" s="272">
        <v>5.718692742478557E-3</v>
      </c>
      <c r="J17" s="272">
        <v>2.6058980419272868</v>
      </c>
      <c r="K17" s="271">
        <v>0.7957445803487172</v>
      </c>
      <c r="L17" s="270">
        <f t="shared" si="0"/>
        <v>1.2566846506975549</v>
      </c>
      <c r="M17" s="269">
        <f>VLOOKUP(B17,'[3]Industry Averages'!$A$9:$E$104,5,0)</f>
        <v>1.1229890259896977E-2</v>
      </c>
    </row>
    <row r="18" spans="2:13">
      <c r="B18" s="275" t="s">
        <v>527</v>
      </c>
      <c r="C18" s="274">
        <v>48</v>
      </c>
      <c r="D18" s="273">
        <v>294.06299999999999</v>
      </c>
      <c r="E18" s="273">
        <v>132.08999999999997</v>
      </c>
      <c r="F18" s="272">
        <v>2.2262321144674089</v>
      </c>
      <c r="G18" s="273">
        <v>-2.7E-2</v>
      </c>
      <c r="H18" s="273">
        <v>0.48220000000009122</v>
      </c>
      <c r="I18" s="272">
        <v>3.0565548896952174E-2</v>
      </c>
      <c r="J18" s="272">
        <v>0.5501661862388435</v>
      </c>
      <c r="K18" s="271">
        <v>2.0105271975176731</v>
      </c>
      <c r="L18" s="270">
        <f t="shared" si="0"/>
        <v>0.497381980823072</v>
      </c>
      <c r="M18" s="269">
        <f>VLOOKUP(B18,'[3]Industry Averages'!$A$9:$E$104,5,0)</f>
        <v>0.1715718544183254</v>
      </c>
    </row>
    <row r="19" spans="2:13">
      <c r="B19" s="275" t="s">
        <v>526</v>
      </c>
      <c r="C19" s="274">
        <v>58</v>
      </c>
      <c r="D19" s="273">
        <v>141.79699999999997</v>
      </c>
      <c r="E19" s="273">
        <v>125.52300000000002</v>
      </c>
      <c r="F19" s="272">
        <v>1.1296495462982874</v>
      </c>
      <c r="G19" s="273">
        <v>-26.311</v>
      </c>
      <c r="H19" s="273">
        <v>7.9599999999913962E-2</v>
      </c>
      <c r="I19" s="272">
        <v>-1.5559103624124143E-3</v>
      </c>
      <c r="J19" s="272">
        <v>-2.2128621978277325E-2</v>
      </c>
      <c r="K19" s="271">
        <v>4.0759056231095938</v>
      </c>
      <c r="L19" s="270">
        <f t="shared" si="0"/>
        <v>0.24534424799489812</v>
      </c>
      <c r="M19" s="269">
        <f>VLOOKUP(B19,'[3]Industry Averages'!$A$9:$E$104,5,0)</f>
        <v>0.13481714734660222</v>
      </c>
    </row>
    <row r="20" spans="2:13">
      <c r="B20" s="275" t="s">
        <v>525</v>
      </c>
      <c r="C20" s="274">
        <v>8</v>
      </c>
      <c r="D20" s="273">
        <v>207.31</v>
      </c>
      <c r="E20" s="273">
        <v>272.43100000000004</v>
      </c>
      <c r="F20" s="272">
        <v>0.76096332649368081</v>
      </c>
      <c r="G20" s="273">
        <v>-0.42799999999999999</v>
      </c>
      <c r="H20" s="273">
        <v>0</v>
      </c>
      <c r="I20" s="272">
        <v>-5.0339982459454806E-2</v>
      </c>
      <c r="J20" s="272">
        <v>-0.91369890717302304</v>
      </c>
      <c r="K20" s="271">
        <v>0.98018147410448508</v>
      </c>
      <c r="L20" s="270">
        <f t="shared" si="0"/>
        <v>1.0202192414558964</v>
      </c>
      <c r="M20" s="269">
        <f>VLOOKUP(B20,'[3]Industry Averages'!$A$9:$E$104,5,0)</f>
        <v>-3.5265425948056281E-3</v>
      </c>
    </row>
    <row r="21" spans="2:13">
      <c r="B21" s="275" t="s">
        <v>524</v>
      </c>
      <c r="C21" s="274">
        <v>128</v>
      </c>
      <c r="D21" s="273">
        <v>1638.4330000000004</v>
      </c>
      <c r="E21" s="273">
        <v>741.08699999999999</v>
      </c>
      <c r="F21" s="272">
        <v>2.2108510876590746</v>
      </c>
      <c r="G21" s="273">
        <v>29.027999999999999</v>
      </c>
      <c r="H21" s="273">
        <v>4.4913999999994303</v>
      </c>
      <c r="I21" s="272">
        <v>3.651505614599599E-2</v>
      </c>
      <c r="J21" s="272">
        <v>0.36157794125719617</v>
      </c>
      <c r="K21" s="271">
        <v>1.4829760826656215</v>
      </c>
      <c r="L21" s="270">
        <f t="shared" si="0"/>
        <v>0.67431970865134849</v>
      </c>
      <c r="M21" s="269">
        <f>VLOOKUP(B21,'[3]Industry Averages'!$A$9:$E$104,5,0)</f>
        <v>0.11908758671978847</v>
      </c>
    </row>
    <row r="22" spans="2:13">
      <c r="B22" s="275" t="s">
        <v>523</v>
      </c>
      <c r="C22" s="274">
        <v>10</v>
      </c>
      <c r="D22" s="273">
        <v>678.43</v>
      </c>
      <c r="E22" s="273">
        <v>188.09999999999994</v>
      </c>
      <c r="F22" s="272">
        <v>3.6067517278043604</v>
      </c>
      <c r="G22" s="273">
        <v>33.42</v>
      </c>
      <c r="H22" s="273">
        <v>1.6743999999996504</v>
      </c>
      <c r="I22" s="272">
        <v>6.8788133485199535E-2</v>
      </c>
      <c r="J22" s="272">
        <v>0.69803448886853148</v>
      </c>
      <c r="K22" s="271">
        <v>1.9394418222297922</v>
      </c>
      <c r="L22" s="270">
        <f t="shared" si="0"/>
        <v>0.51561226974588581</v>
      </c>
      <c r="M22" s="269">
        <f>VLOOKUP(B22,'[3]Industry Averages'!$A$9:$E$104,5,0)</f>
        <v>0.221375215652759</v>
      </c>
    </row>
    <row r="23" spans="2:13">
      <c r="B23" s="275" t="s">
        <v>522</v>
      </c>
      <c r="C23" s="274">
        <v>167</v>
      </c>
      <c r="D23" s="273">
        <v>2136.2280000000005</v>
      </c>
      <c r="E23" s="273">
        <v>1159.7210000000005</v>
      </c>
      <c r="F23" s="272">
        <v>1.8420188993732109</v>
      </c>
      <c r="G23" s="273">
        <v>149.75400000000002</v>
      </c>
      <c r="H23" s="273">
        <v>-8.0283999999992375</v>
      </c>
      <c r="I23" s="272">
        <v>2.2489217526960082E-2</v>
      </c>
      <c r="J23" s="272">
        <v>0.23451832048916638</v>
      </c>
      <c r="K23" s="271">
        <v>2.0349819285044326</v>
      </c>
      <c r="L23" s="270">
        <f t="shared" si="0"/>
        <v>0.49140485524356919</v>
      </c>
      <c r="M23" s="269">
        <f>VLOOKUP(B23,'[3]Industry Averages'!$A$9:$E$104,5,0)</f>
        <v>0.20753919314975397</v>
      </c>
    </row>
    <row r="24" spans="2:13">
      <c r="B24" s="275" t="s">
        <v>521</v>
      </c>
      <c r="C24" s="274">
        <v>2</v>
      </c>
      <c r="D24" s="273">
        <v>1808.8</v>
      </c>
      <c r="E24" s="273">
        <v>550.29999999999995</v>
      </c>
      <c r="F24" s="272">
        <v>3.2869343994184992</v>
      </c>
      <c r="G24" s="273">
        <v>0</v>
      </c>
      <c r="H24" s="273">
        <v>0.78600000000005821</v>
      </c>
      <c r="I24" s="272">
        <v>8.2890844583698109E-2</v>
      </c>
      <c r="J24" s="272">
        <v>0.43299617791782347</v>
      </c>
      <c r="K24" s="271">
        <v>4.0386197113756372</v>
      </c>
      <c r="L24" s="270">
        <f t="shared" si="0"/>
        <v>0.24760934959617165</v>
      </c>
      <c r="M24" s="269">
        <f>VLOOKUP(B24,'[3]Industry Averages'!$A$9:$E$104,5,0)</f>
        <v>0.29707528166542035</v>
      </c>
    </row>
    <row r="25" spans="2:13">
      <c r="B25" s="275" t="s">
        <v>520</v>
      </c>
      <c r="C25" s="274">
        <v>132</v>
      </c>
      <c r="D25" s="273">
        <v>1553.5179999999993</v>
      </c>
      <c r="E25" s="273">
        <v>2311.905999999999</v>
      </c>
      <c r="F25" s="272">
        <v>0.67196417155368771</v>
      </c>
      <c r="G25" s="273">
        <v>1856.9579999999999</v>
      </c>
      <c r="H25" s="273">
        <v>-15.583800000000338</v>
      </c>
      <c r="I25" s="272">
        <v>1.1830690502188625E-2</v>
      </c>
      <c r="J25" s="272">
        <v>8.9775143517130118E-2</v>
      </c>
      <c r="K25" s="271">
        <v>2.3636028584024564</v>
      </c>
      <c r="L25" s="270">
        <f t="shared" si="0"/>
        <v>0.42308292040055046</v>
      </c>
      <c r="M25" s="269">
        <f>VLOOKUP(B25,'[3]Industry Averages'!$A$9:$E$104,5,0)</f>
        <v>0.13864803973032297</v>
      </c>
    </row>
    <row r="26" spans="2:13">
      <c r="B26" s="275" t="s">
        <v>519</v>
      </c>
      <c r="C26" s="274">
        <v>6</v>
      </c>
      <c r="D26" s="273">
        <v>1.4159999999999999</v>
      </c>
      <c r="E26" s="273">
        <v>1.145</v>
      </c>
      <c r="F26" s="272">
        <v>1.2366812227074235</v>
      </c>
      <c r="G26" s="273">
        <v>0</v>
      </c>
      <c r="H26" s="273">
        <v>0</v>
      </c>
      <c r="I26" s="272">
        <v>4.5590659802833E-3</v>
      </c>
      <c r="J26" s="272">
        <v>0.1367178137238407</v>
      </c>
      <c r="K26" s="271">
        <v>1.8150229007633587</v>
      </c>
      <c r="L26" s="270">
        <f t="shared" si="0"/>
        <v>0.55095723562464249</v>
      </c>
      <c r="M26" s="269">
        <f>VLOOKUP(B26,'[3]Industry Averages'!$A$9:$E$104,5,0)</f>
        <v>8.0008171038542325E-2</v>
      </c>
    </row>
    <row r="27" spans="2:13">
      <c r="B27" s="275" t="s">
        <v>518</v>
      </c>
      <c r="C27" s="274">
        <v>92</v>
      </c>
      <c r="D27" s="273">
        <v>4110.0010000000002</v>
      </c>
      <c r="E27" s="273">
        <v>2184.752</v>
      </c>
      <c r="F27" s="272">
        <v>1.8812208433726119</v>
      </c>
      <c r="G27" s="273">
        <v>89.38900000000001</v>
      </c>
      <c r="H27" s="273">
        <v>18.402200000002267</v>
      </c>
      <c r="I27" s="272">
        <v>4.1099200956765662E-2</v>
      </c>
      <c r="J27" s="272">
        <v>0.48172167480265604</v>
      </c>
      <c r="K27" s="271">
        <v>0.95495638161746377</v>
      </c>
      <c r="L27" s="270">
        <f t="shared" si="0"/>
        <v>1.0471682468954691</v>
      </c>
      <c r="M27" s="269">
        <f>VLOOKUP(B27,'[3]Industry Averages'!$A$9:$E$104,5,0)</f>
        <v>5.3265356814775004E-2</v>
      </c>
    </row>
    <row r="28" spans="2:13">
      <c r="B28" s="275" t="s">
        <v>517</v>
      </c>
      <c r="C28" s="274">
        <v>13</v>
      </c>
      <c r="D28" s="273">
        <v>164.44300000000001</v>
      </c>
      <c r="E28" s="273">
        <v>222.017</v>
      </c>
      <c r="F28" s="272">
        <v>0.74067751568573581</v>
      </c>
      <c r="G28" s="273">
        <v>9.2309999999999999</v>
      </c>
      <c r="H28" s="273">
        <v>-2.2498000000001639</v>
      </c>
      <c r="I28" s="272">
        <v>-6.2112043729173278E-3</v>
      </c>
      <c r="J28" s="272">
        <v>-8.6913482771074024E-2</v>
      </c>
      <c r="K28" s="271">
        <v>0.60656203573712342</v>
      </c>
      <c r="L28" s="270">
        <f t="shared" si="0"/>
        <v>1.6486359862347002</v>
      </c>
      <c r="M28" s="269">
        <f>VLOOKUP(B28,'[3]Industry Averages'!$A$9:$E$104,5,0)</f>
        <v>2.1566234409499157E-2</v>
      </c>
    </row>
    <row r="29" spans="2:13">
      <c r="B29" s="275" t="s">
        <v>516</v>
      </c>
      <c r="C29" s="274">
        <v>8</v>
      </c>
      <c r="D29" s="273">
        <v>228.45800000000003</v>
      </c>
      <c r="E29" s="273">
        <v>115.92200000000001</v>
      </c>
      <c r="F29" s="272">
        <v>1.9707907040941324</v>
      </c>
      <c r="G29" s="273">
        <v>1.2E-2</v>
      </c>
      <c r="H29" s="273">
        <v>-106.18860000000001</v>
      </c>
      <c r="I29" s="272">
        <v>5.2157139025832567E-3</v>
      </c>
      <c r="J29" s="272">
        <v>6.7797118914613846E-2</v>
      </c>
      <c r="K29" s="271">
        <v>0.8111705878752562</v>
      </c>
      <c r="L29" s="270">
        <f t="shared" si="0"/>
        <v>1.2327863151687428</v>
      </c>
      <c r="M29" s="269">
        <f>VLOOKUP(B29,'[3]Industry Averages'!$A$9:$E$104,5,0)</f>
        <v>5.5785785478105164E-3</v>
      </c>
    </row>
    <row r="30" spans="2:13">
      <c r="B30" s="275" t="s">
        <v>515</v>
      </c>
      <c r="C30" s="274">
        <v>156</v>
      </c>
      <c r="D30" s="273">
        <v>2186.7790000000009</v>
      </c>
      <c r="E30" s="273">
        <v>1565.3380000000004</v>
      </c>
      <c r="F30" s="272">
        <v>1.3970011588551485</v>
      </c>
      <c r="G30" s="273">
        <v>407.00899999999996</v>
      </c>
      <c r="H30" s="273">
        <v>93.16939999999704</v>
      </c>
      <c r="I30" s="272">
        <v>3.1780616216509919E-2</v>
      </c>
      <c r="J30" s="272">
        <v>0.29197518924808835</v>
      </c>
      <c r="K30" s="271">
        <v>0.92891089839558916</v>
      </c>
      <c r="L30" s="270">
        <f t="shared" si="0"/>
        <v>1.0765295161540205</v>
      </c>
      <c r="M30" s="269">
        <f>VLOOKUP(B30,'[3]Industry Averages'!$A$9:$E$104,5,0)</f>
        <v>5.4942200303473188E-2</v>
      </c>
    </row>
    <row r="31" spans="2:13">
      <c r="B31" s="275" t="s">
        <v>514</v>
      </c>
      <c r="C31" s="274">
        <v>26</v>
      </c>
      <c r="D31" s="273">
        <v>9.1889999999999983</v>
      </c>
      <c r="E31" s="273">
        <v>17.787000000000006</v>
      </c>
      <c r="F31" s="272">
        <v>0.51661325687299686</v>
      </c>
      <c r="G31" s="273">
        <v>4.2090000000000005</v>
      </c>
      <c r="H31" s="273">
        <v>0.30079999999999896</v>
      </c>
      <c r="I31" s="272">
        <v>-2.5667072665402673E-2</v>
      </c>
      <c r="J31" s="272" t="s">
        <v>446</v>
      </c>
      <c r="K31" s="271">
        <v>0.46552026137843255</v>
      </c>
      <c r="L31" s="270">
        <f t="shared" si="0"/>
        <v>2.1481342123303975</v>
      </c>
      <c r="M31" s="269" t="str">
        <f>VLOOKUP(B31,'[3]Industry Averages'!$A$9:$E$104,5,0)</f>
        <v>NA</v>
      </c>
    </row>
    <row r="32" spans="2:13">
      <c r="B32" s="275" t="s">
        <v>513</v>
      </c>
      <c r="C32" s="274">
        <v>102</v>
      </c>
      <c r="D32" s="273">
        <v>563.66300000000012</v>
      </c>
      <c r="E32" s="273">
        <v>356.55100000000033</v>
      </c>
      <c r="F32" s="272">
        <v>1.5808762280851816</v>
      </c>
      <c r="G32" s="273">
        <v>1.613</v>
      </c>
      <c r="H32" s="273">
        <v>32.251199999999926</v>
      </c>
      <c r="I32" s="272">
        <v>1.3219963238289219E-2</v>
      </c>
      <c r="J32" s="272">
        <v>0.28987966912953128</v>
      </c>
      <c r="K32" s="271">
        <v>1.5318773983427414</v>
      </c>
      <c r="L32" s="270">
        <f t="shared" si="0"/>
        <v>0.65279375561115272</v>
      </c>
      <c r="M32" s="269">
        <f>VLOOKUP(B32,'[3]Industry Averages'!$A$9:$E$104,5,0)</f>
        <v>5.4779301194835844E-2</v>
      </c>
    </row>
    <row r="33" spans="2:13">
      <c r="B33" s="275" t="s">
        <v>512</v>
      </c>
      <c r="C33" s="274">
        <v>8</v>
      </c>
      <c r="D33" s="273">
        <v>57.395999999999994</v>
      </c>
      <c r="E33" s="273">
        <v>14.183000000000003</v>
      </c>
      <c r="F33" s="272">
        <v>4.046816611436225</v>
      </c>
      <c r="G33" s="273">
        <v>0</v>
      </c>
      <c r="H33" s="273">
        <v>0.41819999999999879</v>
      </c>
      <c r="I33" s="272">
        <v>2.4886209893978418E-2</v>
      </c>
      <c r="J33" s="272">
        <v>1.2335301560243535</v>
      </c>
      <c r="K33" s="271">
        <v>8.0284903363834275</v>
      </c>
      <c r="L33" s="270">
        <f t="shared" si="0"/>
        <v>0.12455641821828078</v>
      </c>
      <c r="M33" s="269">
        <f>VLOOKUP(B33,'[3]Industry Averages'!$A$9:$E$104,5,0)</f>
        <v>0.32618520356113251</v>
      </c>
    </row>
    <row r="34" spans="2:13">
      <c r="B34" s="275" t="s">
        <v>511</v>
      </c>
      <c r="C34" s="274">
        <v>27</v>
      </c>
      <c r="D34" s="273">
        <v>56.801000000000009</v>
      </c>
      <c r="E34" s="273">
        <v>29.396999999999991</v>
      </c>
      <c r="F34" s="272">
        <v>1.9322039663911292</v>
      </c>
      <c r="G34" s="273">
        <v>38.200000000000003</v>
      </c>
      <c r="H34" s="273">
        <v>1.4602000000000146</v>
      </c>
      <c r="I34" s="272">
        <v>4.8774070052516501E-2</v>
      </c>
      <c r="J34" s="272">
        <v>0.76100466033512837</v>
      </c>
      <c r="K34" s="271">
        <v>2.4268056179172435</v>
      </c>
      <c r="L34" s="270">
        <f t="shared" si="0"/>
        <v>0.41206431723123738</v>
      </c>
      <c r="M34" s="269">
        <f>VLOOKUP(B34,'[3]Industry Averages'!$A$9:$E$104,5,0)</f>
        <v>0.27119359131932486</v>
      </c>
    </row>
    <row r="35" spans="2:13">
      <c r="B35" s="275" t="s">
        <v>510</v>
      </c>
      <c r="C35" s="274">
        <v>144</v>
      </c>
      <c r="D35" s="273">
        <v>1658.8349999999991</v>
      </c>
      <c r="E35" s="273">
        <v>1125.7489999999993</v>
      </c>
      <c r="F35" s="272">
        <v>1.4735389505120591</v>
      </c>
      <c r="G35" s="273">
        <v>31.045000000000005</v>
      </c>
      <c r="H35" s="273">
        <v>41.382199999999102</v>
      </c>
      <c r="I35" s="272">
        <v>1.2229110161280348E-2</v>
      </c>
      <c r="J35" s="272">
        <v>0.18999347335267988</v>
      </c>
      <c r="K35" s="271">
        <v>0.97947460971731182</v>
      </c>
      <c r="L35" s="270">
        <f t="shared" si="0"/>
        <v>1.0209555103103816</v>
      </c>
      <c r="M35" s="269">
        <f>VLOOKUP(B35,'[3]Industry Averages'!$A$9:$E$104,5,0)</f>
        <v>4.8665675034765175E-2</v>
      </c>
    </row>
    <row r="36" spans="2:13">
      <c r="B36" s="275" t="s">
        <v>509</v>
      </c>
      <c r="C36" s="274">
        <v>60</v>
      </c>
      <c r="D36" s="273">
        <v>108.20100000000001</v>
      </c>
      <c r="E36" s="273">
        <v>238.99400000000006</v>
      </c>
      <c r="F36" s="272">
        <v>0.4527352151100027</v>
      </c>
      <c r="G36" s="273">
        <v>14.456000000000001</v>
      </c>
      <c r="H36" s="273">
        <v>0.22699999999997544</v>
      </c>
      <c r="I36" s="272">
        <v>-6.3295762547399617E-2</v>
      </c>
      <c r="J36" s="272">
        <v>-0.90136253583662951</v>
      </c>
      <c r="K36" s="271">
        <v>0.67995090932629787</v>
      </c>
      <c r="L36" s="270">
        <f t="shared" si="0"/>
        <v>1.4706944079107269</v>
      </c>
      <c r="M36" s="269">
        <f>VLOOKUP(B36,'[3]Industry Averages'!$A$9:$E$104,5,0)</f>
        <v>6.6039226657281618E-3</v>
      </c>
    </row>
    <row r="37" spans="2:13">
      <c r="B37" s="275" t="s">
        <v>508</v>
      </c>
      <c r="C37" s="274">
        <v>10</v>
      </c>
      <c r="D37" s="273">
        <v>37.591000000000001</v>
      </c>
      <c r="E37" s="273">
        <v>8.3019999999999996</v>
      </c>
      <c r="F37" s="272">
        <v>4.5279450734762712</v>
      </c>
      <c r="G37" s="273">
        <v>0</v>
      </c>
      <c r="H37" s="273">
        <v>0.12040000000000362</v>
      </c>
      <c r="I37" s="272">
        <v>4.7153118486451824E-2</v>
      </c>
      <c r="J37" s="272">
        <v>0.31870481467573086</v>
      </c>
      <c r="K37" s="271">
        <v>5.2712447135424583</v>
      </c>
      <c r="L37" s="270">
        <f t="shared" si="0"/>
        <v>0.18970851370851374</v>
      </c>
      <c r="M37" s="269">
        <f>VLOOKUP(B37,'[3]Industry Averages'!$A$9:$E$104,5,0)</f>
        <v>0.84345976944175927</v>
      </c>
    </row>
    <row r="38" spans="2:13">
      <c r="B38" s="275" t="s">
        <v>507</v>
      </c>
      <c r="C38" s="274">
        <v>57</v>
      </c>
      <c r="D38" s="273">
        <v>161.96200000000005</v>
      </c>
      <c r="E38" s="273">
        <v>119.33699999999997</v>
      </c>
      <c r="F38" s="272">
        <v>1.3571817625715417</v>
      </c>
      <c r="G38" s="273">
        <v>-3.7859999999999996</v>
      </c>
      <c r="H38" s="273">
        <v>2.4352000000000658</v>
      </c>
      <c r="I38" s="272">
        <v>7.7462767885144116E-3</v>
      </c>
      <c r="J38" s="272">
        <v>0.13946671212312556</v>
      </c>
      <c r="K38" s="271">
        <v>1.499299489143417</v>
      </c>
      <c r="L38" s="270">
        <f t="shared" ref="L38:L69" si="1">1/K38</f>
        <v>0.66697815029025465</v>
      </c>
      <c r="M38" s="269">
        <f>VLOOKUP(B38,'[3]Industry Averages'!$A$9:$E$104,5,0)</f>
        <v>4.1177374405029624E-2</v>
      </c>
    </row>
    <row r="39" spans="2:13">
      <c r="B39" s="275" t="s">
        <v>506</v>
      </c>
      <c r="C39" s="274">
        <v>254</v>
      </c>
      <c r="D39" s="273">
        <v>906.47899999999925</v>
      </c>
      <c r="E39" s="273">
        <v>620.97899999999879</v>
      </c>
      <c r="F39" s="272">
        <v>1.4597578984152459</v>
      </c>
      <c r="G39" s="273">
        <v>287.91599999999994</v>
      </c>
      <c r="H39" s="273">
        <v>0.36240000000043437</v>
      </c>
      <c r="I39" s="272">
        <v>1.1353578117487301E-2</v>
      </c>
      <c r="J39" s="272">
        <v>0.19426990353303017</v>
      </c>
      <c r="K39" s="271">
        <v>0.10361553672669978</v>
      </c>
      <c r="L39" s="270">
        <f t="shared" si="1"/>
        <v>9.6510622980956757</v>
      </c>
      <c r="M39" s="269">
        <f>VLOOKUP(B39,'[3]Industry Averages'!$A$9:$E$104,5,0)</f>
        <v>1.6319973349452094E-3</v>
      </c>
    </row>
    <row r="40" spans="2:13">
      <c r="B40" s="275" t="s">
        <v>505</v>
      </c>
      <c r="C40" s="274">
        <v>185</v>
      </c>
      <c r="D40" s="273">
        <v>1139.2389999999998</v>
      </c>
      <c r="E40" s="273">
        <v>609.47200000000021</v>
      </c>
      <c r="F40" s="272">
        <v>1.8692228683188061</v>
      </c>
      <c r="G40" s="273">
        <v>99.592999999999989</v>
      </c>
      <c r="H40" s="273">
        <v>3.0955999999996493</v>
      </c>
      <c r="I40" s="272">
        <v>1.654482844947593E-2</v>
      </c>
      <c r="J40" s="272">
        <v>0.34667722096273373</v>
      </c>
      <c r="K40" s="271">
        <v>2.3987393584917776</v>
      </c>
      <c r="L40" s="270">
        <f t="shared" si="1"/>
        <v>0.41688564306076015</v>
      </c>
      <c r="M40" s="269">
        <f>VLOOKUP(B40,'[3]Industry Averages'!$A$9:$E$104,5,0)</f>
        <v>5.4777162946450651E-2</v>
      </c>
    </row>
    <row r="41" spans="2:13">
      <c r="B41" s="275" t="s">
        <v>504</v>
      </c>
      <c r="C41" s="274">
        <v>32</v>
      </c>
      <c r="D41" s="273">
        <v>6.987000000000001</v>
      </c>
      <c r="E41" s="273">
        <v>5.0289999999999973</v>
      </c>
      <c r="F41" s="272">
        <v>1.3893418174587402</v>
      </c>
      <c r="G41" s="273">
        <v>0</v>
      </c>
      <c r="H41" s="273">
        <v>1.440000000000019E-2</v>
      </c>
      <c r="I41" s="272">
        <v>1.9393915557216219E-3</v>
      </c>
      <c r="J41" s="272">
        <v>0.2785279810024085</v>
      </c>
      <c r="K41" s="271">
        <v>6.2547509341966405</v>
      </c>
      <c r="L41" s="270">
        <f t="shared" si="1"/>
        <v>0.15987846846669682</v>
      </c>
      <c r="M41" s="269">
        <f>VLOOKUP(B41,'[3]Industry Averages'!$A$9:$E$104,5,0)</f>
        <v>-0.12880591650667342</v>
      </c>
    </row>
    <row r="42" spans="2:13">
      <c r="B42" s="275" t="s">
        <v>503</v>
      </c>
      <c r="C42" s="274">
        <v>38</v>
      </c>
      <c r="D42" s="273">
        <v>205.1639999999999</v>
      </c>
      <c r="E42" s="273">
        <v>125.40899999999999</v>
      </c>
      <c r="F42" s="272">
        <v>1.635959141688395</v>
      </c>
      <c r="G42" s="273">
        <v>258.56399999999996</v>
      </c>
      <c r="H42" s="273">
        <v>0.71700000000015507</v>
      </c>
      <c r="I42" s="272">
        <v>5.678549822224991E-2</v>
      </c>
      <c r="J42" s="272">
        <v>1.2293976587488495</v>
      </c>
      <c r="K42" s="271">
        <v>2.8429462461480384</v>
      </c>
      <c r="L42" s="270">
        <f t="shared" si="1"/>
        <v>0.35174776918660311</v>
      </c>
      <c r="M42" s="269">
        <f>VLOOKUP(B42,'[3]Industry Averages'!$A$9:$E$104,5,0)</f>
        <v>0.16055101798163096</v>
      </c>
    </row>
    <row r="43" spans="2:13">
      <c r="B43" s="275" t="s">
        <v>502</v>
      </c>
      <c r="C43" s="274">
        <v>18</v>
      </c>
      <c r="D43" s="273">
        <v>2209.9460000000008</v>
      </c>
      <c r="E43" s="273">
        <v>407.41700000000003</v>
      </c>
      <c r="F43" s="272">
        <v>5.4242851918304851</v>
      </c>
      <c r="G43" s="273">
        <v>155.48400000000001</v>
      </c>
      <c r="H43" s="273">
        <v>1.8600000000105865E-2</v>
      </c>
      <c r="I43" s="272">
        <v>0.62222232108695863</v>
      </c>
      <c r="J43" s="272">
        <v>1.7375867271130236</v>
      </c>
      <c r="K43" s="271">
        <v>0.17791576151384964</v>
      </c>
      <c r="L43" s="270">
        <f t="shared" si="1"/>
        <v>5.620637494346763</v>
      </c>
      <c r="M43" s="269">
        <f>VLOOKUP(B43,'[3]Industry Averages'!$A$9:$E$104,5,0)</f>
        <v>0.12033880405733269</v>
      </c>
    </row>
    <row r="44" spans="2:13">
      <c r="B44" s="275" t="s">
        <v>501</v>
      </c>
      <c r="C44" s="274">
        <v>13</v>
      </c>
      <c r="D44" s="273">
        <v>28.855000000000004</v>
      </c>
      <c r="E44" s="273">
        <v>8.5590000000000011</v>
      </c>
      <c r="F44" s="272">
        <v>3.37130505900222</v>
      </c>
      <c r="G44" s="273">
        <v>0</v>
      </c>
      <c r="H44" s="273">
        <v>-6.1599999999998545E-2</v>
      </c>
      <c r="I44" s="272">
        <v>9.3935229889326344E-2</v>
      </c>
      <c r="J44" s="272">
        <v>1.078518650966914</v>
      </c>
      <c r="K44" s="271">
        <v>1.0103972299070223</v>
      </c>
      <c r="L44" s="270">
        <f t="shared" si="1"/>
        <v>0.98970976008319123</v>
      </c>
      <c r="M44" s="269">
        <f>VLOOKUP(B44,'[3]Industry Averages'!$A$9:$E$104,5,0)</f>
        <v>0.13112550858463776</v>
      </c>
    </row>
    <row r="45" spans="2:13">
      <c r="B45" s="275" t="s">
        <v>500</v>
      </c>
      <c r="C45" s="274">
        <v>30</v>
      </c>
      <c r="D45" s="273">
        <v>58.57</v>
      </c>
      <c r="E45" s="273">
        <v>48.622000000000007</v>
      </c>
      <c r="F45" s="272">
        <v>1.2045987413105177</v>
      </c>
      <c r="G45" s="273">
        <v>139.298</v>
      </c>
      <c r="H45" s="273">
        <v>0.11639999999999873</v>
      </c>
      <c r="I45" s="272">
        <v>0.21153810202272269</v>
      </c>
      <c r="J45" s="272">
        <v>1.598799920268565</v>
      </c>
      <c r="K45" s="271">
        <v>2.2587325328416026</v>
      </c>
      <c r="L45" s="270">
        <f t="shared" si="1"/>
        <v>0.44272616853043162</v>
      </c>
      <c r="M45" s="269">
        <f>VLOOKUP(B45,'[3]Industry Averages'!$A$9:$E$104,5,0)</f>
        <v>0.5607973554348672</v>
      </c>
    </row>
    <row r="46" spans="2:13">
      <c r="B46" s="275" t="s">
        <v>499</v>
      </c>
      <c r="C46" s="274">
        <v>14</v>
      </c>
      <c r="D46" s="273">
        <v>245.56200000000001</v>
      </c>
      <c r="E46" s="273">
        <v>130.38100000000003</v>
      </c>
      <c r="F46" s="272">
        <v>1.8834185962678609</v>
      </c>
      <c r="G46" s="273">
        <v>0</v>
      </c>
      <c r="H46" s="273">
        <v>-5.9585999999999331</v>
      </c>
      <c r="I46" s="272">
        <v>5.2776095978677454E-2</v>
      </c>
      <c r="J46" s="272">
        <v>0.27452649041740573</v>
      </c>
      <c r="K46" s="271">
        <v>0.8419131155581171</v>
      </c>
      <c r="L46" s="270">
        <f t="shared" si="1"/>
        <v>1.187771019978807</v>
      </c>
      <c r="M46" s="269">
        <f>VLOOKUP(B46,'[3]Industry Averages'!$A$9:$E$104,5,0)</f>
        <v>6.8925325537212895E-2</v>
      </c>
    </row>
    <row r="47" spans="2:13">
      <c r="B47" s="275" t="s">
        <v>498</v>
      </c>
      <c r="C47" s="274">
        <v>1</v>
      </c>
      <c r="D47" s="273">
        <v>0</v>
      </c>
      <c r="E47" s="273">
        <v>0</v>
      </c>
      <c r="F47" s="272" t="s">
        <v>446</v>
      </c>
      <c r="G47" s="273">
        <v>0</v>
      </c>
      <c r="H47" s="273">
        <v>0</v>
      </c>
      <c r="I47" s="272">
        <v>0</v>
      </c>
      <c r="J47" s="272">
        <v>0</v>
      </c>
      <c r="K47" s="271">
        <v>0.39187227866473157</v>
      </c>
      <c r="L47" s="270">
        <f t="shared" si="1"/>
        <v>2.5518518518518514</v>
      </c>
      <c r="M47" s="269">
        <f>VLOOKUP(B47,'[3]Industry Averages'!$A$9:$E$104,5,0)</f>
        <v>-8.7953555878084178E-2</v>
      </c>
    </row>
    <row r="48" spans="2:13">
      <c r="B48" s="275" t="s">
        <v>497</v>
      </c>
      <c r="C48" s="274">
        <v>24</v>
      </c>
      <c r="D48" s="273">
        <v>359.25599999999991</v>
      </c>
      <c r="E48" s="273">
        <v>253.76999999999998</v>
      </c>
      <c r="F48" s="272">
        <v>1.4156756117744411</v>
      </c>
      <c r="G48" s="273">
        <v>37.39</v>
      </c>
      <c r="H48" s="273">
        <v>-0.227800000000002</v>
      </c>
      <c r="I48" s="272">
        <v>2.8952690929321033E-2</v>
      </c>
      <c r="J48" s="272">
        <v>0.27604457399917059</v>
      </c>
      <c r="K48" s="271">
        <v>1.5637777259650962</v>
      </c>
      <c r="L48" s="270">
        <f t="shared" si="1"/>
        <v>0.6394770710670169</v>
      </c>
      <c r="M48" s="269">
        <f>VLOOKUP(B48,'[3]Industry Averages'!$A$9:$E$104,5,0)</f>
        <v>6.18346216636518E-2</v>
      </c>
    </row>
    <row r="49" spans="2:13">
      <c r="B49" s="275" t="s">
        <v>496</v>
      </c>
      <c r="C49" s="274">
        <v>57</v>
      </c>
      <c r="D49" s="273">
        <v>148.63600000000005</v>
      </c>
      <c r="E49" s="273">
        <v>218.17899999999997</v>
      </c>
      <c r="F49" s="272">
        <v>0.68125713290463363</v>
      </c>
      <c r="G49" s="273">
        <v>2.8319999999999999</v>
      </c>
      <c r="H49" s="273">
        <v>-0.28880000000003747</v>
      </c>
      <c r="I49" s="272">
        <v>-2.4199394941083311E-2</v>
      </c>
      <c r="J49" s="272">
        <v>-0.28817138514468504</v>
      </c>
      <c r="K49" s="271">
        <v>0.54590969046030613</v>
      </c>
      <c r="L49" s="270">
        <f t="shared" si="1"/>
        <v>1.8318048158419922</v>
      </c>
      <c r="M49" s="269">
        <f>VLOOKUP(B49,'[3]Industry Averages'!$A$9:$E$104,5,0)</f>
        <v>-1.6908550269373573E-2</v>
      </c>
    </row>
    <row r="50" spans="2:13">
      <c r="B50" s="275" t="s">
        <v>495</v>
      </c>
      <c r="C50" s="274">
        <v>36</v>
      </c>
      <c r="D50" s="273">
        <v>349.27199999999999</v>
      </c>
      <c r="E50" s="273">
        <v>289.44400000000013</v>
      </c>
      <c r="F50" s="272">
        <v>1.206699741573499</v>
      </c>
      <c r="G50" s="273">
        <v>7.234</v>
      </c>
      <c r="H50" s="273">
        <v>0.22779999999966094</v>
      </c>
      <c r="I50" s="272">
        <v>5.3128495228211186E-3</v>
      </c>
      <c r="J50" s="272">
        <v>3.4634031632731738E-2</v>
      </c>
      <c r="K50" s="271">
        <v>1.8467133773836284</v>
      </c>
      <c r="L50" s="270">
        <f t="shared" si="1"/>
        <v>0.54150254839046652</v>
      </c>
      <c r="M50" s="269">
        <f>VLOOKUP(B50,'[3]Industry Averages'!$A$9:$E$104,5,0)</f>
        <v>4.9129456316730782E-2</v>
      </c>
    </row>
    <row r="51" spans="2:13">
      <c r="B51" s="275" t="s">
        <v>494</v>
      </c>
      <c r="C51" s="274">
        <v>24</v>
      </c>
      <c r="D51" s="273">
        <v>242.60499999999999</v>
      </c>
      <c r="E51" s="273">
        <v>190.98800000000006</v>
      </c>
      <c r="F51" s="272">
        <v>1.2702630531761154</v>
      </c>
      <c r="G51" s="273">
        <v>152.81300000000002</v>
      </c>
      <c r="H51" s="273">
        <v>0.80420000000000158</v>
      </c>
      <c r="I51" s="272">
        <v>5.4409208363942217E-2</v>
      </c>
      <c r="J51" s="272" t="s">
        <v>446</v>
      </c>
      <c r="K51" s="271">
        <v>2.016158684729112</v>
      </c>
      <c r="L51" s="270">
        <f t="shared" si="1"/>
        <v>0.49599270512497307</v>
      </c>
      <c r="M51" s="269" t="str">
        <f>VLOOKUP(B51,'[3]Industry Averages'!$A$9:$E$104,5,0)</f>
        <v>NA</v>
      </c>
    </row>
    <row r="52" spans="2:13">
      <c r="B52" s="275" t="s">
        <v>493</v>
      </c>
      <c r="C52" s="274">
        <v>2</v>
      </c>
      <c r="D52" s="273">
        <v>22.009999999999998</v>
      </c>
      <c r="E52" s="273">
        <v>20.84</v>
      </c>
      <c r="F52" s="272">
        <v>1.0561420345489443</v>
      </c>
      <c r="G52" s="273">
        <v>0</v>
      </c>
      <c r="H52" s="273">
        <v>0</v>
      </c>
      <c r="I52" s="272">
        <v>5.9022347777833736E-4</v>
      </c>
      <c r="J52" s="272" t="s">
        <v>446</v>
      </c>
      <c r="K52" s="271">
        <v>2.0227551020408163</v>
      </c>
      <c r="L52" s="270">
        <f t="shared" si="1"/>
        <v>0.49437522070322354</v>
      </c>
      <c r="M52" s="269" t="str">
        <f>VLOOKUP(B52,'[3]Industry Averages'!$A$9:$E$104,5,0)</f>
        <v>NA</v>
      </c>
    </row>
    <row r="53" spans="2:13">
      <c r="B53" s="275" t="s">
        <v>492</v>
      </c>
      <c r="C53" s="274">
        <v>7</v>
      </c>
      <c r="D53" s="273">
        <v>159.36000000000001</v>
      </c>
      <c r="E53" s="273">
        <v>-1789.213</v>
      </c>
      <c r="F53" s="272" t="s">
        <v>446</v>
      </c>
      <c r="G53" s="273">
        <v>0</v>
      </c>
      <c r="H53" s="273">
        <v>0</v>
      </c>
      <c r="I53" s="272">
        <v>1.5894366174205841E-2</v>
      </c>
      <c r="J53" s="272">
        <v>1.0830438797279165</v>
      </c>
      <c r="K53" s="271">
        <v>27.659866021622332</v>
      </c>
      <c r="L53" s="270">
        <f t="shared" si="1"/>
        <v>3.6153465068062073E-2</v>
      </c>
      <c r="M53" s="269">
        <f>VLOOKUP(B53,'[3]Industry Averages'!$A$9:$E$104,5,0)</f>
        <v>0.52271365920868906</v>
      </c>
    </row>
    <row r="54" spans="2:13">
      <c r="B54" s="275" t="s">
        <v>491</v>
      </c>
      <c r="C54" s="274">
        <v>2</v>
      </c>
      <c r="D54" s="273">
        <v>20.020000000000003</v>
      </c>
      <c r="E54" s="273">
        <v>7.7999999999999545</v>
      </c>
      <c r="F54" s="272">
        <v>2.566666666666682</v>
      </c>
      <c r="G54" s="273">
        <v>0</v>
      </c>
      <c r="H54" s="273">
        <v>0</v>
      </c>
      <c r="I54" s="272">
        <v>1.7839155632764555E-3</v>
      </c>
      <c r="J54" s="272">
        <v>2.3687101478835789E-2</v>
      </c>
      <c r="K54" s="271">
        <v>1.1971135683141541</v>
      </c>
      <c r="L54" s="270">
        <f t="shared" si="1"/>
        <v>0.83534263287004507</v>
      </c>
      <c r="M54" s="269">
        <f>VLOOKUP(B54,'[3]Industry Averages'!$A$9:$E$104,5,0)</f>
        <v>2.1071216029695549E-3</v>
      </c>
    </row>
    <row r="55" spans="2:13">
      <c r="B55" s="275" t="s">
        <v>490</v>
      </c>
      <c r="C55" s="274">
        <v>96</v>
      </c>
      <c r="D55" s="273">
        <v>123.97400000000006</v>
      </c>
      <c r="E55" s="273">
        <v>152.52400000000011</v>
      </c>
      <c r="F55" s="272">
        <v>0.81281634365739142</v>
      </c>
      <c r="G55" s="273">
        <v>1.4E-2</v>
      </c>
      <c r="H55" s="273">
        <v>0.79800000000000182</v>
      </c>
      <c r="I55" s="272">
        <v>-6.2420506007113043E-3</v>
      </c>
      <c r="J55" s="272">
        <v>-3.2318517770407194E-2</v>
      </c>
      <c r="K55" s="271">
        <v>0.23998447600853637</v>
      </c>
      <c r="L55" s="270">
        <f t="shared" si="1"/>
        <v>4.1669361978415198</v>
      </c>
      <c r="M55" s="269">
        <f>VLOOKUP(B55,'[3]Industry Averages'!$A$9:$E$104,5,0)</f>
        <v>-9.1890334416287415E-3</v>
      </c>
    </row>
    <row r="56" spans="2:13">
      <c r="B56" s="275" t="s">
        <v>489</v>
      </c>
      <c r="C56" s="274">
        <v>149</v>
      </c>
      <c r="D56" s="273">
        <v>364.84599999999972</v>
      </c>
      <c r="E56" s="273">
        <v>282.70999999999981</v>
      </c>
      <c r="F56" s="272">
        <v>1.2905309327579497</v>
      </c>
      <c r="G56" s="273">
        <v>47.929000000000009</v>
      </c>
      <c r="H56" s="273">
        <v>-203.96879999999976</v>
      </c>
      <c r="I56" s="272">
        <v>-6.5319394531836742E-3</v>
      </c>
      <c r="J56" s="272">
        <v>-8.107268208736218E-2</v>
      </c>
      <c r="K56" s="271">
        <v>1.749101753442039</v>
      </c>
      <c r="L56" s="270">
        <f t="shared" si="1"/>
        <v>0.57172202705309194</v>
      </c>
      <c r="M56" s="269">
        <f>VLOOKUP(B56,'[3]Industry Averages'!$A$9:$E$104,5,0)</f>
        <v>5.711745461804045E-2</v>
      </c>
    </row>
    <row r="57" spans="2:13">
      <c r="B57" s="275" t="s">
        <v>488</v>
      </c>
      <c r="C57" s="274">
        <v>39</v>
      </c>
      <c r="D57" s="273">
        <v>3290.7089999999994</v>
      </c>
      <c r="E57" s="273">
        <v>2544.5460000000012</v>
      </c>
      <c r="F57" s="272">
        <v>1.2932401300664236</v>
      </c>
      <c r="G57" s="273">
        <v>50.6</v>
      </c>
      <c r="H57" s="273">
        <v>2.4316000000017084</v>
      </c>
      <c r="I57" s="272">
        <v>1.5023865210204128E-2</v>
      </c>
      <c r="J57" s="272">
        <v>0.12188782901690641</v>
      </c>
      <c r="K57" s="271">
        <v>1.5089391479616288</v>
      </c>
      <c r="L57" s="270">
        <f t="shared" si="1"/>
        <v>0.66271724830710621</v>
      </c>
      <c r="M57" s="269">
        <f>VLOOKUP(B57,'[3]Industry Averages'!$A$9:$E$104,5,0)</f>
        <v>4.7486807148475557E-2</v>
      </c>
    </row>
    <row r="58" spans="2:13">
      <c r="B58" s="275" t="s">
        <v>487</v>
      </c>
      <c r="C58" s="274">
        <v>13</v>
      </c>
      <c r="D58" s="273">
        <v>11.138000000000002</v>
      </c>
      <c r="E58" s="273">
        <v>8.6159999999999997</v>
      </c>
      <c r="F58" s="272">
        <v>1.2927112349117922</v>
      </c>
      <c r="G58" s="273">
        <v>0</v>
      </c>
      <c r="H58" s="273">
        <v>4.3399999999998329E-2</v>
      </c>
      <c r="I58" s="272">
        <v>1.0388842543472452E-2</v>
      </c>
      <c r="J58" s="272">
        <v>0.16317856165464587</v>
      </c>
      <c r="K58" s="271">
        <v>1.9836940038374806</v>
      </c>
      <c r="L58" s="270">
        <f t="shared" si="1"/>
        <v>0.5041100079273757</v>
      </c>
      <c r="M58" s="269">
        <f>VLOOKUP(B58,'[3]Industry Averages'!$A$9:$E$104,5,0)</f>
        <v>9.4608582412233591E-2</v>
      </c>
    </row>
    <row r="59" spans="2:13">
      <c r="B59" s="275" t="s">
        <v>486</v>
      </c>
      <c r="C59" s="274">
        <v>1</v>
      </c>
      <c r="D59" s="273">
        <v>5441.3</v>
      </c>
      <c r="E59" s="273">
        <v>3108.8</v>
      </c>
      <c r="F59" s="272">
        <v>1.7502895007720021</v>
      </c>
      <c r="G59" s="273">
        <v>0</v>
      </c>
      <c r="H59" s="273">
        <v>6.7600000000002183</v>
      </c>
      <c r="I59" s="272">
        <v>3.1070945187593728E-2</v>
      </c>
      <c r="J59" s="272">
        <v>0.44887612996332521</v>
      </c>
      <c r="K59" s="271">
        <v>1.5854294393906911</v>
      </c>
      <c r="L59" s="270">
        <f t="shared" si="1"/>
        <v>0.63074393293990927</v>
      </c>
      <c r="M59" s="269">
        <f>VLOOKUP(B59,'[3]Industry Averages'!$A$9:$E$104,5,0)</f>
        <v>3.9412351988456329E-2</v>
      </c>
    </row>
    <row r="60" spans="2:13">
      <c r="B60" s="275" t="s">
        <v>485</v>
      </c>
      <c r="C60" s="274">
        <v>6</v>
      </c>
      <c r="D60" s="273">
        <v>984.04099999999994</v>
      </c>
      <c r="E60" s="273">
        <v>356.79100000000005</v>
      </c>
      <c r="F60" s="272">
        <v>2.7580320131393443</v>
      </c>
      <c r="G60" s="273">
        <v>0</v>
      </c>
      <c r="H60" s="273">
        <v>3.3999999999998636</v>
      </c>
      <c r="I60" s="272">
        <v>0.12979088160659558</v>
      </c>
      <c r="J60" s="272">
        <v>0.55508674543788539</v>
      </c>
      <c r="K60" s="271">
        <v>0.76607135875001109</v>
      </c>
      <c r="L60" s="270">
        <f t="shared" si="1"/>
        <v>1.3053614243347869</v>
      </c>
      <c r="M60" s="269">
        <f>VLOOKUP(B60,'[3]Industry Averages'!$A$9:$E$104,5,0)</f>
        <v>0.1360487245614464</v>
      </c>
    </row>
    <row r="61" spans="2:13">
      <c r="B61" s="275" t="s">
        <v>484</v>
      </c>
      <c r="C61" s="274">
        <v>11</v>
      </c>
      <c r="D61" s="273">
        <v>175.249</v>
      </c>
      <c r="E61" s="273">
        <v>307.99700000000001</v>
      </c>
      <c r="F61" s="272">
        <v>0.56899580190716137</v>
      </c>
      <c r="G61" s="273">
        <v>24.6</v>
      </c>
      <c r="H61" s="273">
        <v>0</v>
      </c>
      <c r="I61" s="272">
        <v>-1.2710918169556327E-2</v>
      </c>
      <c r="J61" s="272">
        <v>-0.13728573957960782</v>
      </c>
      <c r="K61" s="271">
        <v>2.4712319074834248</v>
      </c>
      <c r="L61" s="270">
        <f t="shared" si="1"/>
        <v>0.40465647799859805</v>
      </c>
      <c r="M61" s="269">
        <f>VLOOKUP(B61,'[3]Industry Averages'!$A$9:$E$104,5,0)</f>
        <v>5.1078271283413475E-2</v>
      </c>
    </row>
    <row r="62" spans="2:13">
      <c r="B62" s="275" t="s">
        <v>483</v>
      </c>
      <c r="C62" s="274">
        <v>22</v>
      </c>
      <c r="D62" s="273">
        <v>20972.774000000001</v>
      </c>
      <c r="E62" s="273">
        <v>7314.3220000000019</v>
      </c>
      <c r="F62" s="272">
        <v>2.8673572205325382</v>
      </c>
      <c r="G62" s="273">
        <v>303.3</v>
      </c>
      <c r="H62" s="273">
        <v>20.54859999999826</v>
      </c>
      <c r="I62" s="272">
        <v>4.307572207484802E-2</v>
      </c>
      <c r="J62" s="272">
        <v>1.2697498286588713</v>
      </c>
      <c r="K62" s="271">
        <v>1.7169471150374962</v>
      </c>
      <c r="L62" s="270">
        <f t="shared" si="1"/>
        <v>0.58242912157382387</v>
      </c>
      <c r="M62" s="269">
        <f>VLOOKUP(B62,'[3]Industry Averages'!$A$9:$E$104,5,0)</f>
        <v>0.14364011191390805</v>
      </c>
    </row>
    <row r="63" spans="2:13">
      <c r="B63" s="275" t="s">
        <v>482</v>
      </c>
      <c r="C63" s="274">
        <v>79</v>
      </c>
      <c r="D63" s="273">
        <v>496.73400000000004</v>
      </c>
      <c r="E63" s="273">
        <v>241.19500000000011</v>
      </c>
      <c r="F63" s="272">
        <v>2.0594705528721566</v>
      </c>
      <c r="G63" s="273">
        <v>-2.1000000000000001E-2</v>
      </c>
      <c r="H63" s="273">
        <v>0.70659999999998035</v>
      </c>
      <c r="I63" s="272">
        <v>3.951158378589182E-2</v>
      </c>
      <c r="J63" s="272">
        <v>0.69052921631519515</v>
      </c>
      <c r="K63" s="271">
        <v>1.478543060181414</v>
      </c>
      <c r="L63" s="270">
        <f t="shared" si="1"/>
        <v>0.67634147894029018</v>
      </c>
      <c r="M63" s="269">
        <f>VLOOKUP(B63,'[3]Industry Averages'!$A$9:$E$104,5,0)</f>
        <v>0.12924755000991897</v>
      </c>
    </row>
    <row r="64" spans="2:13">
      <c r="B64" s="275" t="s">
        <v>481</v>
      </c>
      <c r="C64" s="274">
        <v>50</v>
      </c>
      <c r="D64" s="273">
        <v>383.40699999999975</v>
      </c>
      <c r="E64" s="273">
        <v>200.15199999999996</v>
      </c>
      <c r="F64" s="272">
        <v>1.9155791598385219</v>
      </c>
      <c r="G64" s="273">
        <v>6.6289999999999996</v>
      </c>
      <c r="H64" s="273">
        <v>0.80820000000016989</v>
      </c>
      <c r="I64" s="272">
        <v>3.5064032631662356E-2</v>
      </c>
      <c r="J64" s="272">
        <v>0.36737281198455657</v>
      </c>
      <c r="K64" s="271">
        <v>1.2129510738707308</v>
      </c>
      <c r="L64" s="270">
        <f t="shared" si="1"/>
        <v>0.82443556178142607</v>
      </c>
      <c r="M64" s="269">
        <f>VLOOKUP(B64,'[3]Industry Averages'!$A$9:$E$104,5,0)</f>
        <v>5.7808054027391566E-2</v>
      </c>
    </row>
    <row r="65" spans="2:13">
      <c r="B65" s="275" t="s">
        <v>480</v>
      </c>
      <c r="C65" s="274">
        <v>30</v>
      </c>
      <c r="D65" s="273">
        <v>9577.5750000000044</v>
      </c>
      <c r="E65" s="273">
        <v>6046.0380000000014</v>
      </c>
      <c r="F65" s="272">
        <v>1.5841076420624551</v>
      </c>
      <c r="G65" s="273">
        <v>136.30000000000001</v>
      </c>
      <c r="H65" s="273">
        <v>11.251600000001417</v>
      </c>
      <c r="I65" s="272">
        <v>4.9610993909065593E-2</v>
      </c>
      <c r="J65" s="272">
        <v>0.33518376876360284</v>
      </c>
      <c r="K65" s="271">
        <v>0.54234523967187198</v>
      </c>
      <c r="L65" s="270">
        <f t="shared" si="1"/>
        <v>1.8438439703186422</v>
      </c>
      <c r="M65" s="269">
        <f>VLOOKUP(B65,'[3]Industry Averages'!$A$9:$E$104,5,0)</f>
        <v>5.2286628677512687E-2</v>
      </c>
    </row>
    <row r="66" spans="2:13">
      <c r="B66" s="275" t="s">
        <v>479</v>
      </c>
      <c r="C66" s="274">
        <v>1</v>
      </c>
      <c r="D66" s="273">
        <v>3.7999999999999999E-2</v>
      </c>
      <c r="E66" s="273">
        <v>3.0000000000000001E-3</v>
      </c>
      <c r="F66" s="272">
        <v>12.666666666666666</v>
      </c>
      <c r="G66" s="273">
        <v>0</v>
      </c>
      <c r="H66" s="273">
        <v>0</v>
      </c>
      <c r="I66" s="272">
        <v>8.7499999999999982</v>
      </c>
      <c r="J66" s="272" t="s">
        <v>446</v>
      </c>
      <c r="K66" s="271">
        <v>6.8622405215302803E-4</v>
      </c>
      <c r="L66" s="270">
        <f t="shared" si="1"/>
        <v>1457.2499999999998</v>
      </c>
      <c r="M66" s="269" t="str">
        <f>VLOOKUP(B66,'[3]Industry Averages'!$A$9:$E$104,5,0)</f>
        <v>NA</v>
      </c>
    </row>
    <row r="67" spans="2:13">
      <c r="B67" s="275" t="s">
        <v>478</v>
      </c>
      <c r="C67" s="274">
        <v>25</v>
      </c>
      <c r="D67" s="273">
        <v>22.612000000000002</v>
      </c>
      <c r="E67" s="273">
        <v>66.911999999999992</v>
      </c>
      <c r="F67" s="272">
        <v>0.33793639406982312</v>
      </c>
      <c r="G67" s="273">
        <v>4.9950000000000001</v>
      </c>
      <c r="H67" s="273">
        <v>0.10119999999997731</v>
      </c>
      <c r="I67" s="272">
        <v>-3.1455569703840829E-2</v>
      </c>
      <c r="J67" s="272">
        <v>-0.47283571497967053</v>
      </c>
      <c r="K67" s="271">
        <v>0.79541061078468267</v>
      </c>
      <c r="L67" s="270">
        <f t="shared" si="1"/>
        <v>1.2572122956889993</v>
      </c>
      <c r="M67" s="269">
        <f>VLOOKUP(B67,'[3]Industry Averages'!$A$9:$E$104,5,0)</f>
        <v>-2.0872202952572742E-3</v>
      </c>
    </row>
    <row r="68" spans="2:13">
      <c r="B68" s="275" t="s">
        <v>477</v>
      </c>
      <c r="C68" s="274">
        <v>4</v>
      </c>
      <c r="D68" s="273">
        <v>0.47899999999999998</v>
      </c>
      <c r="E68" s="273">
        <v>221.09999999999997</v>
      </c>
      <c r="F68" s="272">
        <v>2.1664405246494801E-3</v>
      </c>
      <c r="G68" s="273">
        <v>167.4</v>
      </c>
      <c r="H68" s="273">
        <v>0</v>
      </c>
      <c r="I68" s="272">
        <v>-5.5450093769535268E-2</v>
      </c>
      <c r="J68" s="272">
        <v>-0.1196015143947952</v>
      </c>
      <c r="K68" s="271">
        <v>0.10401742654947817</v>
      </c>
      <c r="L68" s="270">
        <f t="shared" si="1"/>
        <v>9.613773702854763</v>
      </c>
      <c r="M68" s="269">
        <f>VLOOKUP(B68,'[3]Industry Averages'!$A$9:$E$104,5,0)</f>
        <v>-5.255710794257038E-3</v>
      </c>
    </row>
    <row r="69" spans="2:13">
      <c r="B69" s="275" t="s">
        <v>476</v>
      </c>
      <c r="C69" s="274">
        <v>137</v>
      </c>
      <c r="D69" s="273">
        <v>458.39599999999967</v>
      </c>
      <c r="E69" s="273">
        <v>132.47399999999999</v>
      </c>
      <c r="F69" s="272">
        <v>3.4602714494919735</v>
      </c>
      <c r="G69" s="273">
        <v>-1.0689999999999991</v>
      </c>
      <c r="H69" s="273">
        <v>0.21940000000006421</v>
      </c>
      <c r="I69" s="272">
        <v>6.5727372224622632E-2</v>
      </c>
      <c r="J69" s="272">
        <v>0.46036074137383692</v>
      </c>
      <c r="K69" s="271">
        <v>0.3554555570308639</v>
      </c>
      <c r="L69" s="270">
        <f t="shared" si="1"/>
        <v>2.813291226484246</v>
      </c>
      <c r="M69" s="269">
        <f>VLOOKUP(B69,'[3]Industry Averages'!$A$9:$E$104,5,0)</f>
        <v>4.6094470092084644E-2</v>
      </c>
    </row>
    <row r="70" spans="2:13">
      <c r="B70" s="275" t="s">
        <v>475</v>
      </c>
      <c r="C70" s="274">
        <v>15</v>
      </c>
      <c r="D70" s="273">
        <v>43.756</v>
      </c>
      <c r="E70" s="273">
        <v>91.657000000000025</v>
      </c>
      <c r="F70" s="272">
        <v>0.47738852460804942</v>
      </c>
      <c r="G70" s="273">
        <v>114.001</v>
      </c>
      <c r="H70" s="273">
        <v>6.779999999997699E-2</v>
      </c>
      <c r="I70" s="272">
        <v>3.7157452992883269E-2</v>
      </c>
      <c r="J70" s="272">
        <v>0.1909782731680417</v>
      </c>
      <c r="K70" s="271">
        <v>0.18337935269557221</v>
      </c>
      <c r="L70" s="270">
        <f t="shared" ref="L70:L101" si="2">1/K70</f>
        <v>5.4531766270333524</v>
      </c>
      <c r="M70" s="269">
        <f>VLOOKUP(B70,'[3]Industry Averages'!$A$9:$E$104,5,0)</f>
        <v>-5.5160550821569329E-3</v>
      </c>
    </row>
    <row r="71" spans="2:13">
      <c r="B71" s="275" t="s">
        <v>474</v>
      </c>
      <c r="C71" s="274">
        <v>30</v>
      </c>
      <c r="D71" s="273">
        <v>2.4489999999999994</v>
      </c>
      <c r="E71" s="273">
        <v>24.219999999999995</v>
      </c>
      <c r="F71" s="272">
        <v>0.10111478117258464</v>
      </c>
      <c r="G71" s="273">
        <v>0</v>
      </c>
      <c r="H71" s="273">
        <v>2.0600000000001728E-2</v>
      </c>
      <c r="I71" s="272">
        <v>-0.12135806946575531</v>
      </c>
      <c r="J71" s="272">
        <v>-0.35085282609750534</v>
      </c>
      <c r="K71" s="271">
        <v>0.2223747310359025</v>
      </c>
      <c r="L71" s="270">
        <f t="shared" si="2"/>
        <v>4.4969138145401493</v>
      </c>
      <c r="M71" s="269">
        <f>VLOOKUP(B71,'[3]Industry Averages'!$A$9:$E$104,5,0)</f>
        <v>-3.2764428544759978E-2</v>
      </c>
    </row>
    <row r="72" spans="2:13">
      <c r="B72" s="275" t="s">
        <v>473</v>
      </c>
      <c r="C72" s="274">
        <v>11</v>
      </c>
      <c r="D72" s="273">
        <v>3.5510000000000002</v>
      </c>
      <c r="E72" s="273">
        <v>18.690000000000005</v>
      </c>
      <c r="F72" s="272">
        <v>0.18999464954521131</v>
      </c>
      <c r="G72" s="273">
        <v>0</v>
      </c>
      <c r="H72" s="273">
        <v>-3.5999999999987153E-3</v>
      </c>
      <c r="I72" s="272">
        <v>-0.13896245721260175</v>
      </c>
      <c r="J72" s="272">
        <v>-0.87944317733493726</v>
      </c>
      <c r="K72" s="271">
        <v>0.39546291225931024</v>
      </c>
      <c r="L72" s="270">
        <f t="shared" si="2"/>
        <v>2.5286821317501622</v>
      </c>
      <c r="M72" s="269">
        <f>VLOOKUP(B72,'[3]Industry Averages'!$A$9:$E$104,5,0)</f>
        <v>-4.8298479733488581E-2</v>
      </c>
    </row>
    <row r="73" spans="2:13">
      <c r="B73" s="275" t="s">
        <v>472</v>
      </c>
      <c r="C73" s="274">
        <v>1</v>
      </c>
      <c r="D73" s="273">
        <v>2.48</v>
      </c>
      <c r="E73" s="273">
        <v>0.79999999999995453</v>
      </c>
      <c r="F73" s="272">
        <v>3.1000000000001764</v>
      </c>
      <c r="G73" s="273">
        <v>0</v>
      </c>
      <c r="H73" s="273">
        <v>0</v>
      </c>
      <c r="I73" s="272">
        <v>2.8865483410938736E-4</v>
      </c>
      <c r="J73" s="272">
        <v>3.4129116353550874E-3</v>
      </c>
      <c r="K73" s="271">
        <v>1.0845425526562449</v>
      </c>
      <c r="L73" s="270">
        <f t="shared" si="2"/>
        <v>0.92204773113864036</v>
      </c>
      <c r="M73" s="269">
        <f>VLOOKUP(B73,'[3]Industry Averages'!$A$9:$E$104,5,0)</f>
        <v>3.1305845062155988E-4</v>
      </c>
    </row>
    <row r="74" spans="2:13">
      <c r="B74" s="275" t="s">
        <v>471</v>
      </c>
      <c r="C74" s="274">
        <v>13</v>
      </c>
      <c r="D74" s="273">
        <v>238.21899999999997</v>
      </c>
      <c r="E74" s="273">
        <v>197.71199999999996</v>
      </c>
      <c r="F74" s="272">
        <v>1.2048788136279034</v>
      </c>
      <c r="G74" s="273">
        <v>96.355000000000004</v>
      </c>
      <c r="H74" s="273">
        <v>0</v>
      </c>
      <c r="I74" s="272">
        <v>6.9807000694183399E-2</v>
      </c>
      <c r="J74" s="272">
        <v>0.88382400419783902</v>
      </c>
      <c r="K74" s="271">
        <v>1.1162340170939109</v>
      </c>
      <c r="L74" s="270">
        <f t="shared" si="2"/>
        <v>0.89586949034529206</v>
      </c>
      <c r="M74" s="269">
        <f>VLOOKUP(B74,'[3]Industry Averages'!$A$9:$E$104,5,0)</f>
        <v>8.9699132232692561E-2</v>
      </c>
    </row>
    <row r="75" spans="2:13">
      <c r="B75" s="275" t="s">
        <v>470</v>
      </c>
      <c r="C75" s="274">
        <v>4</v>
      </c>
      <c r="D75" s="273">
        <v>2.09</v>
      </c>
      <c r="E75" s="273">
        <v>2.9610000000000003</v>
      </c>
      <c r="F75" s="272">
        <v>0.7058426207362376</v>
      </c>
      <c r="G75" s="273">
        <v>0</v>
      </c>
      <c r="H75" s="273">
        <v>0</v>
      </c>
      <c r="I75" s="272">
        <v>-4.0863816990152355E-3</v>
      </c>
      <c r="J75" s="272">
        <v>-0.29761597466706147</v>
      </c>
      <c r="K75" s="271">
        <v>3.913251817580965</v>
      </c>
      <c r="L75" s="270">
        <f t="shared" si="2"/>
        <v>0.25554194992188489</v>
      </c>
      <c r="M75" s="269">
        <f>VLOOKUP(B75,'[3]Industry Averages'!$A$9:$E$104,5,0)</f>
        <v>0.11542089413722149</v>
      </c>
    </row>
    <row r="76" spans="2:13">
      <c r="B76" s="275" t="s">
        <v>469</v>
      </c>
      <c r="C76" s="274">
        <v>2</v>
      </c>
      <c r="D76" s="273">
        <v>5.16</v>
      </c>
      <c r="E76" s="273">
        <v>6.35</v>
      </c>
      <c r="F76" s="272">
        <v>0.81259842519685044</v>
      </c>
      <c r="G76" s="273">
        <v>0</v>
      </c>
      <c r="H76" s="273">
        <v>0</v>
      </c>
      <c r="I76" s="272">
        <v>-2.7262313860251992E-3</v>
      </c>
      <c r="J76" s="272">
        <v>-0.47387853055196599</v>
      </c>
      <c r="K76" s="271">
        <v>3.9317240136912268</v>
      </c>
      <c r="L76" s="270">
        <f t="shared" si="2"/>
        <v>0.2543413516609393</v>
      </c>
      <c r="M76" s="269">
        <f>VLOOKUP(B76,'[3]Industry Averages'!$A$9:$E$104,5,0)</f>
        <v>-7.0849812703902906E-2</v>
      </c>
    </row>
    <row r="77" spans="2:13">
      <c r="B77" s="275" t="s">
        <v>468</v>
      </c>
      <c r="C77" s="274">
        <v>239</v>
      </c>
      <c r="D77" s="273">
        <v>1877.3529999999996</v>
      </c>
      <c r="E77" s="273">
        <v>270.19499999999977</v>
      </c>
      <c r="F77" s="272">
        <v>6.9481411573123157</v>
      </c>
      <c r="G77" s="273">
        <v>66.355000000000004</v>
      </c>
      <c r="H77" s="273">
        <v>3.0000000000086402E-2</v>
      </c>
      <c r="I77" s="272">
        <v>8.6444957619814869E-2</v>
      </c>
      <c r="J77" s="272">
        <v>3.0138247652546903</v>
      </c>
      <c r="K77" s="271">
        <v>1.8495472161548048</v>
      </c>
      <c r="L77" s="270">
        <f t="shared" si="2"/>
        <v>0.54067286915712953</v>
      </c>
      <c r="M77" s="269">
        <f>VLOOKUP(B77,'[3]Industry Averages'!$A$9:$E$104,5,0)</f>
        <v>0.13155020801505649</v>
      </c>
    </row>
    <row r="78" spans="2:13">
      <c r="B78" s="275" t="s">
        <v>467</v>
      </c>
      <c r="C78" s="274">
        <v>5</v>
      </c>
      <c r="D78" s="273">
        <v>37.169999999999995</v>
      </c>
      <c r="E78" s="273">
        <v>304.18</v>
      </c>
      <c r="F78" s="272">
        <v>0.12219738312841079</v>
      </c>
      <c r="G78" s="273">
        <v>0</v>
      </c>
      <c r="H78" s="273">
        <v>0</v>
      </c>
      <c r="I78" s="272">
        <v>-0.11824019130280755</v>
      </c>
      <c r="J78" s="272" t="s">
        <v>446</v>
      </c>
      <c r="K78" s="271">
        <v>0.78189759225955302</v>
      </c>
      <c r="L78" s="270">
        <f t="shared" si="2"/>
        <v>1.2789398636081837</v>
      </c>
      <c r="M78" s="269" t="str">
        <f>VLOOKUP(B78,'[3]Industry Averages'!$A$9:$E$104,5,0)</f>
        <v>NA</v>
      </c>
    </row>
    <row r="79" spans="2:13">
      <c r="B79" s="275" t="s">
        <v>466</v>
      </c>
      <c r="C79" s="274">
        <v>5</v>
      </c>
      <c r="D79" s="273">
        <v>290.51799999999997</v>
      </c>
      <c r="E79" s="273">
        <v>72.546000000000006</v>
      </c>
      <c r="F79" s="272">
        <v>4.0046039754087053</v>
      </c>
      <c r="G79" s="273">
        <v>0</v>
      </c>
      <c r="H79" s="273">
        <v>0</v>
      </c>
      <c r="I79" s="272">
        <v>4.4944867420352821E-2</v>
      </c>
      <c r="J79" s="272">
        <v>0.77377882336589843</v>
      </c>
      <c r="K79" s="271">
        <v>2.8303328399949574</v>
      </c>
      <c r="L79" s="270">
        <f t="shared" si="2"/>
        <v>0.35331533658132647</v>
      </c>
      <c r="M79" s="269">
        <f>VLOOKUP(B79,'[3]Industry Averages'!$A$9:$E$104,5,0)</f>
        <v>0.21158284062596186</v>
      </c>
    </row>
    <row r="80" spans="2:13">
      <c r="B80" s="275" t="s">
        <v>465</v>
      </c>
      <c r="C80" s="274">
        <v>13</v>
      </c>
      <c r="D80" s="273">
        <v>35.311</v>
      </c>
      <c r="E80" s="273">
        <v>47.831000000000003</v>
      </c>
      <c r="F80" s="272">
        <v>0.73824507118814153</v>
      </c>
      <c r="G80" s="273">
        <v>26.27</v>
      </c>
      <c r="H80" s="273">
        <v>0.42920000000003711</v>
      </c>
      <c r="I80" s="272">
        <v>8.3257489192944192E-3</v>
      </c>
      <c r="J80" s="272" t="s">
        <v>446</v>
      </c>
      <c r="K80" s="271">
        <v>0.90286408066942947</v>
      </c>
      <c r="L80" s="270">
        <f t="shared" si="2"/>
        <v>1.1075864256982613</v>
      </c>
      <c r="M80" s="269" t="str">
        <f>VLOOKUP(B80,'[3]Industry Averages'!$A$9:$E$104,5,0)</f>
        <v>NA</v>
      </c>
    </row>
    <row r="81" spans="2:13">
      <c r="B81" s="275" t="s">
        <v>464</v>
      </c>
      <c r="C81" s="274">
        <v>28</v>
      </c>
      <c r="D81" s="273">
        <v>130.67999999999998</v>
      </c>
      <c r="E81" s="273">
        <v>208.64199999999997</v>
      </c>
      <c r="F81" s="272">
        <v>0.62633602055195026</v>
      </c>
      <c r="G81" s="273">
        <v>-0.12</v>
      </c>
      <c r="H81" s="273">
        <v>0.13580000000001746</v>
      </c>
      <c r="I81" s="272">
        <v>-1.6713976996844022E-2</v>
      </c>
      <c r="J81" s="272">
        <v>-0.7382619924875593</v>
      </c>
      <c r="K81" s="271">
        <v>1.5681994972937092</v>
      </c>
      <c r="L81" s="270">
        <f t="shared" si="2"/>
        <v>0.6376739705156973</v>
      </c>
      <c r="M81" s="269">
        <f>VLOOKUP(B81,'[3]Industry Averages'!$A$9:$E$104,5,0)</f>
        <v>6.9002525312139878E-2</v>
      </c>
    </row>
    <row r="82" spans="2:13">
      <c r="B82" s="275" t="s">
        <v>463</v>
      </c>
      <c r="C82" s="274">
        <v>16</v>
      </c>
      <c r="D82" s="273">
        <v>867.07800000000009</v>
      </c>
      <c r="E82" s="273">
        <v>510.80799999999994</v>
      </c>
      <c r="F82" s="272">
        <v>1.697463626254875</v>
      </c>
      <c r="G82" s="273">
        <v>0</v>
      </c>
      <c r="H82" s="273">
        <v>2.4633999999999787</v>
      </c>
      <c r="I82" s="272">
        <v>3.4196272715001814E-2</v>
      </c>
      <c r="J82" s="272">
        <v>0.8589267525665949</v>
      </c>
      <c r="K82" s="271">
        <v>1.3204628527400293</v>
      </c>
      <c r="L82" s="270">
        <f t="shared" si="2"/>
        <v>0.75731020976845187</v>
      </c>
      <c r="M82" s="269">
        <f>VLOOKUP(B82,'[3]Industry Averages'!$A$9:$E$104,5,0)</f>
        <v>0.10110433623143425</v>
      </c>
    </row>
    <row r="83" spans="2:13">
      <c r="B83" s="275" t="s">
        <v>462</v>
      </c>
      <c r="C83" s="274">
        <v>8</v>
      </c>
      <c r="D83" s="273">
        <v>11.166</v>
      </c>
      <c r="E83" s="273">
        <v>3.5999999999999996</v>
      </c>
      <c r="F83" s="272">
        <v>3.101666666666667</v>
      </c>
      <c r="G83" s="273">
        <v>0</v>
      </c>
      <c r="H83" s="273">
        <v>5.119999999999969E-2</v>
      </c>
      <c r="I83" s="272">
        <v>9.8898987276032205E-2</v>
      </c>
      <c r="J83" s="272">
        <v>6.4894376296640539</v>
      </c>
      <c r="K83" s="271">
        <v>0.90744999717231878</v>
      </c>
      <c r="L83" s="270">
        <f t="shared" si="2"/>
        <v>1.1019890937418853</v>
      </c>
      <c r="M83" s="269">
        <f>VLOOKUP(B83,'[3]Industry Averages'!$A$9:$E$104,5,0)</f>
        <v>0.15848687566684819</v>
      </c>
    </row>
    <row r="84" spans="2:13">
      <c r="B84" s="275" t="s">
        <v>461</v>
      </c>
      <c r="C84" s="274">
        <v>1</v>
      </c>
      <c r="D84" s="273">
        <v>59.9</v>
      </c>
      <c r="E84" s="273">
        <v>5.22</v>
      </c>
      <c r="F84" s="272">
        <v>11.475095785440613</v>
      </c>
      <c r="G84" s="273">
        <v>0</v>
      </c>
      <c r="H84" s="273">
        <v>0</v>
      </c>
      <c r="I84" s="272">
        <v>0.64481132075471703</v>
      </c>
      <c r="J84" s="272">
        <v>3.1907520266412459</v>
      </c>
      <c r="K84" s="271">
        <v>0.84453739667363803</v>
      </c>
      <c r="L84" s="270">
        <f t="shared" si="2"/>
        <v>1.1840801886792454</v>
      </c>
      <c r="M84" s="269">
        <f>VLOOKUP(B84,'[3]Industry Averages'!$A$9:$E$104,5,0)</f>
        <v>0.63668957275171789</v>
      </c>
    </row>
    <row r="85" spans="2:13">
      <c r="B85" s="275" t="s">
        <v>460</v>
      </c>
      <c r="C85" s="274">
        <v>20</v>
      </c>
      <c r="D85" s="273">
        <v>931.37200000000007</v>
      </c>
      <c r="E85" s="273">
        <v>501.19700000000017</v>
      </c>
      <c r="F85" s="272">
        <v>1.8582952411925844</v>
      </c>
      <c r="G85" s="273">
        <v>186.8</v>
      </c>
      <c r="H85" s="273">
        <v>0</v>
      </c>
      <c r="I85" s="272">
        <v>0.16691158846212736</v>
      </c>
      <c r="J85" s="272">
        <v>0.53795637574683053</v>
      </c>
      <c r="K85" s="271">
        <v>0.33701841721371267</v>
      </c>
      <c r="L85" s="270">
        <f t="shared" si="2"/>
        <v>2.9671968916935256</v>
      </c>
      <c r="M85" s="269">
        <f>VLOOKUP(B85,'[3]Industry Averages'!$A$9:$E$104,5,0)</f>
        <v>5.3748694638332047E-2</v>
      </c>
    </row>
    <row r="86" spans="2:13">
      <c r="B86" s="275" t="s">
        <v>459</v>
      </c>
      <c r="C86" s="274">
        <v>12</v>
      </c>
      <c r="D86" s="273">
        <v>59.263999999999989</v>
      </c>
      <c r="E86" s="273">
        <v>69.007000000000005</v>
      </c>
      <c r="F86" s="272">
        <v>0.85881142492790563</v>
      </c>
      <c r="G86" s="273">
        <v>-1E-3</v>
      </c>
      <c r="H86" s="273">
        <v>0.39379999999999882</v>
      </c>
      <c r="I86" s="272">
        <v>-7.1880933894018367E-3</v>
      </c>
      <c r="J86" s="272">
        <v>-8.5463059597548505E-2</v>
      </c>
      <c r="K86" s="271">
        <v>1.6084227196896292</v>
      </c>
      <c r="L86" s="270">
        <f t="shared" si="2"/>
        <v>0.62172710429815736</v>
      </c>
      <c r="M86" s="269">
        <f>VLOOKUP(B86,'[3]Industry Averages'!$A$9:$E$104,5,0)</f>
        <v>0.11401249404090913</v>
      </c>
    </row>
    <row r="87" spans="2:13">
      <c r="B87" s="275" t="s">
        <v>458</v>
      </c>
      <c r="C87" s="274">
        <v>7</v>
      </c>
      <c r="D87" s="273">
        <v>10.950000000000001</v>
      </c>
      <c r="E87" s="273">
        <v>48.873999999999988</v>
      </c>
      <c r="F87" s="272">
        <v>0.22404550476736104</v>
      </c>
      <c r="G87" s="273">
        <v>12.31</v>
      </c>
      <c r="H87" s="273">
        <v>1.2372000000000298</v>
      </c>
      <c r="I87" s="272">
        <v>-1.9746166083978358E-2</v>
      </c>
      <c r="J87" s="272">
        <v>-0.12663169957560894</v>
      </c>
      <c r="K87" s="271">
        <v>0.34598690857922021</v>
      </c>
      <c r="L87" s="270">
        <f t="shared" si="2"/>
        <v>2.8902827685199286</v>
      </c>
      <c r="M87" s="269">
        <f>VLOOKUP(B87,'[3]Industry Averages'!$A$9:$E$104,5,0)</f>
        <v>2.4117780387075665E-2</v>
      </c>
    </row>
    <row r="88" spans="2:13">
      <c r="B88" s="275" t="s">
        <v>457</v>
      </c>
      <c r="C88" s="274">
        <v>7</v>
      </c>
      <c r="D88" s="273">
        <v>2.84</v>
      </c>
      <c r="E88" s="273">
        <v>2.6119999999999997</v>
      </c>
      <c r="F88" s="272">
        <v>1.0872894333843799</v>
      </c>
      <c r="G88" s="273">
        <v>0</v>
      </c>
      <c r="H88" s="273">
        <v>0</v>
      </c>
      <c r="I88" s="272">
        <v>7.0634158431178238E-3</v>
      </c>
      <c r="J88" s="272">
        <v>4.4442976080348924E-2</v>
      </c>
      <c r="K88" s="271">
        <v>2.8522576654590441</v>
      </c>
      <c r="L88" s="270">
        <f t="shared" si="2"/>
        <v>0.35059946094984351</v>
      </c>
      <c r="M88" s="269">
        <f>VLOOKUP(B88,'[3]Industry Averages'!$A$9:$E$104,5,0)</f>
        <v>-3.6861833522354379E-2</v>
      </c>
    </row>
    <row r="89" spans="2:13">
      <c r="B89" s="275" t="s">
        <v>456</v>
      </c>
      <c r="C89" s="274">
        <v>74</v>
      </c>
      <c r="D89" s="273">
        <v>144.428</v>
      </c>
      <c r="E89" s="273">
        <v>159.71399999999994</v>
      </c>
      <c r="F89" s="272">
        <v>0.90429142091488568</v>
      </c>
      <c r="G89" s="273">
        <v>196.19200000000001</v>
      </c>
      <c r="H89" s="273">
        <v>32.915199999999686</v>
      </c>
      <c r="I89" s="272">
        <v>4.4408638596875938E-2</v>
      </c>
      <c r="J89" s="272">
        <v>0.35783811019503092</v>
      </c>
      <c r="K89" s="271">
        <v>1.7224831308002928</v>
      </c>
      <c r="L89" s="270">
        <f t="shared" si="2"/>
        <v>0.58055720959971568</v>
      </c>
      <c r="M89" s="269">
        <f>VLOOKUP(B89,'[3]Industry Averages'!$A$9:$E$104,5,0)</f>
        <v>0.16585903789882139</v>
      </c>
    </row>
    <row r="90" spans="2:13">
      <c r="B90" s="275" t="s">
        <v>455</v>
      </c>
      <c r="C90" s="274">
        <v>157</v>
      </c>
      <c r="D90" s="273">
        <v>6002.2589999999982</v>
      </c>
      <c r="E90" s="273">
        <v>3615.0210000000015</v>
      </c>
      <c r="F90" s="272">
        <v>1.6603662883286143</v>
      </c>
      <c r="G90" s="273">
        <v>1294.383</v>
      </c>
      <c r="H90" s="273">
        <v>53.603199999999561</v>
      </c>
      <c r="I90" s="272">
        <v>3.5892631528412898E-2</v>
      </c>
      <c r="J90" s="272">
        <v>0.38824087955432512</v>
      </c>
      <c r="K90" s="271">
        <v>1.4225481431856728</v>
      </c>
      <c r="L90" s="270">
        <f t="shared" si="2"/>
        <v>0.70296390655755736</v>
      </c>
      <c r="M90" s="269">
        <f>VLOOKUP(B90,'[3]Industry Averages'!$A$9:$E$104,5,0)</f>
        <v>0.10464826489767565</v>
      </c>
    </row>
    <row r="91" spans="2:13">
      <c r="B91" s="275" t="s">
        <v>454</v>
      </c>
      <c r="C91" s="274">
        <v>3</v>
      </c>
      <c r="D91" s="273">
        <v>3793.3300000000004</v>
      </c>
      <c r="E91" s="273">
        <v>7141.7999999999993</v>
      </c>
      <c r="F91" s="272">
        <v>0.53114480943179598</v>
      </c>
      <c r="G91" s="273">
        <v>0</v>
      </c>
      <c r="H91" s="273">
        <v>0</v>
      </c>
      <c r="I91" s="272">
        <v>-0.15952387758213274</v>
      </c>
      <c r="J91" s="272">
        <v>-1.8400342115345576</v>
      </c>
      <c r="K91" s="271">
        <v>0.40842598465950875</v>
      </c>
      <c r="L91" s="270">
        <f t="shared" si="2"/>
        <v>2.4484240414665757</v>
      </c>
      <c r="M91" s="269">
        <f>VLOOKUP(B91,'[3]Industry Averages'!$A$9:$E$104,5,0)</f>
        <v>-0.12187764883110659</v>
      </c>
    </row>
    <row r="92" spans="2:13">
      <c r="B92" s="275" t="s">
        <v>453</v>
      </c>
      <c r="C92" s="274">
        <v>20</v>
      </c>
      <c r="D92" s="273">
        <v>99.47499999999998</v>
      </c>
      <c r="E92" s="273">
        <v>74.324999999999989</v>
      </c>
      <c r="F92" s="272">
        <v>1.3383787420114361</v>
      </c>
      <c r="G92" s="273">
        <v>29.494</v>
      </c>
      <c r="H92" s="273">
        <v>12.539400000000001</v>
      </c>
      <c r="I92" s="272">
        <v>4.2849452832908363E-2</v>
      </c>
      <c r="J92" s="272">
        <v>8.5530831082903198</v>
      </c>
      <c r="K92" s="271">
        <v>0.72113930050829955</v>
      </c>
      <c r="L92" s="270">
        <f t="shared" si="2"/>
        <v>1.386694636244542</v>
      </c>
      <c r="M92" s="269">
        <f>VLOOKUP(B92,'[3]Industry Averages'!$A$9:$E$104,5,0)</f>
        <v>0.41266932855821736</v>
      </c>
    </row>
    <row r="93" spans="2:13">
      <c r="B93" s="275" t="s">
        <v>452</v>
      </c>
      <c r="C93" s="274">
        <v>13</v>
      </c>
      <c r="D93" s="273">
        <v>631.6880000000001</v>
      </c>
      <c r="E93" s="273">
        <v>1110.921</v>
      </c>
      <c r="F93" s="272">
        <v>0.5686164902814872</v>
      </c>
      <c r="G93" s="273">
        <v>2.1800000000000002</v>
      </c>
      <c r="H93" s="273">
        <v>1.5380000000000109</v>
      </c>
      <c r="I93" s="272">
        <v>-6.8482063377970318E-2</v>
      </c>
      <c r="J93" s="272">
        <v>-0.51772315476876751</v>
      </c>
      <c r="K93" s="271">
        <v>1.9842149074666495</v>
      </c>
      <c r="L93" s="270">
        <f t="shared" si="2"/>
        <v>0.50397766705459945</v>
      </c>
      <c r="M93" s="269">
        <f>VLOOKUP(B93,'[3]Industry Averages'!$A$9:$E$104,5,0)</f>
        <v>2.2028553515396176E-2</v>
      </c>
    </row>
    <row r="94" spans="2:13">
      <c r="B94" s="275" t="s">
        <v>451</v>
      </c>
      <c r="C94" s="274">
        <v>5</v>
      </c>
      <c r="D94" s="273">
        <v>394.26600000000002</v>
      </c>
      <c r="E94" s="273">
        <v>243.61600000000001</v>
      </c>
      <c r="F94" s="272">
        <v>1.6183912386706949</v>
      </c>
      <c r="G94" s="273">
        <v>8.76</v>
      </c>
      <c r="H94" s="273">
        <v>-2.0200000000386353E-2</v>
      </c>
      <c r="I94" s="272">
        <v>1.7551893721658003E-2</v>
      </c>
      <c r="J94" s="272">
        <v>7.6115496138828051E-2</v>
      </c>
      <c r="K94" s="271">
        <v>1.0789829296784386</v>
      </c>
      <c r="L94" s="270">
        <f t="shared" si="2"/>
        <v>0.92679872173512767</v>
      </c>
      <c r="M94" s="269">
        <f>VLOOKUP(B94,'[3]Industry Averages'!$A$9:$E$104,5,0)</f>
        <v>3.4434114836931928E-2</v>
      </c>
    </row>
    <row r="95" spans="2:13">
      <c r="B95" s="275" t="s">
        <v>450</v>
      </c>
      <c r="C95" s="274">
        <v>38</v>
      </c>
      <c r="D95" s="273">
        <v>412.60900000000004</v>
      </c>
      <c r="E95" s="273">
        <v>335.01199999999989</v>
      </c>
      <c r="F95" s="272">
        <v>1.2316245388224905</v>
      </c>
      <c r="G95" s="273">
        <v>4.7799999999999994</v>
      </c>
      <c r="H95" s="273">
        <v>-5.0200000000074851E-2</v>
      </c>
      <c r="I95" s="272">
        <v>1.1583083397924708E-2</v>
      </c>
      <c r="J95" s="272">
        <v>0.30380125344752773</v>
      </c>
      <c r="K95" s="271">
        <v>1.5809663907316838</v>
      </c>
      <c r="L95" s="270">
        <f t="shared" si="2"/>
        <v>0.63252451529800835</v>
      </c>
      <c r="M95" s="269">
        <f>VLOOKUP(B95,'[3]Industry Averages'!$A$9:$E$104,5,0)</f>
        <v>2.4630860304572632E-2</v>
      </c>
    </row>
    <row r="96" spans="2:13">
      <c r="B96" s="275" t="s">
        <v>449</v>
      </c>
      <c r="C96" s="274">
        <v>1</v>
      </c>
      <c r="D96" s="273">
        <v>69.8</v>
      </c>
      <c r="E96" s="273">
        <v>68.2</v>
      </c>
      <c r="F96" s="272">
        <v>1.0234604105571847</v>
      </c>
      <c r="G96" s="273">
        <v>0</v>
      </c>
      <c r="H96" s="273">
        <v>0</v>
      </c>
      <c r="I96" s="272">
        <v>1.6323199347071968E-3</v>
      </c>
      <c r="J96" s="272">
        <v>1.3160349118764644E-2</v>
      </c>
      <c r="K96" s="271">
        <v>0.85427924002091704</v>
      </c>
      <c r="L96" s="270">
        <f t="shared" si="2"/>
        <v>1.1705774331769023</v>
      </c>
      <c r="M96" s="269">
        <f>VLOOKUP(B96,'[3]Industry Averages'!$A$9:$E$104,5,0)</f>
        <v>5.1507756667247204E-4</v>
      </c>
    </row>
    <row r="97" spans="2:13">
      <c r="B97" s="275" t="s">
        <v>448</v>
      </c>
      <c r="C97" s="274">
        <v>12</v>
      </c>
      <c r="D97" s="273">
        <v>39.138999999999996</v>
      </c>
      <c r="E97" s="273">
        <v>24.734999999999996</v>
      </c>
      <c r="F97" s="272">
        <v>1.5823327269051952</v>
      </c>
      <c r="G97" s="273">
        <v>0</v>
      </c>
      <c r="H97" s="273">
        <v>0</v>
      </c>
      <c r="I97" s="272">
        <v>2.3913404389547425E-2</v>
      </c>
      <c r="J97" s="272">
        <v>0.39030082429653307</v>
      </c>
      <c r="K97" s="271">
        <v>2.4414306327923612</v>
      </c>
      <c r="L97" s="270">
        <f t="shared" si="2"/>
        <v>0.40959590928711348</v>
      </c>
      <c r="M97" s="269">
        <f>VLOOKUP(B97,'[3]Industry Averages'!$A$9:$E$104,5,0)</f>
        <v>9.9366887233555121E-2</v>
      </c>
    </row>
    <row r="98" spans="2:13">
      <c r="B98" s="275" t="s">
        <v>447</v>
      </c>
      <c r="C98" s="274">
        <v>0</v>
      </c>
      <c r="D98" s="273">
        <v>0</v>
      </c>
      <c r="E98" s="273">
        <v>0</v>
      </c>
      <c r="F98" s="272" t="s">
        <v>446</v>
      </c>
      <c r="G98" s="273">
        <v>0</v>
      </c>
      <c r="H98" s="273">
        <v>0</v>
      </c>
      <c r="I98" s="272" t="s">
        <v>446</v>
      </c>
      <c r="J98" s="272" t="s">
        <v>446</v>
      </c>
      <c r="K98" s="271" t="s">
        <v>446</v>
      </c>
      <c r="L98" s="270" t="e">
        <f t="shared" si="2"/>
        <v>#VALUE!</v>
      </c>
      <c r="M98" s="269" t="str">
        <f>VLOOKUP(B98,'[3]Industry Averages'!$A$9:$E$104,5,0)</f>
        <v>NA</v>
      </c>
    </row>
    <row r="99" spans="2:13" ht="15" thickBot="1">
      <c r="B99" s="268" t="s">
        <v>445</v>
      </c>
      <c r="C99" s="267">
        <v>1</v>
      </c>
      <c r="D99" s="266">
        <v>0.33100000000000002</v>
      </c>
      <c r="E99" s="266">
        <v>1.1499999999999999</v>
      </c>
      <c r="F99" s="265">
        <v>0.28782608695652179</v>
      </c>
      <c r="G99" s="266">
        <v>0</v>
      </c>
      <c r="H99" s="266">
        <v>1.2620000000000005</v>
      </c>
      <c r="I99" s="265">
        <v>1.1937483158178401E-3</v>
      </c>
      <c r="J99" s="265">
        <v>2.1168747151279928E-2</v>
      </c>
      <c r="K99" s="264">
        <v>1.5152257527131978</v>
      </c>
      <c r="L99" s="263">
        <f t="shared" si="2"/>
        <v>0.65996766370250581</v>
      </c>
      <c r="M99" s="262">
        <f>VLOOKUP(B99,'[3]Industry Averages'!$A$9:$E$104,5,0)</f>
        <v>0.15376352282718506</v>
      </c>
    </row>
    <row r="100" spans="2:13">
      <c r="B100" s="261" t="s">
        <v>444</v>
      </c>
      <c r="C100" s="260">
        <v>4149</v>
      </c>
      <c r="D100" s="259">
        <v>91128.195999999996</v>
      </c>
      <c r="E100" s="259">
        <v>56787.84999999978</v>
      </c>
      <c r="F100" s="258">
        <v>1.6047129095396349</v>
      </c>
      <c r="G100" s="259">
        <v>7200.6379999999963</v>
      </c>
      <c r="H100" s="259">
        <v>290.68879999994533</v>
      </c>
      <c r="I100" s="258">
        <v>2.4042222648084761E-2</v>
      </c>
      <c r="J100" s="258">
        <v>0.35915811387293384</v>
      </c>
      <c r="K100" s="257">
        <v>0.92986384073918371</v>
      </c>
      <c r="L100" s="256">
        <f t="shared" si="2"/>
        <v>1.0754262680061442</v>
      </c>
      <c r="M100" s="255">
        <f>VLOOKUP(B100,'[3]Industry Averages'!$A$9:$E$104,5,0)</f>
        <v>4.5696556435610526E-2</v>
      </c>
    </row>
    <row r="101" spans="2:13" ht="15" thickBot="1">
      <c r="B101" s="254" t="s">
        <v>443</v>
      </c>
      <c r="C101" s="253">
        <v>3577</v>
      </c>
      <c r="D101" s="252">
        <v>87192.377000000008</v>
      </c>
      <c r="E101" s="252">
        <v>57704.895999999782</v>
      </c>
      <c r="F101" s="251">
        <v>1.5110048374404892</v>
      </c>
      <c r="G101" s="252">
        <v>6627.3379999999952</v>
      </c>
      <c r="H101" s="252">
        <v>288.54959999994026</v>
      </c>
      <c r="I101" s="251">
        <v>2.5165026512248102E-2</v>
      </c>
      <c r="J101" s="251">
        <v>0.32789454018099928</v>
      </c>
      <c r="K101" s="250">
        <v>1.2945771705117866</v>
      </c>
      <c r="L101" s="249">
        <f t="shared" si="2"/>
        <v>0.77245298525129169</v>
      </c>
      <c r="M101" s="248">
        <f>VLOOKUP(B101,'[3]Industry Averages'!$A$9:$E$104,5,0)</f>
        <v>7.0760858358327683E-2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Profit &amp; Loss</vt:lpstr>
      <vt:lpstr>Quarters</vt:lpstr>
      <vt:lpstr>Cash Flow Statement</vt:lpstr>
      <vt:lpstr>HistoricalFS</vt:lpstr>
      <vt:lpstr>Balance Sheet</vt:lpstr>
      <vt:lpstr>Ratio Analysis</vt:lpstr>
      <vt:lpstr>Cash Flow</vt:lpstr>
      <vt:lpstr>Forecasting</vt:lpstr>
      <vt:lpstr>DCF&gt;</vt:lpstr>
      <vt:lpstr>WACC</vt:lpstr>
      <vt:lpstr>Beta</vt:lpstr>
      <vt:lpstr>Data&gt;</vt:lpstr>
      <vt:lpstr>Beta - Comps</vt:lpstr>
      <vt:lpstr>RM</vt:lpstr>
      <vt:lpstr>Intrinic Growth</vt:lpstr>
      <vt:lpstr>Comps Value</vt:lpstr>
      <vt:lpstr>Football Analysis</vt:lpstr>
      <vt:lpstr>Data Room&gt;</vt:lpstr>
      <vt:lpstr>Data Sheet</vt:lpstr>
      <vt:lpstr>Raw FS</vt:lpstr>
      <vt:lpstr>Data</vt:lpstr>
      <vt:lpstr>Sector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Krishna C</cp:lastModifiedBy>
  <cp:lastPrinted>2025-02-05T17:29:26Z</cp:lastPrinted>
  <dcterms:created xsi:type="dcterms:W3CDTF">2012-08-17T09:55:37Z</dcterms:created>
  <dcterms:modified xsi:type="dcterms:W3CDTF">2025-02-06T18:24:29Z</dcterms:modified>
</cp:coreProperties>
</file>