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capstone\PRESENTATION\ppt\"/>
    </mc:Choice>
  </mc:AlternateContent>
  <xr:revisionPtr revIDLastSave="0" documentId="13_ncr:1_{AB62FC06-AA30-4D5B-8E44-BAD7C9FD6A45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original" sheetId="2" r:id="rId1"/>
    <sheet name="drone" sheetId="4" state="hidden" r:id="rId2"/>
    <sheet name="delivery_executive_impact" sheetId="7" r:id="rId3"/>
    <sheet name="drone_final" sheetId="9" r:id="rId4"/>
    <sheet name="final_Cal" sheetId="10" state="hidden" r:id="rId5"/>
    <sheet name="drone system cost" sheetId="11" state="hidden" r:id="rId6"/>
    <sheet name="main_table" sheetId="12" r:id="rId7"/>
    <sheet name="Charts" sheetId="13" r:id="rId8"/>
    <sheet name="time_analysis" sheetId="14" state="hidden" r:id="rId9"/>
    <sheet name="detractors" sheetId="8" state="hidden" r:id="rId10"/>
  </sheets>
  <definedNames>
    <definedName name="_xlchart.v2.0" hidden="1">main_table!$B$49:$B$54</definedName>
    <definedName name="_xlchart.v2.1" hidden="1">main_table!$H$48</definedName>
    <definedName name="_xlchart.v2.2" hidden="1">main_table!$H$49:$H$54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3" i="12" l="1"/>
  <c r="H50" i="12"/>
  <c r="H51" i="12"/>
  <c r="H52" i="12"/>
  <c r="H53" i="12"/>
  <c r="H54" i="12"/>
  <c r="H49" i="12"/>
  <c r="F24" i="12"/>
  <c r="F25" i="12"/>
  <c r="F26" i="12"/>
  <c r="F27" i="12"/>
  <c r="F28" i="12"/>
  <c r="F29" i="12"/>
  <c r="F30" i="12"/>
  <c r="F31" i="12"/>
  <c r="F32" i="12"/>
  <c r="D43" i="9"/>
  <c r="D44" i="9"/>
  <c r="D45" i="9"/>
  <c r="D46" i="9"/>
  <c r="D47" i="9"/>
  <c r="D48" i="9"/>
  <c r="D49" i="9"/>
  <c r="D50" i="9"/>
  <c r="D42" i="9"/>
  <c r="C50" i="12"/>
  <c r="C51" i="12"/>
  <c r="C52" i="12"/>
  <c r="C53" i="12"/>
  <c r="C54" i="12"/>
  <c r="C49" i="12"/>
  <c r="N52" i="9"/>
  <c r="N53" i="9"/>
  <c r="N54" i="9"/>
  <c r="N55" i="9"/>
  <c r="N56" i="9"/>
  <c r="N51" i="9"/>
  <c r="D47" i="7"/>
  <c r="F29" i="7"/>
  <c r="F30" i="7"/>
  <c r="F31" i="7"/>
  <c r="F28" i="7"/>
  <c r="F5" i="7"/>
  <c r="F6" i="7"/>
  <c r="F7" i="7"/>
  <c r="F4" i="7"/>
  <c r="D35" i="7"/>
  <c r="H50" i="7"/>
  <c r="H53" i="7" s="1"/>
  <c r="E23" i="14"/>
  <c r="E24" i="14"/>
  <c r="K29" i="14"/>
  <c r="M29" i="14" s="1"/>
  <c r="K27" i="14"/>
  <c r="M27" i="14" s="1"/>
  <c r="K28" i="14"/>
  <c r="M28" i="14" s="1"/>
  <c r="K23" i="14"/>
  <c r="M23" i="14" s="1"/>
  <c r="K24" i="14"/>
  <c r="M24" i="14" s="1"/>
  <c r="K25" i="14"/>
  <c r="M25" i="14" s="1"/>
  <c r="K26" i="14"/>
  <c r="M26" i="14" s="1"/>
  <c r="K22" i="14"/>
  <c r="M22" i="14" s="1"/>
  <c r="M19" i="14"/>
  <c r="K19" i="14"/>
  <c r="K20" i="14"/>
  <c r="M20" i="14" s="1"/>
  <c r="K21" i="14"/>
  <c r="M21" i="14" s="1"/>
  <c r="K18" i="14"/>
  <c r="M18" i="14" s="1"/>
  <c r="J29" i="14"/>
  <c r="J28" i="14"/>
  <c r="J27" i="14"/>
  <c r="J26" i="14"/>
  <c r="J25" i="14"/>
  <c r="J24" i="14"/>
  <c r="J23" i="14"/>
  <c r="J22" i="14"/>
  <c r="E19" i="14"/>
  <c r="E20" i="14"/>
  <c r="E21" i="14"/>
  <c r="E22" i="14"/>
  <c r="E18" i="14"/>
  <c r="F35" i="7" l="1"/>
  <c r="D48" i="7" s="1"/>
  <c r="D49" i="7" s="1"/>
  <c r="F11" i="7"/>
  <c r="H54" i="7" s="1"/>
  <c r="H55" i="7" s="1"/>
  <c r="H31" i="12" l="1"/>
  <c r="H30" i="12" s="1"/>
  <c r="H29" i="12" s="1"/>
  <c r="H28" i="12" s="1"/>
  <c r="H27" i="12" s="1"/>
  <c r="H26" i="12" s="1"/>
  <c r="H25" i="12" s="1"/>
  <c r="H24" i="12" s="1"/>
  <c r="I33" i="12" l="1"/>
  <c r="I32" i="12"/>
  <c r="C25" i="12"/>
  <c r="C26" i="12"/>
  <c r="C27" i="12"/>
  <c r="C28" i="12"/>
  <c r="C29" i="12"/>
  <c r="C30" i="12"/>
  <c r="C31" i="12"/>
  <c r="C32" i="12"/>
  <c r="C33" i="12"/>
  <c r="C24" i="12"/>
  <c r="D54" i="12" l="1"/>
  <c r="E54" i="12" s="1"/>
  <c r="F54" i="12" s="1"/>
  <c r="G54" i="12" s="1"/>
  <c r="D53" i="12"/>
  <c r="E53" i="12" s="1"/>
  <c r="F53" i="12" s="1"/>
  <c r="G53" i="12" s="1"/>
  <c r="D52" i="12"/>
  <c r="E52" i="12" s="1"/>
  <c r="F52" i="12" s="1"/>
  <c r="G52" i="12" s="1"/>
  <c r="D51" i="12"/>
  <c r="E51" i="12" s="1"/>
  <c r="F51" i="12" s="1"/>
  <c r="G51" i="12" s="1"/>
  <c r="D50" i="12"/>
  <c r="E50" i="12" s="1"/>
  <c r="F50" i="12" s="1"/>
  <c r="G50" i="12" s="1"/>
  <c r="D49" i="12"/>
  <c r="E49" i="12" s="1"/>
  <c r="F49" i="12" s="1"/>
  <c r="G49" i="12" s="1"/>
  <c r="I47" i="12"/>
  <c r="J33" i="12"/>
  <c r="J34" i="12" s="1"/>
  <c r="J35" i="12" s="1"/>
  <c r="J36" i="12" s="1"/>
  <c r="J37" i="12" s="1"/>
  <c r="J38" i="12" s="1"/>
  <c r="E33" i="12"/>
  <c r="D33" i="12"/>
  <c r="K33" i="12"/>
  <c r="K34" i="12" s="1"/>
  <c r="K35" i="12" s="1"/>
  <c r="K36" i="12" s="1"/>
  <c r="K37" i="12" s="1"/>
  <c r="K38" i="12" s="1"/>
  <c r="E32" i="12"/>
  <c r="D32" i="12"/>
  <c r="J31" i="12"/>
  <c r="J30" i="12" s="1"/>
  <c r="J29" i="12" s="1"/>
  <c r="J28" i="12" s="1"/>
  <c r="J27" i="12" s="1"/>
  <c r="J26" i="12" s="1"/>
  <c r="J25" i="12" s="1"/>
  <c r="J24" i="12" s="1"/>
  <c r="E31" i="12"/>
  <c r="D31" i="12"/>
  <c r="E30" i="12"/>
  <c r="D30" i="12"/>
  <c r="E29" i="12"/>
  <c r="D29" i="12"/>
  <c r="E28" i="12"/>
  <c r="D28" i="12"/>
  <c r="E27" i="12"/>
  <c r="D27" i="12"/>
  <c r="E26" i="12"/>
  <c r="D26" i="12"/>
  <c r="E25" i="12"/>
  <c r="D25" i="12"/>
  <c r="E24" i="12"/>
  <c r="G18" i="12"/>
  <c r="G15" i="12"/>
  <c r="K16" i="12"/>
  <c r="G12" i="12"/>
  <c r="C14" i="12"/>
  <c r="C19" i="12" s="1"/>
  <c r="M44" i="12"/>
  <c r="G11" i="12"/>
  <c r="Q9" i="12"/>
  <c r="Q12" i="12" s="1"/>
  <c r="V34" i="10"/>
  <c r="V35" i="10"/>
  <c r="V36" i="10"/>
  <c r="V37" i="10"/>
  <c r="V38" i="10"/>
  <c r="S38" i="10"/>
  <c r="U38" i="10" s="1"/>
  <c r="S36" i="10"/>
  <c r="U36" i="10" s="1"/>
  <c r="S37" i="10"/>
  <c r="S35" i="10"/>
  <c r="U35" i="10" s="1"/>
  <c r="S34" i="10"/>
  <c r="U34" i="10"/>
  <c r="S33" i="10"/>
  <c r="U33" i="10" s="1"/>
  <c r="V33" i="10" s="1"/>
  <c r="U37" i="10"/>
  <c r="T4" i="10"/>
  <c r="T5" i="10"/>
  <c r="T6" i="10"/>
  <c r="T7" i="10"/>
  <c r="T8" i="10"/>
  <c r="T3" i="10"/>
  <c r="Q12" i="10"/>
  <c r="G13" i="10"/>
  <c r="G14" i="10"/>
  <c r="C14" i="10"/>
  <c r="C19" i="10" s="1"/>
  <c r="T35" i="10"/>
  <c r="T36" i="10"/>
  <c r="T37" i="10" s="1"/>
  <c r="T38" i="10" s="1"/>
  <c r="T34" i="10"/>
  <c r="K13" i="10"/>
  <c r="M44" i="10" s="1"/>
  <c r="M54" i="10" s="1"/>
  <c r="I47" i="10"/>
  <c r="D54" i="10"/>
  <c r="E54" i="10" s="1"/>
  <c r="F54" i="10" s="1"/>
  <c r="G54" i="10" s="1"/>
  <c r="I54" i="10" s="1"/>
  <c r="J54" i="10" s="1"/>
  <c r="K54" i="10" s="1"/>
  <c r="L54" i="10" s="1"/>
  <c r="D53" i="10"/>
  <c r="E53" i="10" s="1"/>
  <c r="F53" i="10" s="1"/>
  <c r="G53" i="10" s="1"/>
  <c r="I53" i="10" s="1"/>
  <c r="D52" i="10"/>
  <c r="E52" i="10" s="1"/>
  <c r="F52" i="10" s="1"/>
  <c r="G52" i="10" s="1"/>
  <c r="I52" i="10" s="1"/>
  <c r="D51" i="10"/>
  <c r="E51" i="10" s="1"/>
  <c r="F51" i="10" s="1"/>
  <c r="G51" i="10" s="1"/>
  <c r="I51" i="10" s="1"/>
  <c r="D50" i="10"/>
  <c r="E50" i="10" s="1"/>
  <c r="F50" i="10" s="1"/>
  <c r="G50" i="10" s="1"/>
  <c r="I50" i="10" s="1"/>
  <c r="J50" i="10" s="1"/>
  <c r="K50" i="10" s="1"/>
  <c r="L50" i="10" s="1"/>
  <c r="D49" i="10"/>
  <c r="E49" i="10" s="1"/>
  <c r="F49" i="10" s="1"/>
  <c r="G49" i="10" s="1"/>
  <c r="I49" i="10" s="1"/>
  <c r="K49" i="10" s="1"/>
  <c r="I31" i="12" l="1"/>
  <c r="L31" i="12" s="1"/>
  <c r="N31" i="12" s="1"/>
  <c r="P31" i="12" s="1"/>
  <c r="K31" i="12"/>
  <c r="K30" i="12" s="1"/>
  <c r="K29" i="12" s="1"/>
  <c r="K28" i="12" s="1"/>
  <c r="K27" i="12" s="1"/>
  <c r="K26" i="12" s="1"/>
  <c r="K25" i="12" s="1"/>
  <c r="K24" i="12" s="1"/>
  <c r="M32" i="12"/>
  <c r="I35" i="12"/>
  <c r="I34" i="12"/>
  <c r="G19" i="12"/>
  <c r="L33" i="12"/>
  <c r="N33" i="12" s="1"/>
  <c r="P33" i="12" s="1"/>
  <c r="M33" i="12"/>
  <c r="I30" i="12"/>
  <c r="L32" i="12"/>
  <c r="N32" i="12" s="1"/>
  <c r="P32" i="12" s="1"/>
  <c r="L56" i="12"/>
  <c r="U6" i="10"/>
  <c r="U3" i="10"/>
  <c r="U5" i="10"/>
  <c r="U4" i="10"/>
  <c r="U8" i="10"/>
  <c r="U7" i="10"/>
  <c r="M51" i="10"/>
  <c r="M53" i="10"/>
  <c r="J52" i="10"/>
  <c r="K52" i="10" s="1"/>
  <c r="L52" i="10" s="1"/>
  <c r="M52" i="10"/>
  <c r="J53" i="10"/>
  <c r="K53" i="10" s="1"/>
  <c r="L53" i="10" s="1"/>
  <c r="M50" i="10"/>
  <c r="K12" i="10"/>
  <c r="K14" i="10" s="1"/>
  <c r="M49" i="10"/>
  <c r="J51" i="10"/>
  <c r="K51" i="10" s="1"/>
  <c r="L51" i="10" s="1"/>
  <c r="L56" i="10"/>
  <c r="L49" i="10"/>
  <c r="L55" i="10" s="1"/>
  <c r="L57" i="10" s="1"/>
  <c r="L60" i="10" s="1"/>
  <c r="L51" i="12" l="1"/>
  <c r="M51" i="12" s="1"/>
  <c r="L52" i="12"/>
  <c r="M52" i="12" s="1"/>
  <c r="L54" i="12"/>
  <c r="M54" i="12" s="1"/>
  <c r="L53" i="12"/>
  <c r="M53" i="12" s="1"/>
  <c r="K12" i="12"/>
  <c r="K14" i="12" s="1"/>
  <c r="K17" i="12" s="1"/>
  <c r="N47" i="12"/>
  <c r="N53" i="12" s="1"/>
  <c r="O53" i="12" s="1"/>
  <c r="P53" i="12" s="1"/>
  <c r="J49" i="12"/>
  <c r="K49" i="12" s="1"/>
  <c r="S33" i="12" s="1"/>
  <c r="I50" i="12"/>
  <c r="J50" i="12" s="1"/>
  <c r="K50" i="12" s="1"/>
  <c r="S34" i="12" s="1"/>
  <c r="L49" i="12"/>
  <c r="M49" i="12" s="1"/>
  <c r="I51" i="12"/>
  <c r="J51" i="12" s="1"/>
  <c r="K51" i="12" s="1"/>
  <c r="S35" i="12" s="1"/>
  <c r="L50" i="12"/>
  <c r="M50" i="12" s="1"/>
  <c r="I53" i="12"/>
  <c r="J53" i="12" s="1"/>
  <c r="K53" i="12" s="1"/>
  <c r="S37" i="12" s="1"/>
  <c r="I52" i="12"/>
  <c r="J52" i="12" s="1"/>
  <c r="K52" i="12" s="1"/>
  <c r="S36" i="12" s="1"/>
  <c r="I54" i="12"/>
  <c r="J54" i="12" s="1"/>
  <c r="K54" i="12" s="1"/>
  <c r="S38" i="12" s="1"/>
  <c r="I36" i="12"/>
  <c r="M35" i="12"/>
  <c r="L35" i="12"/>
  <c r="M34" i="12"/>
  <c r="L34" i="12"/>
  <c r="L30" i="12"/>
  <c r="N30" i="12" s="1"/>
  <c r="P30" i="12" s="1"/>
  <c r="K15" i="10"/>
  <c r="N54" i="12" l="1"/>
  <c r="O54" i="12" s="1"/>
  <c r="P54" i="12" s="1"/>
  <c r="R38" i="12" s="1"/>
  <c r="N52" i="12"/>
  <c r="O52" i="12" s="1"/>
  <c r="P52" i="12" s="1"/>
  <c r="R36" i="12" s="1"/>
  <c r="K15" i="12"/>
  <c r="R37" i="12"/>
  <c r="N49" i="12"/>
  <c r="O49" i="12" s="1"/>
  <c r="P49" i="12" s="1"/>
  <c r="R33" i="12" s="1"/>
  <c r="N50" i="12"/>
  <c r="O50" i="12" s="1"/>
  <c r="P50" i="12" s="1"/>
  <c r="N51" i="12"/>
  <c r="O51" i="12" s="1"/>
  <c r="P51" i="12" s="1"/>
  <c r="R35" i="12" s="1"/>
  <c r="R34" i="12"/>
  <c r="L55" i="12"/>
  <c r="L57" i="12" s="1"/>
  <c r="L60" i="12" s="1"/>
  <c r="I37" i="12"/>
  <c r="I28" i="12"/>
  <c r="I29" i="12"/>
  <c r="L29" i="12" s="1"/>
  <c r="N29" i="12" s="1"/>
  <c r="P29" i="12" s="1"/>
  <c r="M36" i="12"/>
  <c r="L36" i="12"/>
  <c r="C37" i="10"/>
  <c r="C36" i="10" s="1"/>
  <c r="C35" i="10" s="1"/>
  <c r="C34" i="10" s="1"/>
  <c r="C23" i="9"/>
  <c r="D19" i="9" s="1"/>
  <c r="C38" i="12" s="1"/>
  <c r="E38" i="12" s="1"/>
  <c r="Q9" i="10"/>
  <c r="K16" i="10"/>
  <c r="G20" i="10"/>
  <c r="G17" i="10"/>
  <c r="J50" i="11"/>
  <c r="D18" i="9" l="1"/>
  <c r="F18" i="9" s="1"/>
  <c r="J18" i="9" s="1"/>
  <c r="I38" i="12"/>
  <c r="M38" i="12" s="1"/>
  <c r="I27" i="12"/>
  <c r="L28" i="12"/>
  <c r="N28" i="12" s="1"/>
  <c r="P28" i="12" s="1"/>
  <c r="M37" i="12"/>
  <c r="L37" i="12"/>
  <c r="N53" i="10"/>
  <c r="N51" i="10"/>
  <c r="N54" i="10"/>
  <c r="K17" i="10"/>
  <c r="N50" i="10"/>
  <c r="N52" i="10"/>
  <c r="N49" i="10"/>
  <c r="G21" i="10"/>
  <c r="J35" i="11"/>
  <c r="J32" i="11"/>
  <c r="N40" i="11"/>
  <c r="M21" i="11"/>
  <c r="M17" i="11"/>
  <c r="D50" i="11"/>
  <c r="D44" i="11"/>
  <c r="D32" i="11"/>
  <c r="D29" i="11"/>
  <c r="D20" i="11"/>
  <c r="J33" i="10"/>
  <c r="J34" i="10" s="1"/>
  <c r="J35" i="10" s="1"/>
  <c r="J36" i="10" s="1"/>
  <c r="J37" i="10" s="1"/>
  <c r="J38" i="10" s="1"/>
  <c r="J31" i="10"/>
  <c r="J30" i="10" s="1"/>
  <c r="J29" i="10" s="1"/>
  <c r="J28" i="10" s="1"/>
  <c r="J27" i="10" s="1"/>
  <c r="J26" i="10" s="1"/>
  <c r="J25" i="10" s="1"/>
  <c r="J24" i="10" s="1"/>
  <c r="C35" i="7"/>
  <c r="E31" i="7"/>
  <c r="E30" i="7"/>
  <c r="E29" i="7"/>
  <c r="K32" i="10"/>
  <c r="K31" i="10" s="1"/>
  <c r="K30" i="10" s="1"/>
  <c r="K29" i="10" s="1"/>
  <c r="K28" i="10" s="1"/>
  <c r="K27" i="10" s="1"/>
  <c r="K26" i="10" s="1"/>
  <c r="K25" i="10" s="1"/>
  <c r="K24" i="10" s="1"/>
  <c r="C11" i="7"/>
  <c r="E6" i="7"/>
  <c r="E7" i="7"/>
  <c r="E5" i="7"/>
  <c r="E4" i="7"/>
  <c r="I32" i="10"/>
  <c r="L32" i="10" s="1"/>
  <c r="H33" i="10"/>
  <c r="I33" i="10" s="1"/>
  <c r="H31" i="10"/>
  <c r="I31" i="10" s="1"/>
  <c r="J52" i="2"/>
  <c r="J53" i="2" s="1"/>
  <c r="J54" i="2" s="1"/>
  <c r="J55" i="2" s="1"/>
  <c r="J56" i="2" s="1"/>
  <c r="J57" i="2" s="1"/>
  <c r="J50" i="2"/>
  <c r="J49" i="2" s="1"/>
  <c r="J48" i="2" s="1"/>
  <c r="J47" i="2" s="1"/>
  <c r="J46" i="2" s="1"/>
  <c r="J45" i="2" s="1"/>
  <c r="J44" i="2" s="1"/>
  <c r="E25" i="10"/>
  <c r="E26" i="10"/>
  <c r="E27" i="10"/>
  <c r="E28" i="10"/>
  <c r="E29" i="10"/>
  <c r="E30" i="10"/>
  <c r="E31" i="10"/>
  <c r="E32" i="10"/>
  <c r="E33" i="10"/>
  <c r="E38" i="10"/>
  <c r="E24" i="10"/>
  <c r="D33" i="10"/>
  <c r="D32" i="10"/>
  <c r="D31" i="10"/>
  <c r="D30" i="10"/>
  <c r="D29" i="10"/>
  <c r="D28" i="10"/>
  <c r="D27" i="10"/>
  <c r="D26" i="10"/>
  <c r="D25" i="10"/>
  <c r="H70" i="9"/>
  <c r="O40" i="9"/>
  <c r="F50" i="9"/>
  <c r="J50" i="9" s="1"/>
  <c r="E50" i="9"/>
  <c r="F49" i="9"/>
  <c r="J49" i="9" s="1"/>
  <c r="E49" i="9"/>
  <c r="F48" i="9"/>
  <c r="G48" i="9" s="1"/>
  <c r="E48" i="9"/>
  <c r="F47" i="9"/>
  <c r="I47" i="9" s="1"/>
  <c r="E47" i="9"/>
  <c r="F46" i="9"/>
  <c r="J46" i="9" s="1"/>
  <c r="E46" i="9"/>
  <c r="F45" i="9"/>
  <c r="J45" i="9" s="1"/>
  <c r="E45" i="9"/>
  <c r="F44" i="9"/>
  <c r="I44" i="9" s="1"/>
  <c r="E44" i="9"/>
  <c r="F43" i="9"/>
  <c r="G43" i="9" s="1"/>
  <c r="E43" i="9"/>
  <c r="J42" i="9"/>
  <c r="I42" i="9"/>
  <c r="H42" i="9"/>
  <c r="G42" i="9"/>
  <c r="F19" i="9"/>
  <c r="F14" i="9"/>
  <c r="M21" i="9" s="1"/>
  <c r="E14" i="9"/>
  <c r="F13" i="9"/>
  <c r="J13" i="9" s="1"/>
  <c r="E13" i="9"/>
  <c r="F12" i="9"/>
  <c r="J12" i="9" s="1"/>
  <c r="E12" i="9"/>
  <c r="F11" i="9"/>
  <c r="H11" i="9" s="1"/>
  <c r="E11" i="9"/>
  <c r="F10" i="9"/>
  <c r="H10" i="9" s="1"/>
  <c r="E10" i="9"/>
  <c r="F9" i="9"/>
  <c r="J9" i="9" s="1"/>
  <c r="E9" i="9"/>
  <c r="F8" i="9"/>
  <c r="J8" i="9" s="1"/>
  <c r="E8" i="9"/>
  <c r="F7" i="9"/>
  <c r="H7" i="9" s="1"/>
  <c r="E7" i="9"/>
  <c r="F6" i="9"/>
  <c r="G6" i="9" s="1"/>
  <c r="E6" i="9"/>
  <c r="J5" i="9"/>
  <c r="I5" i="9"/>
  <c r="H5" i="9"/>
  <c r="G5" i="9"/>
  <c r="Q45" i="4"/>
  <c r="Q46" i="4"/>
  <c r="Q47" i="4"/>
  <c r="Q48" i="4"/>
  <c r="Q49" i="4"/>
  <c r="Q44" i="4"/>
  <c r="F46" i="8"/>
  <c r="H32" i="8"/>
  <c r="O51" i="8"/>
  <c r="N51" i="8"/>
  <c r="M51" i="8"/>
  <c r="L51" i="8"/>
  <c r="K51" i="8"/>
  <c r="J51" i="8"/>
  <c r="I51" i="8"/>
  <c r="G51" i="8"/>
  <c r="H50" i="8" s="1"/>
  <c r="G50" i="8"/>
  <c r="G49" i="8"/>
  <c r="G48" i="8"/>
  <c r="O46" i="8"/>
  <c r="N46" i="8"/>
  <c r="M46" i="8"/>
  <c r="L46" i="8"/>
  <c r="K46" i="8"/>
  <c r="J46" i="8"/>
  <c r="I46" i="8"/>
  <c r="H45" i="8"/>
  <c r="L45" i="8" s="1"/>
  <c r="G45" i="8"/>
  <c r="H44" i="8"/>
  <c r="I44" i="8" s="1"/>
  <c r="G44" i="8"/>
  <c r="H43" i="8"/>
  <c r="J43" i="8" s="1"/>
  <c r="G43" i="8"/>
  <c r="H42" i="8"/>
  <c r="L42" i="8" s="1"/>
  <c r="G42" i="8"/>
  <c r="H41" i="8"/>
  <c r="L41" i="8" s="1"/>
  <c r="G41" i="8"/>
  <c r="H40" i="8"/>
  <c r="J40" i="8" s="1"/>
  <c r="G40" i="8"/>
  <c r="H39" i="8"/>
  <c r="J39" i="8" s="1"/>
  <c r="G39" i="8"/>
  <c r="H38" i="8"/>
  <c r="J38" i="8" s="1"/>
  <c r="G38" i="8"/>
  <c r="L37" i="8"/>
  <c r="K37" i="8"/>
  <c r="J37" i="8"/>
  <c r="I37" i="8"/>
  <c r="K25" i="8"/>
  <c r="H19" i="8"/>
  <c r="L19" i="8" s="1"/>
  <c r="G19" i="8"/>
  <c r="H18" i="8"/>
  <c r="I18" i="8" s="1"/>
  <c r="G18" i="8"/>
  <c r="H17" i="8"/>
  <c r="L17" i="8" s="1"/>
  <c r="G17" i="8"/>
  <c r="H16" i="8"/>
  <c r="I16" i="8" s="1"/>
  <c r="G16" i="8"/>
  <c r="H15" i="8"/>
  <c r="L15" i="8" s="1"/>
  <c r="G15" i="8"/>
  <c r="H14" i="8"/>
  <c r="O21" i="8" s="1"/>
  <c r="G14" i="8"/>
  <c r="H13" i="8"/>
  <c r="I13" i="8" s="1"/>
  <c r="G13" i="8"/>
  <c r="H12" i="8"/>
  <c r="I12" i="8" s="1"/>
  <c r="G12" i="8"/>
  <c r="H11" i="8"/>
  <c r="K11" i="8" s="1"/>
  <c r="G11" i="8"/>
  <c r="H10" i="8"/>
  <c r="L10" i="8" s="1"/>
  <c r="G10" i="8"/>
  <c r="H9" i="8"/>
  <c r="L9" i="8" s="1"/>
  <c r="G9" i="8"/>
  <c r="H8" i="8"/>
  <c r="I8" i="8" s="1"/>
  <c r="G8" i="8"/>
  <c r="H7" i="8"/>
  <c r="J7" i="8" s="1"/>
  <c r="G7" i="8"/>
  <c r="H6" i="8"/>
  <c r="I6" i="8" s="1"/>
  <c r="G6" i="8"/>
  <c r="L5" i="8"/>
  <c r="K5" i="8"/>
  <c r="J5" i="8"/>
  <c r="I5" i="8"/>
  <c r="H47" i="4"/>
  <c r="H46" i="4" s="1"/>
  <c r="H48" i="4"/>
  <c r="D11" i="7"/>
  <c r="L26" i="4"/>
  <c r="H26" i="4"/>
  <c r="J26" i="4" s="1"/>
  <c r="L25" i="4"/>
  <c r="K25" i="4"/>
  <c r="J25" i="4"/>
  <c r="I25" i="4"/>
  <c r="F29" i="2"/>
  <c r="F30" i="2"/>
  <c r="F31" i="2"/>
  <c r="F32" i="2"/>
  <c r="F33" i="2"/>
  <c r="F34" i="2"/>
  <c r="G34" i="2" s="1"/>
  <c r="F35" i="2"/>
  <c r="F36" i="2"/>
  <c r="F37" i="2"/>
  <c r="F38" i="2"/>
  <c r="F39" i="2"/>
  <c r="F40" i="2"/>
  <c r="F41" i="2"/>
  <c r="F28" i="2"/>
  <c r="K44" i="4"/>
  <c r="H29" i="4"/>
  <c r="G49" i="4"/>
  <c r="I49" i="4"/>
  <c r="E19" i="2"/>
  <c r="F19" i="2"/>
  <c r="G19" i="2" s="1"/>
  <c r="G19" i="4"/>
  <c r="H19" i="4"/>
  <c r="I19" i="4" s="1"/>
  <c r="J19" i="4"/>
  <c r="N47" i="4"/>
  <c r="J48" i="4"/>
  <c r="G48" i="4"/>
  <c r="G47" i="4"/>
  <c r="G46" i="4"/>
  <c r="K43" i="4"/>
  <c r="J43" i="4"/>
  <c r="I43" i="4"/>
  <c r="H43" i="4"/>
  <c r="L43" i="4" s="1"/>
  <c r="G43" i="4"/>
  <c r="K42" i="4"/>
  <c r="H42" i="4"/>
  <c r="L42" i="4" s="1"/>
  <c r="G42" i="4"/>
  <c r="L41" i="4"/>
  <c r="K41" i="4"/>
  <c r="J41" i="4"/>
  <c r="I41" i="4"/>
  <c r="H41" i="4"/>
  <c r="G41" i="4"/>
  <c r="K40" i="4"/>
  <c r="I40" i="4"/>
  <c r="H40" i="4"/>
  <c r="L40" i="4" s="1"/>
  <c r="G40" i="4"/>
  <c r="K39" i="4"/>
  <c r="J39" i="4"/>
  <c r="I39" i="4"/>
  <c r="H39" i="4"/>
  <c r="L39" i="4" s="1"/>
  <c r="G39" i="4"/>
  <c r="K38" i="4"/>
  <c r="H38" i="4"/>
  <c r="L38" i="4" s="1"/>
  <c r="G38" i="4"/>
  <c r="K37" i="4"/>
  <c r="J37" i="4"/>
  <c r="I37" i="4"/>
  <c r="H37" i="4"/>
  <c r="L37" i="4" s="1"/>
  <c r="G37" i="4"/>
  <c r="K36" i="4"/>
  <c r="I36" i="4"/>
  <c r="H36" i="4"/>
  <c r="L36" i="4" s="1"/>
  <c r="G36" i="4"/>
  <c r="L35" i="4"/>
  <c r="K35" i="4"/>
  <c r="J35" i="4"/>
  <c r="I35" i="4"/>
  <c r="H18" i="4"/>
  <c r="I18" i="4" s="1"/>
  <c r="G18" i="4"/>
  <c r="H17" i="4"/>
  <c r="K17" i="4" s="1"/>
  <c r="G17" i="4"/>
  <c r="H16" i="4"/>
  <c r="K16" i="4" s="1"/>
  <c r="G16" i="4"/>
  <c r="H15" i="4"/>
  <c r="K15" i="4" s="1"/>
  <c r="G15" i="4"/>
  <c r="H14" i="4"/>
  <c r="I14" i="4" s="1"/>
  <c r="G14" i="4"/>
  <c r="H13" i="4"/>
  <c r="K13" i="4" s="1"/>
  <c r="G13" i="4"/>
  <c r="H12" i="4"/>
  <c r="K12" i="4" s="1"/>
  <c r="G12" i="4"/>
  <c r="H11" i="4"/>
  <c r="K11" i="4" s="1"/>
  <c r="G11" i="4"/>
  <c r="H10" i="4"/>
  <c r="I10" i="4" s="1"/>
  <c r="G10" i="4"/>
  <c r="H9" i="4"/>
  <c r="K9" i="4" s="1"/>
  <c r="G9" i="4"/>
  <c r="H8" i="4"/>
  <c r="K8" i="4" s="1"/>
  <c r="G8" i="4"/>
  <c r="H7" i="4"/>
  <c r="K7" i="4" s="1"/>
  <c r="G7" i="4"/>
  <c r="H6" i="4"/>
  <c r="I6" i="4" s="1"/>
  <c r="G6" i="4"/>
  <c r="L5" i="4"/>
  <c r="K5" i="4"/>
  <c r="J5" i="4"/>
  <c r="I5" i="4"/>
  <c r="P33" i="2"/>
  <c r="P35" i="2"/>
  <c r="P34" i="2"/>
  <c r="Q21" i="2"/>
  <c r="J5" i="2"/>
  <c r="I5" i="2"/>
  <c r="H5" i="2"/>
  <c r="G5" i="2"/>
  <c r="F7" i="2"/>
  <c r="J7" i="2" s="1"/>
  <c r="F8" i="2"/>
  <c r="I8" i="2" s="1"/>
  <c r="F9" i="2"/>
  <c r="I9" i="2" s="1"/>
  <c r="F10" i="2"/>
  <c r="H10" i="2" s="1"/>
  <c r="F11" i="2"/>
  <c r="H11" i="2" s="1"/>
  <c r="F12" i="2"/>
  <c r="G12" i="2" s="1"/>
  <c r="F13" i="2"/>
  <c r="G13" i="2" s="1"/>
  <c r="F14" i="2"/>
  <c r="J14" i="2" s="1"/>
  <c r="F15" i="2"/>
  <c r="J15" i="2" s="1"/>
  <c r="F16" i="2"/>
  <c r="I16" i="2" s="1"/>
  <c r="F17" i="2"/>
  <c r="I17" i="2" s="1"/>
  <c r="F18" i="2"/>
  <c r="H18" i="2" s="1"/>
  <c r="F6" i="2"/>
  <c r="J6" i="2" s="1"/>
  <c r="E15" i="2"/>
  <c r="E14" i="2"/>
  <c r="E16" i="2"/>
  <c r="E17" i="2"/>
  <c r="E18" i="2"/>
  <c r="E11" i="2"/>
  <c r="E12" i="2"/>
  <c r="E13" i="2"/>
  <c r="E10" i="2"/>
  <c r="E9" i="2"/>
  <c r="E8" i="2"/>
  <c r="E7" i="2"/>
  <c r="E6" i="2"/>
  <c r="E11" i="7" l="1"/>
  <c r="E35" i="7"/>
  <c r="D17" i="9"/>
  <c r="C37" i="12"/>
  <c r="E37" i="12" s="1"/>
  <c r="N37" i="12" s="1"/>
  <c r="P37" i="12" s="1"/>
  <c r="L38" i="12"/>
  <c r="N38" i="12" s="1"/>
  <c r="P38" i="12" s="1"/>
  <c r="L27" i="12"/>
  <c r="N27" i="12" s="1"/>
  <c r="P27" i="12" s="1"/>
  <c r="I26" i="12"/>
  <c r="G38" i="2"/>
  <c r="G31" i="2"/>
  <c r="L31" i="10"/>
  <c r="N31" i="10" s="1"/>
  <c r="P31" i="10" s="1"/>
  <c r="N32" i="10"/>
  <c r="P32" i="10" s="1"/>
  <c r="D26" i="11"/>
  <c r="D45" i="11"/>
  <c r="D47" i="11" s="1"/>
  <c r="L33" i="10"/>
  <c r="N33" i="10" s="1"/>
  <c r="P33" i="10" s="1"/>
  <c r="H30" i="10"/>
  <c r="H29" i="10" s="1"/>
  <c r="H28" i="10" s="1"/>
  <c r="K33" i="10"/>
  <c r="K34" i="10" s="1"/>
  <c r="K35" i="10" s="1"/>
  <c r="K36" i="10" s="1"/>
  <c r="K37" i="10" s="1"/>
  <c r="K38" i="10" s="1"/>
  <c r="H34" i="10"/>
  <c r="M32" i="10"/>
  <c r="I10" i="9"/>
  <c r="J10" i="9"/>
  <c r="H6" i="9"/>
  <c r="G47" i="9"/>
  <c r="I6" i="9"/>
  <c r="J44" i="9"/>
  <c r="H47" i="9"/>
  <c r="I11" i="9"/>
  <c r="G14" i="9"/>
  <c r="I21" i="9" s="1"/>
  <c r="H50" i="9"/>
  <c r="J6" i="9"/>
  <c r="J11" i="9"/>
  <c r="G19" i="9"/>
  <c r="H43" i="9"/>
  <c r="H48" i="9"/>
  <c r="G7" i="9"/>
  <c r="G10" i="9"/>
  <c r="I43" i="9"/>
  <c r="I48" i="9"/>
  <c r="I7" i="9"/>
  <c r="J43" i="9"/>
  <c r="J48" i="9"/>
  <c r="H14" i="9"/>
  <c r="J21" i="9" s="1"/>
  <c r="H19" i="9"/>
  <c r="G9" i="9"/>
  <c r="I14" i="9"/>
  <c r="K21" i="9" s="1"/>
  <c r="K25" i="9" s="1"/>
  <c r="G18" i="9"/>
  <c r="I19" i="9"/>
  <c r="J47" i="9"/>
  <c r="H9" i="9"/>
  <c r="J14" i="9"/>
  <c r="H18" i="9"/>
  <c r="J19" i="9"/>
  <c r="G44" i="9"/>
  <c r="G46" i="9"/>
  <c r="G11" i="9"/>
  <c r="G13" i="9"/>
  <c r="I18" i="9"/>
  <c r="H44" i="9"/>
  <c r="H46" i="9"/>
  <c r="J7" i="9"/>
  <c r="H13" i="9"/>
  <c r="G50" i="9"/>
  <c r="G8" i="9"/>
  <c r="I9" i="9"/>
  <c r="G12" i="9"/>
  <c r="I13" i="9"/>
  <c r="N21" i="9"/>
  <c r="G45" i="9"/>
  <c r="I46" i="9"/>
  <c r="G49" i="9"/>
  <c r="I50" i="9"/>
  <c r="H8" i="9"/>
  <c r="H12" i="9"/>
  <c r="O21" i="9"/>
  <c r="H45" i="9"/>
  <c r="H49" i="9"/>
  <c r="I8" i="9"/>
  <c r="I12" i="9"/>
  <c r="I45" i="9"/>
  <c r="I49" i="9"/>
  <c r="K40" i="8"/>
  <c r="L43" i="8"/>
  <c r="L44" i="8"/>
  <c r="I11" i="8"/>
  <c r="K7" i="8"/>
  <c r="K16" i="8"/>
  <c r="I39" i="8"/>
  <c r="L7" i="8"/>
  <c r="K39" i="8"/>
  <c r="L39" i="8"/>
  <c r="J11" i="8"/>
  <c r="J16" i="8"/>
  <c r="L11" i="8"/>
  <c r="I43" i="8"/>
  <c r="K43" i="8"/>
  <c r="I50" i="8"/>
  <c r="O50" i="8"/>
  <c r="N50" i="8"/>
  <c r="M50" i="8"/>
  <c r="L50" i="8"/>
  <c r="H49" i="8"/>
  <c r="I49" i="8" s="1"/>
  <c r="K50" i="8"/>
  <c r="J50" i="8"/>
  <c r="L40" i="8"/>
  <c r="J12" i="8"/>
  <c r="I19" i="8"/>
  <c r="J8" i="8"/>
  <c r="K12" i="8"/>
  <c r="I15" i="8"/>
  <c r="L16" i="8"/>
  <c r="J19" i="8"/>
  <c r="K8" i="8"/>
  <c r="L12" i="8"/>
  <c r="J15" i="8"/>
  <c r="K19" i="8"/>
  <c r="I7" i="8"/>
  <c r="L8" i="8"/>
  <c r="K15" i="8"/>
  <c r="I40" i="8"/>
  <c r="J44" i="8"/>
  <c r="K44" i="8"/>
  <c r="I10" i="8"/>
  <c r="I14" i="8"/>
  <c r="I38" i="8"/>
  <c r="I42" i="8"/>
  <c r="J10" i="8"/>
  <c r="J14" i="8"/>
  <c r="J42" i="8"/>
  <c r="I9" i="8"/>
  <c r="K10" i="8"/>
  <c r="K14" i="8"/>
  <c r="L21" i="8"/>
  <c r="K38" i="8"/>
  <c r="I41" i="8"/>
  <c r="K42" i="8"/>
  <c r="I45" i="8"/>
  <c r="L6" i="8"/>
  <c r="J9" i="8"/>
  <c r="J13" i="8"/>
  <c r="L14" i="8"/>
  <c r="L25" i="8" s="1"/>
  <c r="J17" i="8"/>
  <c r="L18" i="8"/>
  <c r="M21" i="8"/>
  <c r="L38" i="8"/>
  <c r="J41" i="8"/>
  <c r="J45" i="8"/>
  <c r="I17" i="8"/>
  <c r="K9" i="8"/>
  <c r="K13" i="8"/>
  <c r="K17" i="8"/>
  <c r="N21" i="8"/>
  <c r="K41" i="8"/>
  <c r="K45" i="8"/>
  <c r="J18" i="8"/>
  <c r="L13" i="8"/>
  <c r="J6" i="8"/>
  <c r="K6" i="8"/>
  <c r="K18" i="8"/>
  <c r="H45" i="4"/>
  <c r="M45" i="4" s="1"/>
  <c r="O46" i="4"/>
  <c r="I26" i="4"/>
  <c r="K26" i="4"/>
  <c r="H7" i="2"/>
  <c r="G37" i="2"/>
  <c r="G33" i="2"/>
  <c r="G40" i="2"/>
  <c r="G39" i="2"/>
  <c r="G30" i="2"/>
  <c r="G29" i="2"/>
  <c r="G10" i="2"/>
  <c r="G36" i="2"/>
  <c r="G35" i="2"/>
  <c r="G8" i="2"/>
  <c r="G32" i="2"/>
  <c r="G41" i="2"/>
  <c r="G18" i="2"/>
  <c r="J18" i="2"/>
  <c r="G11" i="2"/>
  <c r="J10" i="2"/>
  <c r="I44" i="4"/>
  <c r="O44" i="4"/>
  <c r="J44" i="4"/>
  <c r="M44" i="4"/>
  <c r="N44" i="4"/>
  <c r="L44" i="4"/>
  <c r="K47" i="4"/>
  <c r="L47" i="4"/>
  <c r="I47" i="4"/>
  <c r="M47" i="4"/>
  <c r="N46" i="4"/>
  <c r="L45" i="4"/>
  <c r="K45" i="4"/>
  <c r="J45" i="4"/>
  <c r="L19" i="4"/>
  <c r="K19" i="4"/>
  <c r="I48" i="4"/>
  <c r="O48" i="4"/>
  <c r="N48" i="4"/>
  <c r="M48" i="4"/>
  <c r="L48" i="4"/>
  <c r="K48" i="4"/>
  <c r="J47" i="4"/>
  <c r="O47" i="4"/>
  <c r="M46" i="4"/>
  <c r="L46" i="4"/>
  <c r="K46" i="4"/>
  <c r="J46" i="4"/>
  <c r="I46" i="4"/>
  <c r="I45" i="4"/>
  <c r="O45" i="4"/>
  <c r="N45" i="4"/>
  <c r="O49" i="4"/>
  <c r="N49" i="4"/>
  <c r="L49" i="4"/>
  <c r="M49" i="4"/>
  <c r="K49" i="4"/>
  <c r="J49" i="4"/>
  <c r="H15" i="2"/>
  <c r="H19" i="2"/>
  <c r="J19" i="2"/>
  <c r="I19" i="2"/>
  <c r="J36" i="4"/>
  <c r="J40" i="4"/>
  <c r="I38" i="4"/>
  <c r="I42" i="4"/>
  <c r="J38" i="4"/>
  <c r="J42" i="4"/>
  <c r="I8" i="4"/>
  <c r="L12" i="4"/>
  <c r="K18" i="4"/>
  <c r="J16" i="4"/>
  <c r="K10" i="4"/>
  <c r="L16" i="4"/>
  <c r="L8" i="4"/>
  <c r="I16" i="4"/>
  <c r="I12" i="4"/>
  <c r="K14" i="4"/>
  <c r="L21" i="4"/>
  <c r="L7" i="4"/>
  <c r="J14" i="4"/>
  <c r="J10" i="4"/>
  <c r="J12" i="4"/>
  <c r="J6" i="4"/>
  <c r="J8" i="4"/>
  <c r="L15" i="4"/>
  <c r="M21" i="4"/>
  <c r="K6" i="4"/>
  <c r="O21" i="4"/>
  <c r="L11" i="4"/>
  <c r="J18" i="4"/>
  <c r="N21" i="4"/>
  <c r="I17" i="4"/>
  <c r="I9" i="4"/>
  <c r="I13" i="4"/>
  <c r="L6" i="4"/>
  <c r="J9" i="4"/>
  <c r="L10" i="4"/>
  <c r="J13" i="4"/>
  <c r="L14" i="4"/>
  <c r="J17" i="4"/>
  <c r="L18" i="4"/>
  <c r="L9" i="4"/>
  <c r="L13" i="4"/>
  <c r="L17" i="4"/>
  <c r="I7" i="4"/>
  <c r="I11" i="4"/>
  <c r="I15" i="4"/>
  <c r="J7" i="4"/>
  <c r="J11" i="4"/>
  <c r="J15" i="4"/>
  <c r="H9" i="2"/>
  <c r="G9" i="2"/>
  <c r="H8" i="2"/>
  <c r="J13" i="2"/>
  <c r="G17" i="2"/>
  <c r="I15" i="2"/>
  <c r="G16" i="2"/>
  <c r="H17" i="2"/>
  <c r="I12" i="2"/>
  <c r="G7" i="2"/>
  <c r="G15" i="2"/>
  <c r="H16" i="2"/>
  <c r="I7" i="2"/>
  <c r="I14" i="2"/>
  <c r="I6" i="2"/>
  <c r="J12" i="2"/>
  <c r="I13" i="2"/>
  <c r="J11" i="2"/>
  <c r="H14" i="2"/>
  <c r="H13" i="2"/>
  <c r="I11" i="2"/>
  <c r="J17" i="2"/>
  <c r="J9" i="2"/>
  <c r="H6" i="2"/>
  <c r="G14" i="2"/>
  <c r="G6" i="2"/>
  <c r="H12" i="2"/>
  <c r="I18" i="2"/>
  <c r="I10" i="2"/>
  <c r="J16" i="2"/>
  <c r="J8" i="2"/>
  <c r="D16" i="9" l="1"/>
  <c r="C36" i="12"/>
  <c r="E36" i="12" s="1"/>
  <c r="N36" i="12" s="1"/>
  <c r="P36" i="12" s="1"/>
  <c r="F17" i="9"/>
  <c r="L25" i="9"/>
  <c r="L21" i="9"/>
  <c r="J25" i="9" s="1"/>
  <c r="L26" i="12"/>
  <c r="N26" i="12" s="1"/>
  <c r="P26" i="12" s="1"/>
  <c r="I25" i="12"/>
  <c r="D51" i="11"/>
  <c r="I29" i="10"/>
  <c r="L29" i="10" s="1"/>
  <c r="N29" i="10" s="1"/>
  <c r="P29" i="10" s="1"/>
  <c r="I30" i="10"/>
  <c r="L30" i="10" s="1"/>
  <c r="N30" i="10" s="1"/>
  <c r="P30" i="10" s="1"/>
  <c r="I34" i="10"/>
  <c r="H35" i="10"/>
  <c r="H27" i="10"/>
  <c r="I28" i="10"/>
  <c r="L28" i="10" s="1"/>
  <c r="N28" i="10" s="1"/>
  <c r="P28" i="10" s="1"/>
  <c r="M33" i="10"/>
  <c r="O33" i="10" s="1"/>
  <c r="I25" i="9"/>
  <c r="K49" i="8"/>
  <c r="J49" i="8"/>
  <c r="L49" i="8"/>
  <c r="O49" i="8"/>
  <c r="N49" i="8"/>
  <c r="M49" i="8"/>
  <c r="H48" i="8"/>
  <c r="J25" i="8"/>
  <c r="H23" i="8"/>
  <c r="H31" i="8" s="1"/>
  <c r="I25" i="8"/>
  <c r="H23" i="4"/>
  <c r="J17" i="9" l="1"/>
  <c r="I17" i="9"/>
  <c r="G17" i="9"/>
  <c r="H17" i="9"/>
  <c r="D15" i="9"/>
  <c r="C35" i="12"/>
  <c r="E35" i="12" s="1"/>
  <c r="N35" i="12" s="1"/>
  <c r="P35" i="12" s="1"/>
  <c r="F16" i="9"/>
  <c r="H23" i="9"/>
  <c r="H36" i="9" s="1"/>
  <c r="L25" i="12"/>
  <c r="N25" i="12" s="1"/>
  <c r="P25" i="12" s="1"/>
  <c r="M34" i="10"/>
  <c r="O34" i="10" s="1"/>
  <c r="L34" i="10"/>
  <c r="H26" i="10"/>
  <c r="I27" i="10"/>
  <c r="L27" i="10" s="1"/>
  <c r="N27" i="10" s="1"/>
  <c r="P27" i="10" s="1"/>
  <c r="H36" i="10"/>
  <c r="I35" i="10"/>
  <c r="L35" i="10" s="1"/>
  <c r="Q33" i="10"/>
  <c r="H26" i="9"/>
  <c r="I26" i="9" s="1"/>
  <c r="K48" i="8"/>
  <c r="O48" i="8"/>
  <c r="I48" i="8"/>
  <c r="J48" i="8"/>
  <c r="H47" i="8"/>
  <c r="N48" i="8"/>
  <c r="M48" i="8"/>
  <c r="L48" i="8"/>
  <c r="L23" i="8"/>
  <c r="N23" i="8"/>
  <c r="M23" i="8"/>
  <c r="H26" i="8"/>
  <c r="I26" i="8" s="1"/>
  <c r="H29" i="8"/>
  <c r="J23" i="8"/>
  <c r="H28" i="8"/>
  <c r="I23" i="8"/>
  <c r="K23" i="8"/>
  <c r="O23" i="8"/>
  <c r="M23" i="4"/>
  <c r="H28" i="4"/>
  <c r="F44" i="4" s="1"/>
  <c r="K23" i="4"/>
  <c r="J23" i="4"/>
  <c r="I23" i="4"/>
  <c r="L23" i="4"/>
  <c r="O23" i="4"/>
  <c r="N23" i="4"/>
  <c r="J16" i="9" l="1"/>
  <c r="I16" i="9"/>
  <c r="G16" i="9"/>
  <c r="H16" i="9"/>
  <c r="N23" i="9"/>
  <c r="C34" i="12"/>
  <c r="E34" i="12" s="1"/>
  <c r="N34" i="12" s="1"/>
  <c r="P34" i="12" s="1"/>
  <c r="F15" i="9"/>
  <c r="H31" i="9"/>
  <c r="L23" i="9"/>
  <c r="O23" i="9"/>
  <c r="I23" i="9"/>
  <c r="I24" i="12"/>
  <c r="L24" i="12" s="1"/>
  <c r="N24" i="12" s="1"/>
  <c r="P24" i="12" s="1"/>
  <c r="J23" i="9"/>
  <c r="H32" i="9"/>
  <c r="M23" i="9"/>
  <c r="K23" i="9"/>
  <c r="F51" i="9"/>
  <c r="H37" i="9"/>
  <c r="D51" i="9" s="1"/>
  <c r="M35" i="10"/>
  <c r="O35" i="10" s="1"/>
  <c r="H37" i="10"/>
  <c r="I36" i="10"/>
  <c r="H25" i="10"/>
  <c r="I26" i="10"/>
  <c r="L26" i="10" s="1"/>
  <c r="N26" i="10" s="1"/>
  <c r="P26" i="10" s="1"/>
  <c r="Q34" i="10"/>
  <c r="J26" i="9"/>
  <c r="L26" i="9"/>
  <c r="K26" i="9"/>
  <c r="J26" i="8"/>
  <c r="N47" i="8"/>
  <c r="M47" i="8"/>
  <c r="O47" i="8"/>
  <c r="K47" i="8"/>
  <c r="J47" i="8"/>
  <c r="I47" i="8"/>
  <c r="L47" i="8"/>
  <c r="G47" i="8"/>
  <c r="G46" i="8"/>
  <c r="H30" i="8"/>
  <c r="K26" i="8"/>
  <c r="L26" i="8"/>
  <c r="H30" i="4"/>
  <c r="G45" i="4"/>
  <c r="G44" i="4"/>
  <c r="G15" i="9" l="1"/>
  <c r="H15" i="9"/>
  <c r="J15" i="9"/>
  <c r="I15" i="9"/>
  <c r="L51" i="9"/>
  <c r="G33" i="12"/>
  <c r="C60" i="9"/>
  <c r="D56" i="9" s="1"/>
  <c r="F33" i="12"/>
  <c r="E51" i="9"/>
  <c r="O51" i="9"/>
  <c r="M51" i="9"/>
  <c r="J51" i="9"/>
  <c r="H33" i="9"/>
  <c r="G51" i="9"/>
  <c r="K51" i="9"/>
  <c r="H51" i="9"/>
  <c r="I51" i="9"/>
  <c r="F60" i="9"/>
  <c r="F56" i="9" s="1"/>
  <c r="G38" i="12" s="1"/>
  <c r="M36" i="10"/>
  <c r="O36" i="10" s="1"/>
  <c r="L36" i="10"/>
  <c r="H24" i="10"/>
  <c r="I24" i="10" s="1"/>
  <c r="L24" i="10" s="1"/>
  <c r="N24" i="10" s="1"/>
  <c r="P24" i="10" s="1"/>
  <c r="I25" i="10"/>
  <c r="L25" i="10" s="1"/>
  <c r="N25" i="10" s="1"/>
  <c r="P25" i="10" s="1"/>
  <c r="H38" i="10"/>
  <c r="I38" i="10" s="1"/>
  <c r="I37" i="10"/>
  <c r="Q35" i="10"/>
  <c r="D55" i="9" l="1"/>
  <c r="F38" i="12"/>
  <c r="T8" i="12"/>
  <c r="U8" i="12" s="1"/>
  <c r="T38" i="12" s="1"/>
  <c r="O38" i="12"/>
  <c r="T3" i="12"/>
  <c r="U3" i="12" s="1"/>
  <c r="T33" i="12" s="1"/>
  <c r="O33" i="12"/>
  <c r="Q33" i="12" s="1"/>
  <c r="L56" i="9"/>
  <c r="K56" i="9"/>
  <c r="M56" i="9"/>
  <c r="I56" i="9"/>
  <c r="O56" i="9"/>
  <c r="H56" i="9"/>
  <c r="F55" i="9"/>
  <c r="G37" i="12" s="1"/>
  <c r="G56" i="9"/>
  <c r="J56" i="9"/>
  <c r="M38" i="10"/>
  <c r="O38" i="10" s="1"/>
  <c r="L38" i="10"/>
  <c r="N38" i="10" s="1"/>
  <c r="P38" i="10" s="1"/>
  <c r="M37" i="10"/>
  <c r="O37" i="10" s="1"/>
  <c r="L37" i="10"/>
  <c r="Q36" i="10"/>
  <c r="V38" i="12" l="1"/>
  <c r="V33" i="12"/>
  <c r="U33" i="12"/>
  <c r="T7" i="12"/>
  <c r="U7" i="12" s="1"/>
  <c r="T37" i="12" s="1"/>
  <c r="O37" i="12"/>
  <c r="Q38" i="12"/>
  <c r="U38" i="12"/>
  <c r="D54" i="9"/>
  <c r="F37" i="12"/>
  <c r="H55" i="9"/>
  <c r="J55" i="9"/>
  <c r="I55" i="9"/>
  <c r="O55" i="9"/>
  <c r="G55" i="9"/>
  <c r="K55" i="9"/>
  <c r="M55" i="9"/>
  <c r="L55" i="9"/>
  <c r="Q37" i="10"/>
  <c r="Q38" i="10"/>
  <c r="F54" i="9"/>
  <c r="V37" i="12" l="1"/>
  <c r="U37" i="12"/>
  <c r="Q37" i="12"/>
  <c r="D53" i="9"/>
  <c r="F36" i="12"/>
  <c r="M54" i="9"/>
  <c r="G36" i="12"/>
  <c r="G54" i="9"/>
  <c r="K54" i="9"/>
  <c r="L54" i="9"/>
  <c r="F53" i="9"/>
  <c r="G35" i="12" s="1"/>
  <c r="J54" i="9"/>
  <c r="I54" i="9"/>
  <c r="O54" i="9"/>
  <c r="H54" i="9"/>
  <c r="D52" i="9" l="1"/>
  <c r="F34" i="12" s="1"/>
  <c r="F35" i="12"/>
  <c r="T6" i="12"/>
  <c r="U6" i="12" s="1"/>
  <c r="O36" i="12"/>
  <c r="T5" i="12"/>
  <c r="U5" i="12" s="1"/>
  <c r="O35" i="12"/>
  <c r="Q35" i="12" s="1"/>
  <c r="L53" i="9"/>
  <c r="O53" i="9"/>
  <c r="M53" i="9"/>
  <c r="J53" i="9"/>
  <c r="G53" i="9"/>
  <c r="K53" i="9"/>
  <c r="F52" i="9"/>
  <c r="G34" i="12" s="1"/>
  <c r="H53" i="9"/>
  <c r="I53" i="9"/>
  <c r="T36" i="12" l="1"/>
  <c r="T35" i="12"/>
  <c r="T4" i="12"/>
  <c r="U4" i="12" s="1"/>
  <c r="T34" i="12" s="1"/>
  <c r="O34" i="12"/>
  <c r="Q34" i="12" s="1"/>
  <c r="Q36" i="12"/>
  <c r="I52" i="9"/>
  <c r="K52" i="9"/>
  <c r="O52" i="9"/>
  <c r="G52" i="9"/>
  <c r="J52" i="9"/>
  <c r="M52" i="9"/>
  <c r="L52" i="9"/>
  <c r="H52" i="9"/>
  <c r="E37" i="10"/>
  <c r="N37" i="10" s="1"/>
  <c r="P37" i="10" s="1"/>
  <c r="E36" i="10"/>
  <c r="N36" i="10" s="1"/>
  <c r="P36" i="10" s="1"/>
  <c r="E34" i="10"/>
  <c r="N34" i="10" s="1"/>
  <c r="P34" i="10" s="1"/>
  <c r="E35" i="10"/>
  <c r="N35" i="10" s="1"/>
  <c r="P35" i="10" s="1"/>
  <c r="U35" i="12" l="1"/>
  <c r="V35" i="12"/>
  <c r="V36" i="12"/>
  <c r="U36" i="12"/>
  <c r="U34" i="12"/>
  <c r="V34" i="12"/>
</calcChain>
</file>

<file path=xl/sharedStrings.xml><?xml version="1.0" encoding="utf-8"?>
<sst xmlns="http://schemas.openxmlformats.org/spreadsheetml/2006/main" count="966" uniqueCount="272">
  <si>
    <t>Legend</t>
  </si>
  <si>
    <t>Value</t>
  </si>
  <si>
    <t>Unit</t>
  </si>
  <si>
    <t>km</t>
  </si>
  <si>
    <t>Bangalore area</t>
  </si>
  <si>
    <t>INR</t>
  </si>
  <si>
    <t xml:space="preserve"> </t>
  </si>
  <si>
    <t>Data</t>
  </si>
  <si>
    <t>YoY growth</t>
  </si>
  <si>
    <t>Bangalore's share</t>
  </si>
  <si>
    <t>upto 3 km</t>
  </si>
  <si>
    <t>Actual</t>
  </si>
  <si>
    <t>-</t>
  </si>
  <si>
    <t>Assumed</t>
  </si>
  <si>
    <t>Forecasted</t>
  </si>
  <si>
    <t>year</t>
  </si>
  <si>
    <t>in INR</t>
  </si>
  <si>
    <t>AOV</t>
  </si>
  <si>
    <t>order*aov=revenue</t>
  </si>
  <si>
    <t>no of food orders</t>
  </si>
  <si>
    <t>sum</t>
  </si>
  <si>
    <t>Difference between original and drone</t>
  </si>
  <si>
    <t>new actual % share</t>
  </si>
  <si>
    <t>montly orders</t>
  </si>
  <si>
    <t>Revenue in cr</t>
  </si>
  <si>
    <t>new% conversion</t>
  </si>
  <si>
    <t>Commission</t>
  </si>
  <si>
    <t>commission %</t>
  </si>
  <si>
    <t>Order distribution km wise</t>
  </si>
  <si>
    <t>Total</t>
  </si>
  <si>
    <t>Sum for new orders + lower detractors</t>
  </si>
  <si>
    <t>Detractor factor</t>
  </si>
  <si>
    <t>New difference between original and drone contribution</t>
  </si>
  <si>
    <t>New Total</t>
  </si>
  <si>
    <t>CAGR</t>
  </si>
  <si>
    <t>Final Difference between original and drone</t>
  </si>
  <si>
    <t>Bangalore</t>
  </si>
  <si>
    <t>India</t>
  </si>
  <si>
    <t>Final Value</t>
  </si>
  <si>
    <t>Year</t>
  </si>
  <si>
    <t>India orders (monthly)</t>
  </si>
  <si>
    <t>Bangalore existing orders (monthly)</t>
  </si>
  <si>
    <t>Average Order Value (INR)</t>
  </si>
  <si>
    <t>Restaurant Commission</t>
  </si>
  <si>
    <t>Per order revenue</t>
  </si>
  <si>
    <t>Total monthly revenue (from new [drone] orders)</t>
  </si>
  <si>
    <t>Total annual revenue from new orders</t>
  </si>
  <si>
    <t>Monthly expenses (from new [drone] orders)</t>
  </si>
  <si>
    <t>Intitial Investment payoff spread over 5 years)</t>
  </si>
  <si>
    <t>Total Monthly expenses (from new [drone] orders)</t>
  </si>
  <si>
    <t>Profit</t>
  </si>
  <si>
    <t>Profit %</t>
  </si>
  <si>
    <t>Parameters</t>
  </si>
  <si>
    <t>Units</t>
  </si>
  <si>
    <t>Sq. Km</t>
  </si>
  <si>
    <t>Rs</t>
  </si>
  <si>
    <t>Average Order Value (2023)</t>
  </si>
  <si>
    <t>Swiggy Commission</t>
  </si>
  <si>
    <t>Bangalore' share in market</t>
  </si>
  <si>
    <t>Bangalore orders Hybrid Method (monthly)</t>
  </si>
  <si>
    <t>Inflation Rate (2023)</t>
  </si>
  <si>
    <t>22-24%</t>
  </si>
  <si>
    <t>Delivery Charge</t>
  </si>
  <si>
    <t>BreakDown</t>
  </si>
  <si>
    <t>Base Fees</t>
  </si>
  <si>
    <t>Distance Fees (After 3 km)</t>
  </si>
  <si>
    <t>Average Delivery Charge</t>
  </si>
  <si>
    <t>BreakDown (Rs)</t>
  </si>
  <si>
    <t>Drone Hybrid System</t>
  </si>
  <si>
    <t>Traditional Delivery System</t>
  </si>
  <si>
    <t xml:space="preserve">Delivery Charges to customer Hybrid (per order) </t>
  </si>
  <si>
    <t xml:space="preserve">Delivery Charges to customer traditional (per order) </t>
  </si>
  <si>
    <t xml:space="preserve">Total monthly revenue </t>
  </si>
  <si>
    <t>min</t>
  </si>
  <si>
    <t>peak hours</t>
  </si>
  <si>
    <t>12 pm - 2 pm &amp; 7-9 pm</t>
  </si>
  <si>
    <t>avg weight of 1 food parcel</t>
  </si>
  <si>
    <t>carrying capacity of drone</t>
  </si>
  <si>
    <t># of parcel's 1 drone can carry at a time</t>
  </si>
  <si>
    <t>cost of 1 drone</t>
  </si>
  <si>
    <t xml:space="preserve">km </t>
  </si>
  <si>
    <t>time for 1 flight</t>
  </si>
  <si>
    <t>flights in one charge</t>
  </si>
  <si>
    <t>charging time</t>
  </si>
  <si>
    <t>flight + charge time</t>
  </si>
  <si>
    <t>deliveries in charge</t>
  </si>
  <si>
    <t>deliveries in 1 hour by 1 drone</t>
  </si>
  <si>
    <t>per drone per month operational cost</t>
  </si>
  <si>
    <t>sq ft</t>
  </si>
  <si>
    <t>rent in Bangalore/sq ft</t>
  </si>
  <si>
    <t>rent of dist points</t>
  </si>
  <si>
    <t>area of command center</t>
  </si>
  <si>
    <t>rent of command center per month</t>
  </si>
  <si>
    <t>no of employees per dist point</t>
  </si>
  <si>
    <t>salary of dist pt managers</t>
  </si>
  <si>
    <t>command center technicians</t>
  </si>
  <si>
    <t>one side dist of 1 delivery (weighted avg)</t>
  </si>
  <si>
    <t>one side DE travel time</t>
  </si>
  <si>
    <t>DEs required per dist point</t>
  </si>
  <si>
    <t>total variable DE salary per month (avg)</t>
  </si>
  <si>
    <t>Total expenses per month</t>
  </si>
  <si>
    <t>Count</t>
  </si>
  <si>
    <t>No of CCP</t>
  </si>
  <si>
    <t>value</t>
  </si>
  <si>
    <t>count</t>
  </si>
  <si>
    <t>total</t>
  </si>
  <si>
    <t>Battery Life expectancy</t>
  </si>
  <si>
    <t>100-200 charges</t>
  </si>
  <si>
    <t>Charging time</t>
  </si>
  <si>
    <t>mins</t>
  </si>
  <si>
    <t>drone</t>
  </si>
  <si>
    <t>2 delivery</t>
  </si>
  <si>
    <t>0.5 hrs</t>
  </si>
  <si>
    <t>4 hours</t>
  </si>
  <si>
    <t>delivery</t>
  </si>
  <si>
    <t>battery charge</t>
  </si>
  <si>
    <t>battery charge in peak hours 1 day</t>
  </si>
  <si>
    <t>battery charge in peak hours 1 month</t>
  </si>
  <si>
    <t>after 1 hr</t>
  </si>
  <si>
    <t>4 charges</t>
  </si>
  <si>
    <t>battery life 2 months</t>
  </si>
  <si>
    <t>months</t>
  </si>
  <si>
    <t>maintance (monthly)</t>
  </si>
  <si>
    <t>battery cost</t>
  </si>
  <si>
    <t>rs</t>
  </si>
  <si>
    <t>Total flight time</t>
  </si>
  <si>
    <t>total montly cost of drone operations</t>
  </si>
  <si>
    <t>cost of 1 drone operation monthly</t>
  </si>
  <si>
    <t>Revenue only from drones(new- traditional)</t>
  </si>
  <si>
    <t>dist for drone per flight</t>
  </si>
  <si>
    <t>area of 1 CCP</t>
  </si>
  <si>
    <t>Parameter</t>
  </si>
  <si>
    <t>Total monthly rent of CCP</t>
  </si>
  <si>
    <t>Total no of technicians at each CCP</t>
  </si>
  <si>
    <t>Salary of technicians  CCP (montly)</t>
  </si>
  <si>
    <t>Total Salary of Technicians (monthly)</t>
  </si>
  <si>
    <t>CCP  manager salary (monthly)</t>
  </si>
  <si>
    <t>No of CCP  manager</t>
  </si>
  <si>
    <t>Total Salary of CCP manager (monthly)</t>
  </si>
  <si>
    <t>orders delivered per month by delivery guy</t>
  </si>
  <si>
    <t>Fixed Salary of Delivery guy (monthly)</t>
  </si>
  <si>
    <t>Total No of delivery guys</t>
  </si>
  <si>
    <t>Total Salary of delivery guys</t>
  </si>
  <si>
    <t>No of drones</t>
  </si>
  <si>
    <t>Extra Drones</t>
  </si>
  <si>
    <t>Total No of drones</t>
  </si>
  <si>
    <t>Total cost of drones</t>
  </si>
  <si>
    <t>Last mile per delivery salary</t>
  </si>
  <si>
    <t>1st mile per delivery salary</t>
  </si>
  <si>
    <t>Overall per delivery salary</t>
  </si>
  <si>
    <t>Per Delivery Salary (traditional)</t>
  </si>
  <si>
    <t>Delivery guys for  1 drone delivery</t>
  </si>
  <si>
    <t>No of delivery by 1 guy in 1 hour</t>
  </si>
  <si>
    <t>Total fixed salary per month</t>
  </si>
  <si>
    <t>Total variable salary per month</t>
  </si>
  <si>
    <t>Total final salary per month</t>
  </si>
  <si>
    <t>ESTIMATION SHEET FOR DRONES FOR DISTANCE 6 TO 8 kms</t>
  </si>
  <si>
    <t>DRONE COST ANALYSIS</t>
  </si>
  <si>
    <t>Restaurants CCP</t>
  </si>
  <si>
    <t>Numbers of orders per drone during peak time</t>
  </si>
  <si>
    <t>New Monthly orders</t>
  </si>
  <si>
    <t>Daily orders</t>
  </si>
  <si>
    <t>Orders using peak hour</t>
  </si>
  <si>
    <t>Per hour peak orders</t>
  </si>
  <si>
    <t>India orders new drone (monthly)</t>
  </si>
  <si>
    <t>orders per CCP in  1 hour</t>
  </si>
  <si>
    <t>Orders for 1  drone in 1 hour</t>
  </si>
  <si>
    <t>No of deliveries in 1 charge</t>
  </si>
  <si>
    <t>Total no of new drones</t>
  </si>
  <si>
    <t>Cost of new drones</t>
  </si>
  <si>
    <t>Numbers of drones in peak hour per CPP</t>
  </si>
  <si>
    <t>New Drones purchased yearly per ccp</t>
  </si>
  <si>
    <t>Distributing price</t>
  </si>
  <si>
    <t>area of HQ</t>
  </si>
  <si>
    <t>sq ft.</t>
  </si>
  <si>
    <t>rent of HQ</t>
  </si>
  <si>
    <t>total rent monthly</t>
  </si>
  <si>
    <t>rent of CCP</t>
  </si>
  <si>
    <t>Total monthly rent of 1 CCP</t>
  </si>
  <si>
    <t>Total montly cost</t>
  </si>
  <si>
    <t>No of CCP  manager per CCP</t>
  </si>
  <si>
    <t>No Software Services employees</t>
  </si>
  <si>
    <t>Salary of SS employee monthly</t>
  </si>
  <si>
    <t>no of HQ manager</t>
  </si>
  <si>
    <t>Salary of HQ manager monthly</t>
  </si>
  <si>
    <t>Total cost monthly</t>
  </si>
  <si>
    <t>Total available drones</t>
  </si>
  <si>
    <t>one time extra drone cost</t>
  </si>
  <si>
    <t>Distribution in 5 years</t>
  </si>
  <si>
    <t>monthly maintainance cost</t>
  </si>
  <si>
    <t>no of delivery agents</t>
  </si>
  <si>
    <t>Cost for delivery agent monthly</t>
  </si>
  <si>
    <t>Drone purchase cost</t>
  </si>
  <si>
    <t>Area sq. ft for drones</t>
  </si>
  <si>
    <t>Area for each drone (sq.ft)</t>
  </si>
  <si>
    <t>Rent per sq ft. monthly</t>
  </si>
  <si>
    <t>Rent for all CCP monthly</t>
  </si>
  <si>
    <t>Tech Out Sourcing</t>
  </si>
  <si>
    <t xml:space="preserve">Rs </t>
  </si>
  <si>
    <t>Y2014</t>
  </si>
  <si>
    <t>Y2015</t>
  </si>
  <si>
    <t>Y2016</t>
  </si>
  <si>
    <t>Y2017</t>
  </si>
  <si>
    <t>Y2018</t>
  </si>
  <si>
    <t>Y2019</t>
  </si>
  <si>
    <t>Y2020</t>
  </si>
  <si>
    <t>Y2021</t>
  </si>
  <si>
    <t>Y2022</t>
  </si>
  <si>
    <t>Y2023</t>
  </si>
  <si>
    <t>Y2024</t>
  </si>
  <si>
    <t>Y2025</t>
  </si>
  <si>
    <t>Y2026</t>
  </si>
  <si>
    <t>Y2027</t>
  </si>
  <si>
    <t>Y2028</t>
  </si>
  <si>
    <t>Average Order Value (Rs)</t>
  </si>
  <si>
    <t>Customer Delivery Charges</t>
  </si>
  <si>
    <t>Values</t>
  </si>
  <si>
    <t xml:space="preserve">Average delivery time per km </t>
  </si>
  <si>
    <t>mins/km</t>
  </si>
  <si>
    <t>Average food preparation time</t>
  </si>
  <si>
    <t xml:space="preserve">mins </t>
  </si>
  <si>
    <t>km/hr</t>
  </si>
  <si>
    <t>Average speed of drone</t>
  </si>
  <si>
    <t>Average delivery time of drone per km</t>
  </si>
  <si>
    <t>km from restaurant</t>
  </si>
  <si>
    <t>% distribution</t>
  </si>
  <si>
    <t>Total Delivery time</t>
  </si>
  <si>
    <t>total distance</t>
  </si>
  <si>
    <t>delivery time</t>
  </si>
  <si>
    <t>total delivery time</t>
  </si>
  <si>
    <t>1st + last mile distance (km)</t>
  </si>
  <si>
    <t>drone covered distance (km)</t>
  </si>
  <si>
    <t>Switching time</t>
  </si>
  <si>
    <t>Current Model Delivery Time</t>
  </si>
  <si>
    <t>Drone Hybrid Model Delivery Time</t>
  </si>
  <si>
    <t>Average speed in bangalore during peak hours</t>
  </si>
  <si>
    <t>Overall Comparison</t>
  </si>
  <si>
    <t>Current model delivery time</t>
  </si>
  <si>
    <t>Drone hybrid model delivery time</t>
  </si>
  <si>
    <t>IT  Consultancy (monthly)</t>
  </si>
  <si>
    <t>Current Model delivery system</t>
  </si>
  <si>
    <t>Drone Hybrid Model delivery system</t>
  </si>
  <si>
    <t>Average delivery guy fee</t>
  </si>
  <si>
    <t>Petrol Charges</t>
  </si>
  <si>
    <t>Mileage</t>
  </si>
  <si>
    <t>60km/l</t>
  </si>
  <si>
    <t>price 1 litre</t>
  </si>
  <si>
    <t>Price per km</t>
  </si>
  <si>
    <t>Petrol Charges per month</t>
  </si>
  <si>
    <t>Net salary</t>
  </si>
  <si>
    <t>Miscellaneous Cost</t>
  </si>
  <si>
    <t>New Model monthly revenue</t>
  </si>
  <si>
    <t>Old model monthly revenue</t>
  </si>
  <si>
    <t>Old model annual revenue</t>
  </si>
  <si>
    <t>New model annual revenue</t>
  </si>
  <si>
    <t>Old model delivery charges to customer</t>
  </si>
  <si>
    <t>Old model per order revenue</t>
  </si>
  <si>
    <t>New model per order revenue</t>
  </si>
  <si>
    <t>Bangalore old model orders</t>
  </si>
  <si>
    <t>India old model orders (monthly)</t>
  </si>
  <si>
    <t>India  new hybrid  drone (monthly)</t>
  </si>
  <si>
    <t>Monthly expenses in new model</t>
  </si>
  <si>
    <t>Total monthly expense in new model</t>
  </si>
  <si>
    <t>Promoter factor</t>
  </si>
  <si>
    <t>Drone only</t>
  </si>
  <si>
    <t>Total cost of new drones</t>
  </si>
  <si>
    <t>ratio dron per area</t>
  </si>
  <si>
    <t>HQ (Command Centre)</t>
  </si>
  <si>
    <t>CCP</t>
  </si>
  <si>
    <t>Drone Calculation</t>
  </si>
  <si>
    <t>Rider Info</t>
  </si>
  <si>
    <t>Swiggy's Commission (Rs)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</si>
</sst>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 * #,##0.00_ ;_ * \-#,##0.00_ ;_ * &quot;-&quot;??_ ;_ @_ "/>
    <numFmt numFmtId="164" formatCode="_ * #,##0_ ;_ * \-#,##0_ ;_ * &quot;-&quot;??_ ;_ @_ "/>
    <numFmt numFmtId="165" formatCode="_(* #,##0_);_(* \(#,##0\);_(* &quot;-&quot;??_);_(@_)"/>
    <numFmt numFmtId="166" formatCode="#,000"/>
    <numFmt numFmtId="167" formatCode="_(* #,##0.00_);_(* \(#,##0.00\);_(* &quot;-&quot;??_);_(@_)"/>
    <numFmt numFmtId="168" formatCode="#\.0,,&quot;0 Crs&quot;"/>
    <numFmt numFmtId="169" formatCode="#,##0.0,\ &quot;K&quot;\ 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</font>
    <font>
      <b/>
      <sz val="12"/>
      <color theme="1"/>
      <name val="Calibri"/>
      <family val="2"/>
    </font>
    <font>
      <sz val="8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E598"/>
        <bgColor indexed="64"/>
      </patternFill>
    </fill>
    <fill>
      <patternFill patternType="solid">
        <fgColor rgb="FFFEF2CB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EF2CB"/>
        <bgColor rgb="FFFEF2CB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D8D8D8"/>
        <bgColor rgb="FFD8D8D8"/>
      </patternFill>
    </fill>
    <fill>
      <patternFill patternType="solid">
        <fgColor theme="7" tint="-0.249977111117893"/>
        <bgColor rgb="FFD8D8D8"/>
      </patternFill>
    </fill>
    <fill>
      <patternFill patternType="solid">
        <fgColor rgb="FF0070C0"/>
        <bgColor rgb="FFD8D8D8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DEEAF6"/>
        <bgColor rgb="FFDEEAF6"/>
      </patternFill>
    </fill>
    <fill>
      <patternFill patternType="solid">
        <fgColor theme="7" tint="0.79998168889431442"/>
        <bgColor rgb="FFD8D8D8"/>
      </patternFill>
    </fill>
  </fills>
  <borders count="2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rgb="FFCCCCCC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CCCCCC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7">
    <xf numFmtId="0" fontId="0" fillId="0" borderId="0" xfId="0"/>
    <xf numFmtId="0" fontId="0" fillId="0" borderId="3" xfId="0" applyBorder="1" applyAlignment="1">
      <alignment wrapText="1"/>
    </xf>
    <xf numFmtId="9" fontId="0" fillId="0" borderId="0" xfId="0" applyNumberFormat="1"/>
    <xf numFmtId="0" fontId="0" fillId="0" borderId="4" xfId="0" applyBorder="1" applyAlignment="1">
      <alignment wrapText="1"/>
    </xf>
    <xf numFmtId="3" fontId="0" fillId="0" borderId="4" xfId="0" applyNumberFormat="1" applyBorder="1" applyAlignment="1">
      <alignment horizontal="right" wrapText="1"/>
    </xf>
    <xf numFmtId="0" fontId="0" fillId="0" borderId="4" xfId="0" applyBorder="1" applyAlignment="1">
      <alignment horizontal="right" wrapText="1"/>
    </xf>
    <xf numFmtId="9" fontId="0" fillId="0" borderId="4" xfId="0" applyNumberFormat="1" applyBorder="1" applyAlignment="1">
      <alignment horizontal="right" wrapText="1"/>
    </xf>
    <xf numFmtId="0" fontId="0" fillId="0" borderId="1" xfId="0" applyBorder="1" applyAlignment="1">
      <alignment wrapText="1"/>
    </xf>
    <xf numFmtId="0" fontId="0" fillId="0" borderId="2" xfId="0" applyBorder="1" applyAlignment="1">
      <alignment wrapText="1"/>
    </xf>
    <xf numFmtId="9" fontId="0" fillId="0" borderId="2" xfId="0" applyNumberFormat="1" applyBorder="1" applyAlignment="1">
      <alignment horizontal="right" wrapText="1"/>
    </xf>
    <xf numFmtId="14" fontId="0" fillId="0" borderId="4" xfId="0" applyNumberFormat="1" applyBorder="1" applyAlignment="1">
      <alignment horizontal="right" wrapText="1"/>
    </xf>
    <xf numFmtId="0" fontId="0" fillId="3" borderId="3" xfId="0" applyFill="1" applyBorder="1" applyAlignment="1">
      <alignment wrapText="1"/>
    </xf>
    <xf numFmtId="9" fontId="0" fillId="3" borderId="4" xfId="0" applyNumberFormat="1" applyFill="1" applyBorder="1" applyAlignment="1">
      <alignment horizontal="right" wrapText="1"/>
    </xf>
    <xf numFmtId="0" fontId="0" fillId="4" borderId="3" xfId="0" applyFill="1" applyBorder="1" applyAlignment="1">
      <alignment wrapText="1"/>
    </xf>
    <xf numFmtId="3" fontId="0" fillId="4" borderId="4" xfId="0" applyNumberFormat="1" applyFill="1" applyBorder="1" applyAlignment="1">
      <alignment horizontal="right" wrapText="1"/>
    </xf>
    <xf numFmtId="9" fontId="0" fillId="4" borderId="4" xfId="0" applyNumberFormat="1" applyFill="1" applyBorder="1" applyAlignment="1">
      <alignment horizontal="right" wrapText="1"/>
    </xf>
    <xf numFmtId="164" fontId="0" fillId="0" borderId="0" xfId="1" applyNumberFormat="1" applyFont="1"/>
    <xf numFmtId="164" fontId="0" fillId="0" borderId="0" xfId="0" applyNumberFormat="1"/>
    <xf numFmtId="43" fontId="0" fillId="0" borderId="0" xfId="0" applyNumberFormat="1"/>
    <xf numFmtId="43" fontId="0" fillId="0" borderId="4" xfId="0" applyNumberFormat="1" applyBorder="1" applyAlignment="1">
      <alignment horizontal="right" wrapText="1"/>
    </xf>
    <xf numFmtId="1" fontId="0" fillId="0" borderId="0" xfId="0" applyNumberFormat="1"/>
    <xf numFmtId="0" fontId="0" fillId="5" borderId="3" xfId="0" applyFill="1" applyBorder="1" applyAlignment="1">
      <alignment wrapText="1"/>
    </xf>
    <xf numFmtId="14" fontId="0" fillId="5" borderId="4" xfId="0" applyNumberFormat="1" applyFill="1" applyBorder="1" applyAlignment="1">
      <alignment horizontal="right" wrapText="1"/>
    </xf>
    <xf numFmtId="0" fontId="0" fillId="5" borderId="4" xfId="0" applyFill="1" applyBorder="1" applyAlignment="1">
      <alignment horizontal="right" wrapText="1"/>
    </xf>
    <xf numFmtId="3" fontId="0" fillId="5" borderId="4" xfId="0" applyNumberFormat="1" applyFill="1" applyBorder="1" applyAlignment="1">
      <alignment horizontal="right" wrapText="1"/>
    </xf>
    <xf numFmtId="9" fontId="0" fillId="5" borderId="4" xfId="0" applyNumberFormat="1" applyFill="1" applyBorder="1" applyAlignment="1">
      <alignment horizontal="right" wrapText="1"/>
    </xf>
    <xf numFmtId="0" fontId="0" fillId="5" borderId="0" xfId="0" applyFill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10" fontId="0" fillId="0" borderId="0" xfId="0" applyNumberFormat="1"/>
    <xf numFmtId="9" fontId="0" fillId="6" borderId="0" xfId="2" applyFont="1" applyFill="1"/>
    <xf numFmtId="3" fontId="0" fillId="0" borderId="0" xfId="0" applyNumberFormat="1"/>
    <xf numFmtId="0" fontId="2" fillId="7" borderId="5" xfId="0" applyFont="1" applyFill="1" applyBorder="1"/>
    <xf numFmtId="0" fontId="2" fillId="0" borderId="5" xfId="0" applyFont="1" applyBorder="1"/>
    <xf numFmtId="0" fontId="2" fillId="8" borderId="5" xfId="0" applyFont="1" applyFill="1" applyBorder="1"/>
    <xf numFmtId="9" fontId="2" fillId="0" borderId="5" xfId="0" applyNumberFormat="1" applyFont="1" applyBorder="1"/>
    <xf numFmtId="0" fontId="0" fillId="9" borderId="6" xfId="0" applyFill="1" applyBorder="1"/>
    <xf numFmtId="1" fontId="0" fillId="9" borderId="6" xfId="0" applyNumberFormat="1" applyFill="1" applyBorder="1"/>
    <xf numFmtId="3" fontId="0" fillId="9" borderId="6" xfId="0" applyNumberFormat="1" applyFill="1" applyBorder="1"/>
    <xf numFmtId="3" fontId="0" fillId="0" borderId="7" xfId="0" applyNumberFormat="1" applyBorder="1" applyAlignment="1">
      <alignment horizontal="right" wrapText="1"/>
    </xf>
    <xf numFmtId="9" fontId="0" fillId="5" borderId="0" xfId="2" applyFont="1" applyFill="1"/>
    <xf numFmtId="0" fontId="2" fillId="10" borderId="5" xfId="0" applyFont="1" applyFill="1" applyBorder="1"/>
    <xf numFmtId="1" fontId="2" fillId="0" borderId="5" xfId="0" applyNumberFormat="1" applyFont="1" applyBorder="1"/>
    <xf numFmtId="165" fontId="2" fillId="0" borderId="5" xfId="0" applyNumberFormat="1" applyFont="1" applyBorder="1"/>
    <xf numFmtId="0" fontId="2" fillId="0" borderId="5" xfId="0" applyFont="1" applyBorder="1" applyAlignment="1">
      <alignment horizontal="center"/>
    </xf>
    <xf numFmtId="0" fontId="0" fillId="0" borderId="8" xfId="0" applyBorder="1" applyAlignment="1">
      <alignment wrapText="1"/>
    </xf>
    <xf numFmtId="0" fontId="0" fillId="0" borderId="6" xfId="0" applyBorder="1"/>
    <xf numFmtId="0" fontId="0" fillId="0" borderId="10" xfId="0" applyBorder="1"/>
    <xf numFmtId="9" fontId="0" fillId="0" borderId="12" xfId="0" applyNumberFormat="1" applyBorder="1" applyAlignment="1">
      <alignment horizontal="right" wrapText="1"/>
    </xf>
    <xf numFmtId="0" fontId="0" fillId="0" borderId="13" xfId="0" applyBorder="1" applyAlignment="1">
      <alignment horizontal="right" wrapText="1"/>
    </xf>
    <xf numFmtId="9" fontId="0" fillId="0" borderId="10" xfId="0" applyNumberFormat="1" applyBorder="1" applyAlignment="1">
      <alignment horizontal="right" wrapText="1"/>
    </xf>
    <xf numFmtId="0" fontId="0" fillId="0" borderId="14" xfId="0" applyBorder="1" applyAlignment="1">
      <alignment horizontal="right" wrapText="1"/>
    </xf>
    <xf numFmtId="9" fontId="0" fillId="0" borderId="11" xfId="0" applyNumberFormat="1" applyBorder="1"/>
    <xf numFmtId="0" fontId="0" fillId="0" borderId="15" xfId="0" applyBorder="1"/>
    <xf numFmtId="0" fontId="0" fillId="0" borderId="16" xfId="0" applyBorder="1" applyAlignment="1">
      <alignment horizontal="right" wrapText="1"/>
    </xf>
    <xf numFmtId="0" fontId="2" fillId="10" borderId="5" xfId="0" applyFont="1" applyFill="1" applyBorder="1" applyAlignment="1">
      <alignment horizontal="center" vertical="center" wrapText="1"/>
    </xf>
    <xf numFmtId="14" fontId="2" fillId="10" borderId="17" xfId="0" applyNumberFormat="1" applyFont="1" applyFill="1" applyBorder="1" applyAlignment="1">
      <alignment horizontal="center" vertical="center"/>
    </xf>
    <xf numFmtId="0" fontId="2" fillId="10" borderId="18" xfId="0" applyFont="1" applyFill="1" applyBorder="1" applyAlignment="1">
      <alignment horizontal="center" vertical="center"/>
    </xf>
    <xf numFmtId="3" fontId="0" fillId="0" borderId="9" xfId="0" applyNumberFormat="1" applyBorder="1" applyAlignment="1">
      <alignment horizontal="right" wrapText="1"/>
    </xf>
    <xf numFmtId="0" fontId="2" fillId="10" borderId="1" xfId="0" applyFont="1" applyFill="1" applyBorder="1" applyAlignment="1">
      <alignment horizontal="center" vertical="center" wrapText="1"/>
    </xf>
    <xf numFmtId="165" fontId="2" fillId="0" borderId="5" xfId="0" applyNumberFormat="1" applyFont="1" applyBorder="1" applyAlignment="1">
      <alignment horizontal="center"/>
    </xf>
    <xf numFmtId="10" fontId="0" fillId="0" borderId="12" xfId="0" applyNumberFormat="1" applyBorder="1" applyAlignment="1">
      <alignment horizontal="right" wrapText="1"/>
    </xf>
    <xf numFmtId="1" fontId="2" fillId="0" borderId="5" xfId="0" applyNumberFormat="1" applyFont="1" applyBorder="1" applyAlignment="1">
      <alignment horizontal="center"/>
    </xf>
    <xf numFmtId="166" fontId="2" fillId="0" borderId="5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0" fontId="2" fillId="11" borderId="5" xfId="0" applyFont="1" applyFill="1" applyBorder="1" applyAlignment="1">
      <alignment horizontal="center" vertical="center" wrapText="1"/>
    </xf>
    <xf numFmtId="0" fontId="2" fillId="12" borderId="5" xfId="0" applyFont="1" applyFill="1" applyBorder="1" applyAlignment="1">
      <alignment horizontal="center" vertical="center" wrapText="1"/>
    </xf>
    <xf numFmtId="0" fontId="2" fillId="11" borderId="5" xfId="0" applyFont="1" applyFill="1" applyBorder="1" applyAlignment="1">
      <alignment horizontal="center" vertical="center"/>
    </xf>
    <xf numFmtId="0" fontId="3" fillId="12" borderId="5" xfId="0" applyFont="1" applyFill="1" applyBorder="1" applyAlignment="1">
      <alignment horizontal="center" vertical="center" wrapText="1"/>
    </xf>
    <xf numFmtId="164" fontId="2" fillId="0" borderId="5" xfId="1" applyNumberFormat="1" applyFont="1" applyBorder="1"/>
    <xf numFmtId="0" fontId="2" fillId="0" borderId="5" xfId="0" applyFont="1" applyBorder="1" applyAlignment="1">
      <alignment wrapText="1"/>
    </xf>
    <xf numFmtId="167" fontId="2" fillId="0" borderId="5" xfId="0" applyNumberFormat="1" applyFont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wrapText="1"/>
    </xf>
    <xf numFmtId="165" fontId="0" fillId="0" borderId="6" xfId="0" applyNumberFormat="1" applyBorder="1"/>
    <xf numFmtId="0" fontId="0" fillId="13" borderId="6" xfId="0" applyFill="1" applyBorder="1"/>
    <xf numFmtId="0" fontId="2" fillId="14" borderId="5" xfId="0" applyFont="1" applyFill="1" applyBorder="1"/>
    <xf numFmtId="0" fontId="2" fillId="0" borderId="5" xfId="0" applyFont="1" applyBorder="1" applyAlignment="1">
      <alignment horizontal="right" wrapText="1"/>
    </xf>
    <xf numFmtId="1" fontId="2" fillId="0" borderId="0" xfId="0" applyNumberFormat="1" applyFont="1"/>
    <xf numFmtId="43" fontId="0" fillId="0" borderId="0" xfId="1" applyFont="1"/>
    <xf numFmtId="0" fontId="2" fillId="0" borderId="19" xfId="0" applyFont="1" applyBorder="1"/>
    <xf numFmtId="1" fontId="0" fillId="0" borderId="6" xfId="0" applyNumberFormat="1" applyBorder="1"/>
    <xf numFmtId="164" fontId="0" fillId="0" borderId="6" xfId="0" applyNumberFormat="1" applyBorder="1"/>
    <xf numFmtId="165" fontId="0" fillId="0" borderId="0" xfId="0" applyNumberFormat="1"/>
    <xf numFmtId="164" fontId="0" fillId="0" borderId="6" xfId="1" applyNumberFormat="1" applyFont="1" applyBorder="1"/>
    <xf numFmtId="0" fontId="0" fillId="0" borderId="20" xfId="0" applyBorder="1"/>
    <xf numFmtId="168" fontId="0" fillId="0" borderId="4" xfId="0" applyNumberFormat="1" applyBorder="1" applyAlignment="1">
      <alignment horizontal="right" wrapText="1"/>
    </xf>
    <xf numFmtId="168" fontId="0" fillId="5" borderId="4" xfId="0" applyNumberFormat="1" applyFill="1" applyBorder="1" applyAlignment="1">
      <alignment horizontal="right" wrapText="1"/>
    </xf>
    <xf numFmtId="169" fontId="0" fillId="0" borderId="4" xfId="0" applyNumberFormat="1" applyBorder="1" applyAlignment="1">
      <alignment horizontal="right" wrapText="1"/>
    </xf>
    <xf numFmtId="169" fontId="0" fillId="0" borderId="9" xfId="0" applyNumberFormat="1" applyBorder="1" applyAlignment="1">
      <alignment horizontal="right" wrapText="1"/>
    </xf>
    <xf numFmtId="168" fontId="0" fillId="4" borderId="4" xfId="0" applyNumberFormat="1" applyFill="1" applyBorder="1" applyAlignment="1">
      <alignment horizontal="right" wrapText="1"/>
    </xf>
    <xf numFmtId="169" fontId="0" fillId="5" borderId="4" xfId="0" applyNumberFormat="1" applyFill="1" applyBorder="1" applyAlignment="1">
      <alignment horizontal="right" wrapText="1"/>
    </xf>
    <xf numFmtId="168" fontId="2" fillId="0" borderId="5" xfId="0" applyNumberFormat="1" applyFont="1" applyBorder="1" applyAlignment="1">
      <alignment horizontal="center"/>
    </xf>
    <xf numFmtId="168" fontId="2" fillId="0" borderId="5" xfId="0" applyNumberFormat="1" applyFont="1" applyBorder="1"/>
    <xf numFmtId="168" fontId="2" fillId="0" borderId="5" xfId="1" applyNumberFormat="1" applyFont="1" applyBorder="1"/>
    <xf numFmtId="168" fontId="2" fillId="0" borderId="5" xfId="1" applyNumberFormat="1" applyFont="1" applyBorder="1" applyAlignment="1">
      <alignment horizontal="center"/>
    </xf>
    <xf numFmtId="168" fontId="0" fillId="0" borderId="0" xfId="1" applyNumberFormat="1" applyFont="1"/>
    <xf numFmtId="168" fontId="0" fillId="0" borderId="6" xfId="0" applyNumberFormat="1" applyBorder="1"/>
    <xf numFmtId="168" fontId="0" fillId="0" borderId="9" xfId="0" applyNumberFormat="1" applyBorder="1" applyAlignment="1">
      <alignment horizontal="right" wrapText="1"/>
    </xf>
    <xf numFmtId="9" fontId="0" fillId="0" borderId="0" xfId="2" applyFont="1"/>
    <xf numFmtId="0" fontId="2" fillId="10" borderId="5" xfId="0" applyFont="1" applyFill="1" applyBorder="1" applyAlignment="1">
      <alignment wrapText="1"/>
    </xf>
    <xf numFmtId="0" fontId="2" fillId="10" borderId="21" xfId="0" applyFont="1" applyFill="1" applyBorder="1" applyAlignment="1">
      <alignment wrapText="1"/>
    </xf>
    <xf numFmtId="0" fontId="2" fillId="0" borderId="22" xfId="0" applyFont="1" applyBorder="1"/>
    <xf numFmtId="0" fontId="2" fillId="0" borderId="23" xfId="0" applyFont="1" applyBorder="1"/>
    <xf numFmtId="0" fontId="2" fillId="0" borderId="17" xfId="0" applyFont="1" applyBorder="1"/>
    <xf numFmtId="0" fontId="2" fillId="0" borderId="24" xfId="0" applyFont="1" applyBorder="1"/>
    <xf numFmtId="3" fontId="0" fillId="0" borderId="6" xfId="0" applyNumberFormat="1" applyBorder="1"/>
    <xf numFmtId="3" fontId="0" fillId="5" borderId="0" xfId="0" applyNumberFormat="1" applyFill="1"/>
    <xf numFmtId="14" fontId="2" fillId="15" borderId="17" xfId="0" applyNumberFormat="1" applyFont="1" applyFill="1" applyBorder="1" applyAlignment="1">
      <alignment horizontal="center" vertical="center"/>
    </xf>
    <xf numFmtId="0" fontId="2" fillId="15" borderId="1" xfId="0" applyFont="1" applyFill="1" applyBorder="1" applyAlignment="1">
      <alignment horizontal="center" vertical="center" wrapText="1"/>
    </xf>
    <xf numFmtId="0" fontId="2" fillId="15" borderId="18" xfId="0" applyFont="1" applyFill="1" applyBorder="1" applyAlignment="1">
      <alignment horizontal="center" vertical="center"/>
    </xf>
    <xf numFmtId="0" fontId="2" fillId="15" borderId="5" xfId="0" applyFont="1" applyFill="1" applyBorder="1" applyAlignment="1">
      <alignment horizontal="center" vertical="center" wrapText="1"/>
    </xf>
    <xf numFmtId="169" fontId="2" fillId="0" borderId="5" xfId="0" applyNumberFormat="1" applyFont="1" applyBorder="1"/>
    <xf numFmtId="0" fontId="4" fillId="14" borderId="0" xfId="0" applyFont="1" applyFill="1" applyAlignment="1">
      <alignment horizontal="center"/>
    </xf>
    <xf numFmtId="0" fontId="3" fillId="0" borderId="0" xfId="0" applyFont="1"/>
    <xf numFmtId="0" fontId="0" fillId="2" borderId="6" xfId="0" applyFill="1" applyBorder="1"/>
    <xf numFmtId="0" fontId="0" fillId="2" borderId="20" xfId="0" applyFill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Gross</a:t>
            </a:r>
            <a:r>
              <a:rPr lang="en-IN" baseline="0"/>
              <a:t> Revenue Per Year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Current Model</c:v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dLbls>
            <c:dLbl>
              <c:idx val="0"/>
              <c:layout>
                <c:manualLayout>
                  <c:x val="-3.3253013099737945E-2"/>
                  <c:y val="1.51173739097933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F5F-4EF9-840B-57E9D3648083}"/>
                </c:ext>
              </c:extLst>
            </c:dLbl>
            <c:dLbl>
              <c:idx val="1"/>
              <c:layout>
                <c:manualLayout>
                  <c:x val="-2.7710844249781621E-2"/>
                  <c:y val="1.295774906553713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F5F-4EF9-840B-57E9D3648083}"/>
                </c:ext>
              </c:extLst>
            </c:dLbl>
            <c:dLbl>
              <c:idx val="2"/>
              <c:layout>
                <c:manualLayout>
                  <c:x val="-3.8795181949694273E-2"/>
                  <c:y val="1.727699875404942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F5F-4EF9-840B-57E9D3648083}"/>
                </c:ext>
              </c:extLst>
            </c:dLbl>
            <c:dLbl>
              <c:idx val="3"/>
              <c:layout>
                <c:manualLayout>
                  <c:x val="-4.0642571566346444E-2"/>
                  <c:y val="8.6384993770247543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F5F-4EF9-840B-57E9D3648083}"/>
                </c:ext>
              </c:extLst>
            </c:dLbl>
            <c:dLbl>
              <c:idx val="4"/>
              <c:layout>
                <c:manualLayout>
                  <c:x val="-2.955823386643373E-2"/>
                  <c:y val="1.079812422128094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0F5F-4EF9-840B-57E9D3648083}"/>
                </c:ext>
              </c:extLst>
            </c:dLbl>
            <c:dLbl>
              <c:idx val="5"/>
              <c:layout>
                <c:manualLayout>
                  <c:x val="-4.2489961182998491E-2"/>
                  <c:y val="1.295774906553713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0F5F-4EF9-840B-57E9D3648083}"/>
                </c:ext>
              </c:extLst>
            </c:dLbl>
            <c:spPr>
              <a:solidFill>
                <a:schemeClr val="accent4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main_table!$B$33:$B$38</c:f>
              <c:strCache>
                <c:ptCount val="6"/>
                <c:pt idx="0">
                  <c:v>Y2023</c:v>
                </c:pt>
                <c:pt idx="1">
                  <c:v>Y2024</c:v>
                </c:pt>
                <c:pt idx="2">
                  <c:v>Y2025</c:v>
                </c:pt>
                <c:pt idx="3">
                  <c:v>Y2026</c:v>
                </c:pt>
                <c:pt idx="4">
                  <c:v>Y2027</c:v>
                </c:pt>
                <c:pt idx="5">
                  <c:v>Y2028</c:v>
                </c:pt>
              </c:strCache>
            </c:strRef>
          </c:cat>
          <c:val>
            <c:numRef>
              <c:f>main_table!$P$33:$P$38</c:f>
              <c:numCache>
                <c:formatCode>#\.0,,"0 Crs"</c:formatCode>
                <c:ptCount val="6"/>
                <c:pt idx="0">
                  <c:v>5932627039.9756794</c:v>
                </c:pt>
                <c:pt idx="1">
                  <c:v>8982339058.652647</c:v>
                </c:pt>
                <c:pt idx="2">
                  <c:v>12018757706.84124</c:v>
                </c:pt>
                <c:pt idx="3">
                  <c:v>15633023727.400425</c:v>
                </c:pt>
                <c:pt idx="4">
                  <c:v>19054862194.635071</c:v>
                </c:pt>
                <c:pt idx="5">
                  <c:v>22435626251.554585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5F-4EF9-840B-57E9D3648083}"/>
            </c:ext>
          </c:extLst>
        </c:ser>
        <c:ser>
          <c:idx val="1"/>
          <c:order val="1"/>
          <c:tx>
            <c:v>Drone Hybrid Model</c:v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accent2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75000"/>
                </a:schemeClr>
              </a:contourClr>
            </a:sp3d>
          </c:spPr>
          <c:invertIfNegative val="0"/>
          <c:dLbls>
            <c:dLbl>
              <c:idx val="0"/>
              <c:layout>
                <c:manualLayout>
                  <c:x val="2.9558233866433713E-2"/>
                  <c:y val="1.295774906553713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F5F-4EF9-840B-57E9D3648083}"/>
                </c:ext>
              </c:extLst>
            </c:dLbl>
            <c:dLbl>
              <c:idx val="1"/>
              <c:layout>
                <c:manualLayout>
                  <c:x val="3.1405623483085836E-2"/>
                  <c:y val="1.079812422128094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F5F-4EF9-840B-57E9D3648083}"/>
                </c:ext>
              </c:extLst>
            </c:dLbl>
            <c:dLbl>
              <c:idx val="5"/>
              <c:layout>
                <c:manualLayout>
                  <c:x val="5.5421688499561889E-3"/>
                  <c:y val="6.478874532768546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0F5F-4EF9-840B-57E9D3648083}"/>
                </c:ext>
              </c:extLst>
            </c:dLbl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main_table!$B$33:$B$38</c:f>
              <c:strCache>
                <c:ptCount val="6"/>
                <c:pt idx="0">
                  <c:v>Y2023</c:v>
                </c:pt>
                <c:pt idx="1">
                  <c:v>Y2024</c:v>
                </c:pt>
                <c:pt idx="2">
                  <c:v>Y2025</c:v>
                </c:pt>
                <c:pt idx="3">
                  <c:v>Y2026</c:v>
                </c:pt>
                <c:pt idx="4">
                  <c:v>Y2027</c:v>
                </c:pt>
                <c:pt idx="5">
                  <c:v>Y2028</c:v>
                </c:pt>
              </c:strCache>
            </c:strRef>
          </c:cat>
          <c:val>
            <c:numRef>
              <c:f>main_table!$Q$33:$Q$38</c:f>
              <c:numCache>
                <c:formatCode>#\.0,,"0 Crs"</c:formatCode>
                <c:ptCount val="6"/>
                <c:pt idx="0">
                  <c:v>6166243639.6658382</c:v>
                </c:pt>
                <c:pt idx="1">
                  <c:v>9322355591.5067959</c:v>
                </c:pt>
                <c:pt idx="2">
                  <c:v>12470226579.320948</c:v>
                </c:pt>
                <c:pt idx="3">
                  <c:v>16195850185.570679</c:v>
                </c:pt>
                <c:pt idx="4">
                  <c:v>19710629597.960228</c:v>
                </c:pt>
                <c:pt idx="5">
                  <c:v>23199516656.248016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5F-4EF9-840B-57E9D364808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707275951"/>
        <c:axId val="1361293599"/>
        <c:axId val="0"/>
      </c:bar3DChart>
      <c:catAx>
        <c:axId val="1707275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293599"/>
        <c:crosses val="autoZero"/>
        <c:auto val="1"/>
        <c:lblAlgn val="ctr"/>
        <c:lblOffset val="100"/>
        <c:noMultiLvlLbl val="0"/>
      </c:catAx>
      <c:valAx>
        <c:axId val="1361293599"/>
        <c:scaling>
          <c:orientation val="minMax"/>
        </c:scaling>
        <c:delete val="1"/>
        <c:axPos val="l"/>
        <c:numFmt formatCode="#\.0,,&quot;0 Crs&quot;" sourceLinked="1"/>
        <c:majorTickMark val="none"/>
        <c:minorTickMark val="none"/>
        <c:tickLblPos val="nextTo"/>
        <c:crossAx val="1707275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AOV</a:t>
            </a:r>
            <a:r>
              <a:rPr lang="en-IN" baseline="0"/>
              <a:t> and  Per Order Commission Over the Years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main_table!$H$23</c:f>
              <c:strCache>
                <c:ptCount val="1"/>
                <c:pt idx="0">
                  <c:v>Average Order Value (Rs)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main_table!$B$24:$B$38</c:f>
              <c:strCache>
                <c:ptCount val="15"/>
                <c:pt idx="0">
                  <c:v>Y2014</c:v>
                </c:pt>
                <c:pt idx="1">
                  <c:v>Y2015</c:v>
                </c:pt>
                <c:pt idx="2">
                  <c:v>Y2016</c:v>
                </c:pt>
                <c:pt idx="3">
                  <c:v>Y2017</c:v>
                </c:pt>
                <c:pt idx="4">
                  <c:v>Y2018</c:v>
                </c:pt>
                <c:pt idx="5">
                  <c:v>Y2019</c:v>
                </c:pt>
                <c:pt idx="6">
                  <c:v>Y2020</c:v>
                </c:pt>
                <c:pt idx="7">
                  <c:v>Y2021</c:v>
                </c:pt>
                <c:pt idx="8">
                  <c:v>Y2022</c:v>
                </c:pt>
                <c:pt idx="9">
                  <c:v>Y2023</c:v>
                </c:pt>
                <c:pt idx="10">
                  <c:v>Y2024</c:v>
                </c:pt>
                <c:pt idx="11">
                  <c:v>Y2025</c:v>
                </c:pt>
                <c:pt idx="12">
                  <c:v>Y2026</c:v>
                </c:pt>
                <c:pt idx="13">
                  <c:v>Y2027</c:v>
                </c:pt>
                <c:pt idx="14">
                  <c:v>Y2028</c:v>
                </c:pt>
              </c:strCache>
            </c:strRef>
          </c:cat>
          <c:val>
            <c:numRef>
              <c:f>main_table!$H$24:$H$38</c:f>
              <c:numCache>
                <c:formatCode>#,000</c:formatCode>
                <c:ptCount val="15"/>
                <c:pt idx="0">
                  <c:v>265.36817251562491</c:v>
                </c:pt>
                <c:pt idx="1">
                  <c:v>279.33491843749994</c:v>
                </c:pt>
                <c:pt idx="2">
                  <c:v>294.03675624999994</c:v>
                </c:pt>
                <c:pt idx="3">
                  <c:v>309.51237499999996</c:v>
                </c:pt>
                <c:pt idx="4">
                  <c:v>325.80249999999995</c:v>
                </c:pt>
                <c:pt idx="5">
                  <c:v>342.95</c:v>
                </c:pt>
                <c:pt idx="6">
                  <c:v>361</c:v>
                </c:pt>
                <c:pt idx="7">
                  <c:v>380</c:v>
                </c:pt>
                <c:pt idx="8">
                  <c:v>400</c:v>
                </c:pt>
                <c:pt idx="9">
                  <c:v>410</c:v>
                </c:pt>
                <c:pt idx="10">
                  <c:v>415</c:v>
                </c:pt>
                <c:pt idx="11">
                  <c:v>420</c:v>
                </c:pt>
                <c:pt idx="12">
                  <c:v>425</c:v>
                </c:pt>
                <c:pt idx="13">
                  <c:v>430</c:v>
                </c:pt>
                <c:pt idx="14">
                  <c:v>435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0A-4307-A9A8-9611C04DF406}"/>
            </c:ext>
          </c:extLst>
        </c:ser>
        <c:ser>
          <c:idx val="1"/>
          <c:order val="1"/>
          <c:tx>
            <c:strRef>
              <c:f>main_table!$I$23</c:f>
              <c:strCache>
                <c:ptCount val="1"/>
                <c:pt idx="0">
                  <c:v>Swiggy's Commission (Rs)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main_table!$B$24:$B$38</c:f>
              <c:strCache>
                <c:ptCount val="15"/>
                <c:pt idx="0">
                  <c:v>Y2014</c:v>
                </c:pt>
                <c:pt idx="1">
                  <c:v>Y2015</c:v>
                </c:pt>
                <c:pt idx="2">
                  <c:v>Y2016</c:v>
                </c:pt>
                <c:pt idx="3">
                  <c:v>Y2017</c:v>
                </c:pt>
                <c:pt idx="4">
                  <c:v>Y2018</c:v>
                </c:pt>
                <c:pt idx="5">
                  <c:v>Y2019</c:v>
                </c:pt>
                <c:pt idx="6">
                  <c:v>Y2020</c:v>
                </c:pt>
                <c:pt idx="7">
                  <c:v>Y2021</c:v>
                </c:pt>
                <c:pt idx="8">
                  <c:v>Y2022</c:v>
                </c:pt>
                <c:pt idx="9">
                  <c:v>Y2023</c:v>
                </c:pt>
                <c:pt idx="10">
                  <c:v>Y2024</c:v>
                </c:pt>
                <c:pt idx="11">
                  <c:v>Y2025</c:v>
                </c:pt>
                <c:pt idx="12">
                  <c:v>Y2026</c:v>
                </c:pt>
                <c:pt idx="13">
                  <c:v>Y2027</c:v>
                </c:pt>
                <c:pt idx="14">
                  <c:v>Y2028</c:v>
                </c:pt>
              </c:strCache>
            </c:strRef>
          </c:cat>
          <c:val>
            <c:numRef>
              <c:f>main_table!$I$24:$I$38</c:f>
              <c:numCache>
                <c:formatCode>#,##0</c:formatCode>
                <c:ptCount val="15"/>
                <c:pt idx="0">
                  <c:v>53.073634503124985</c:v>
                </c:pt>
                <c:pt idx="1">
                  <c:v>55.866983687499989</c:v>
                </c:pt>
                <c:pt idx="2">
                  <c:v>58.807351249999989</c:v>
                </c:pt>
                <c:pt idx="3">
                  <c:v>61.902474999999995</c:v>
                </c:pt>
                <c:pt idx="4">
                  <c:v>68.418524999999988</c:v>
                </c:pt>
                <c:pt idx="5">
                  <c:v>78.878500000000003</c:v>
                </c:pt>
                <c:pt idx="6">
                  <c:v>75.81</c:v>
                </c:pt>
                <c:pt idx="7">
                  <c:v>83.6</c:v>
                </c:pt>
                <c:pt idx="8">
                  <c:v>88</c:v>
                </c:pt>
                <c:pt idx="9">
                  <c:v>90.2</c:v>
                </c:pt>
                <c:pt idx="10">
                  <c:v>91.3</c:v>
                </c:pt>
                <c:pt idx="11">
                  <c:v>96.600000000000009</c:v>
                </c:pt>
                <c:pt idx="12">
                  <c:v>97.75</c:v>
                </c:pt>
                <c:pt idx="13">
                  <c:v>98.9</c:v>
                </c:pt>
                <c:pt idx="14">
                  <c:v>104.39999999999999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0A-4307-A9A8-9611C04DF40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92540240"/>
        <c:axId val="1459980080"/>
      </c:lineChart>
      <c:catAx>
        <c:axId val="892540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9980080"/>
        <c:crosses val="autoZero"/>
        <c:auto val="1"/>
        <c:lblAlgn val="ctr"/>
        <c:lblOffset val="100"/>
        <c:noMultiLvlLbl val="0"/>
      </c:catAx>
      <c:valAx>
        <c:axId val="145998008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000" sourceLinked="1"/>
        <c:majorTickMark val="none"/>
        <c:minorTickMark val="none"/>
        <c:tickLblPos val="nextTo"/>
        <c:crossAx val="892540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Delivery Charges to Customer (per order)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main_table!$K$23</c:f>
              <c:strCache>
                <c:ptCount val="1"/>
                <c:pt idx="0">
                  <c:v>Delivery Charges to customer Hybrid (per order) 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main_table!$B$24:$B$38</c:f>
              <c:strCache>
                <c:ptCount val="15"/>
                <c:pt idx="0">
                  <c:v>Y2014</c:v>
                </c:pt>
                <c:pt idx="1">
                  <c:v>Y2015</c:v>
                </c:pt>
                <c:pt idx="2">
                  <c:v>Y2016</c:v>
                </c:pt>
                <c:pt idx="3">
                  <c:v>Y2017</c:v>
                </c:pt>
                <c:pt idx="4">
                  <c:v>Y2018</c:v>
                </c:pt>
                <c:pt idx="5">
                  <c:v>Y2019</c:v>
                </c:pt>
                <c:pt idx="6">
                  <c:v>Y2020</c:v>
                </c:pt>
                <c:pt idx="7">
                  <c:v>Y2021</c:v>
                </c:pt>
                <c:pt idx="8">
                  <c:v>Y2022</c:v>
                </c:pt>
                <c:pt idx="9">
                  <c:v>Y2023</c:v>
                </c:pt>
                <c:pt idx="10">
                  <c:v>Y2024</c:v>
                </c:pt>
                <c:pt idx="11">
                  <c:v>Y2025</c:v>
                </c:pt>
                <c:pt idx="12">
                  <c:v>Y2026</c:v>
                </c:pt>
                <c:pt idx="13">
                  <c:v>Y2027</c:v>
                </c:pt>
                <c:pt idx="14">
                  <c:v>Y2028</c:v>
                </c:pt>
              </c:strCache>
            </c:strRef>
          </c:cat>
          <c:val>
            <c:numRef>
              <c:f>main_table!$K$24:$K$38</c:f>
              <c:numCache>
                <c:formatCode>0</c:formatCode>
                <c:ptCount val="15"/>
                <c:pt idx="0">
                  <c:v>22.012129283273804</c:v>
                </c:pt>
                <c:pt idx="1">
                  <c:v>23.643533064740929</c:v>
                </c:pt>
                <c:pt idx="2">
                  <c:v>25.395846471257709</c:v>
                </c:pt>
                <c:pt idx="3">
                  <c:v>27.278030581372402</c:v>
                </c:pt>
                <c:pt idx="4">
                  <c:v>29.299710613719011</c:v>
                </c:pt>
                <c:pt idx="5">
                  <c:v>31.471225149000009</c:v>
                </c:pt>
                <c:pt idx="6">
                  <c:v>33.80367900000001</c:v>
                </c:pt>
                <c:pt idx="7">
                  <c:v>36.309000000000005</c:v>
                </c:pt>
                <c:pt idx="8">
                  <c:v>39</c:v>
                </c:pt>
                <c:pt idx="9">
                  <c:v>41.690999999999995</c:v>
                </c:pt>
                <c:pt idx="10">
                  <c:v>44.567678999999991</c:v>
                </c:pt>
                <c:pt idx="11">
                  <c:v>47.642848850999989</c:v>
                </c:pt>
                <c:pt idx="12">
                  <c:v>50.930205421718988</c:v>
                </c:pt>
                <c:pt idx="13">
                  <c:v>54.444389595817597</c:v>
                </c:pt>
                <c:pt idx="14">
                  <c:v>58.201052477929011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95-482E-83D0-70F7B8DD9DB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462895248"/>
        <c:axId val="1460000240"/>
      </c:lineChart>
      <c:catAx>
        <c:axId val="1462895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0000240"/>
        <c:crosses val="autoZero"/>
        <c:auto val="1"/>
        <c:lblAlgn val="ctr"/>
        <c:lblOffset val="100"/>
        <c:noMultiLvlLbl val="0"/>
      </c:catAx>
      <c:valAx>
        <c:axId val="146000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895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Time Comparison (mins)</a:t>
            </a:r>
            <a:r>
              <a:rPr lang="en-IN" baseline="0"/>
              <a:t> Between Delivery Models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time_analysis!$D$36</c:f>
              <c:strCache>
                <c:ptCount val="1"/>
                <c:pt idx="0">
                  <c:v>Current model delivery time</c:v>
                </c:pt>
              </c:strCache>
            </c:strRef>
          </c:tx>
          <c:spPr>
            <a:solidFill>
              <a:srgbClr val="FF000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time_analysis!$C$37:$C$43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</c:numCache>
            </c:numRef>
          </c:cat>
          <c:val>
            <c:numRef>
              <c:f>time_analysis!$D$37:$D$43</c:f>
              <c:numCache>
                <c:formatCode>General</c:formatCode>
                <c:ptCount val="7"/>
                <c:pt idx="0">
                  <c:v>30</c:v>
                </c:pt>
                <c:pt idx="1">
                  <c:v>34</c:v>
                </c:pt>
                <c:pt idx="2">
                  <c:v>38</c:v>
                </c:pt>
                <c:pt idx="3">
                  <c:v>42</c:v>
                </c:pt>
                <c:pt idx="4">
                  <c:v>46</c:v>
                </c:pt>
                <c:pt idx="5">
                  <c:v>50</c:v>
                </c:pt>
                <c:pt idx="6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79-43D4-8BB1-03BAEC842B9F}"/>
            </c:ext>
          </c:extLst>
        </c:ser>
        <c:ser>
          <c:idx val="1"/>
          <c:order val="1"/>
          <c:tx>
            <c:strRef>
              <c:f>time_analysis!$E$36</c:f>
              <c:strCache>
                <c:ptCount val="1"/>
                <c:pt idx="0">
                  <c:v>Drone hybrid model delivery time</c:v>
                </c:pt>
              </c:strCache>
            </c:strRef>
          </c:tx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time_analysis!$C$37:$C$43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</c:numCache>
            </c:numRef>
          </c:cat>
          <c:val>
            <c:numRef>
              <c:f>time_analysis!$E$37:$E$43</c:f>
              <c:numCache>
                <c:formatCode>General</c:formatCode>
                <c:ptCount val="7"/>
                <c:pt idx="0">
                  <c:v>30</c:v>
                </c:pt>
                <c:pt idx="1">
                  <c:v>34</c:v>
                </c:pt>
                <c:pt idx="2">
                  <c:v>30</c:v>
                </c:pt>
                <c:pt idx="3">
                  <c:v>33</c:v>
                </c:pt>
                <c:pt idx="4">
                  <c:v>33</c:v>
                </c:pt>
                <c:pt idx="5">
                  <c:v>37</c:v>
                </c:pt>
                <c:pt idx="6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79-43D4-8BB1-03BAEC842B9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478182400"/>
        <c:axId val="1430795520"/>
      </c:barChart>
      <c:catAx>
        <c:axId val="1478182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/>
                  <a:t>Distance from Restaurant</a:t>
                </a:r>
                <a:r>
                  <a:rPr lang="en-IN" sz="1200" baseline="0"/>
                  <a:t> </a:t>
                </a:r>
                <a:endParaRPr lang="en-IN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795520"/>
        <c:crosses val="autoZero"/>
        <c:auto val="1"/>
        <c:lblAlgn val="ctr"/>
        <c:lblOffset val="100"/>
        <c:noMultiLvlLbl val="0"/>
      </c:catAx>
      <c:valAx>
        <c:axId val="143079552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478182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cap="none" spc="0" normalizeH="0" baseline="0">
                <a:solidFill>
                  <a:sysClr val="windowText" lastClr="000000">
                    <a:lumMod val="50000"/>
                    <a:lumOff val="50000"/>
                  </a:sysClr>
                </a:solidFill>
                <a:latin typeface="+mj-lt"/>
                <a:ea typeface="+mj-ea"/>
                <a:cs typeface="+mj-cs"/>
              </a:defRPr>
            </a:pPr>
            <a:r>
              <a:rPr lang="en-US" sz="1800" b="1" i="0" cap="all" baseline="0">
                <a:solidFill>
                  <a:srgbClr val="7030A0"/>
                </a:solidFill>
                <a:effectLst/>
              </a:rPr>
              <a:t>Profit % Over THE YEARS </a:t>
            </a:r>
            <a:endParaRPr lang="en-IN" b="1">
              <a:solidFill>
                <a:srgbClr val="7030A0"/>
              </a:solidFill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50000"/>
                    <a:lumOff val="50000"/>
                  </a:sysClr>
                </a:solidFill>
              </a:defRPr>
            </a:pP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cap="none" spc="0" normalizeH="0" baseline="0">
              <a:solidFill>
                <a:sysClr val="windowText" lastClr="000000">
                  <a:lumMod val="50000"/>
                  <a:lumOff val="50000"/>
                </a:sys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main_table!$U$23:$U$32</c:f>
              <c:strCache>
                <c:ptCount val="10"/>
                <c:pt idx="0">
                  <c:v>Profit</c:v>
                </c:pt>
                <c:pt idx="1">
                  <c:v>-</c:v>
                </c:pt>
                <c:pt idx="2">
                  <c:v>-</c:v>
                </c:pt>
                <c:pt idx="3">
                  <c:v>-</c:v>
                </c:pt>
                <c:pt idx="4">
                  <c:v>-</c:v>
                </c:pt>
                <c:pt idx="5">
                  <c:v>-</c:v>
                </c:pt>
                <c:pt idx="6">
                  <c:v>-</c:v>
                </c:pt>
                <c:pt idx="7">
                  <c:v>-</c:v>
                </c:pt>
                <c:pt idx="8">
                  <c:v>-</c:v>
                </c:pt>
                <c:pt idx="9">
                  <c:v>-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C10-437B-9D4B-D544EAC9212F}"/>
              </c:ext>
            </c:extLst>
          </c:dPt>
          <c:dPt>
            <c:idx val="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C10-437B-9D4B-D544EAC9212F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FC10-437B-9D4B-D544EAC9212F}"/>
              </c:ext>
            </c:extLst>
          </c:dPt>
          <c:dPt>
            <c:idx val="3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FC10-437B-9D4B-D544EAC9212F}"/>
              </c:ext>
            </c:extLst>
          </c:dPt>
          <c:dPt>
            <c:idx val="4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FC10-437B-9D4B-D544EAC9212F}"/>
              </c:ext>
            </c:extLst>
          </c:dPt>
          <c:dPt>
            <c:idx val="5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FC10-437B-9D4B-D544EAC9212F}"/>
              </c:ext>
            </c:extLst>
          </c:dPt>
          <c:dLbls>
            <c:dLbl>
              <c:idx val="1"/>
              <c:layout>
                <c:manualLayout>
                  <c:x val="0"/>
                  <c:y val="-2.92565046770093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C10-437B-9D4B-D544EAC9212F}"/>
                </c:ext>
              </c:extLst>
            </c:dLbl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main_table!$B$33:$B$38</c:f>
              <c:strCache>
                <c:ptCount val="6"/>
                <c:pt idx="0">
                  <c:v>Y2023</c:v>
                </c:pt>
                <c:pt idx="1">
                  <c:v>Y2024</c:v>
                </c:pt>
                <c:pt idx="2">
                  <c:v>Y2025</c:v>
                </c:pt>
                <c:pt idx="3">
                  <c:v>Y2026</c:v>
                </c:pt>
                <c:pt idx="4">
                  <c:v>Y2027</c:v>
                </c:pt>
                <c:pt idx="5">
                  <c:v>Y2028</c:v>
                </c:pt>
              </c:strCache>
            </c:strRef>
          </c:cat>
          <c:val>
            <c:numRef>
              <c:f>main_table!$U$33:$U$38</c:f>
              <c:numCache>
                <c:formatCode>#\.0,,"0 Crs"</c:formatCode>
                <c:ptCount val="6"/>
                <c:pt idx="0">
                  <c:v>-178269641.21215624</c:v>
                </c:pt>
                <c:pt idx="1">
                  <c:v>179143844.47413075</c:v>
                </c:pt>
                <c:pt idx="2">
                  <c:v>382224033.18312085</c:v>
                </c:pt>
                <c:pt idx="3">
                  <c:v>526636373.57958961</c:v>
                </c:pt>
                <c:pt idx="4">
                  <c:v>739824508.86337864</c:v>
                </c:pt>
                <c:pt idx="5">
                  <c:v>1005095294.1266233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C10-437B-9D4B-D544EAC9212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627461152"/>
        <c:axId val="1477757648"/>
      </c:barChart>
      <c:lineChart>
        <c:grouping val="standard"/>
        <c:varyColors val="0"/>
        <c:ser>
          <c:idx val="1"/>
          <c:order val="1"/>
          <c:tx>
            <c:strRef>
              <c:f>main_table!$V$23:$V$32</c:f>
              <c:strCache>
                <c:ptCount val="10"/>
                <c:pt idx="0">
                  <c:v>Profit %</c:v>
                </c:pt>
                <c:pt idx="1">
                  <c:v>-</c:v>
                </c:pt>
                <c:pt idx="2">
                  <c:v>-</c:v>
                </c:pt>
                <c:pt idx="3">
                  <c:v>-</c:v>
                </c:pt>
                <c:pt idx="4">
                  <c:v>-</c:v>
                </c:pt>
                <c:pt idx="5">
                  <c:v>-</c:v>
                </c:pt>
                <c:pt idx="6">
                  <c:v>-</c:v>
                </c:pt>
                <c:pt idx="7">
                  <c:v>-</c:v>
                </c:pt>
                <c:pt idx="8">
                  <c:v>-</c:v>
                </c:pt>
                <c:pt idx="9">
                  <c:v>-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main_table!$B$33:$B$38</c:f>
              <c:strCache>
                <c:ptCount val="6"/>
                <c:pt idx="0">
                  <c:v>Y2023</c:v>
                </c:pt>
                <c:pt idx="1">
                  <c:v>Y2024</c:v>
                </c:pt>
                <c:pt idx="2">
                  <c:v>Y2025</c:v>
                </c:pt>
                <c:pt idx="3">
                  <c:v>Y2026</c:v>
                </c:pt>
                <c:pt idx="4">
                  <c:v>Y2027</c:v>
                </c:pt>
                <c:pt idx="5">
                  <c:v>Y2028</c:v>
                </c:pt>
              </c:strCache>
            </c:strRef>
          </c:cat>
          <c:val>
            <c:numRef>
              <c:f>main_table!$V$33:$V$38</c:f>
              <c:numCache>
                <c:formatCode>0%</c:formatCode>
                <c:ptCount val="6"/>
                <c:pt idx="0">
                  <c:v>-0.25756920322876381</c:v>
                </c:pt>
                <c:pt idx="1">
                  <c:v>0.29971242015669014</c:v>
                </c:pt>
                <c:pt idx="2">
                  <c:v>0.58180582028256156</c:v>
                </c:pt>
                <c:pt idx="3">
                  <c:v>0.63988454211773393</c:v>
                </c:pt>
                <c:pt idx="4">
                  <c:v>0.81954314431889952</c:v>
                </c:pt>
                <c:pt idx="5">
                  <c:v>1.0828460666824482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FC10-437B-9D4B-D544EAC9212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627449552"/>
        <c:axId val="1477767248"/>
      </c:lineChart>
      <c:catAx>
        <c:axId val="1627461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7757648"/>
        <c:crosses val="autoZero"/>
        <c:auto val="1"/>
        <c:lblAlgn val="ctr"/>
        <c:lblOffset val="100"/>
        <c:noMultiLvlLbl val="0"/>
      </c:catAx>
      <c:valAx>
        <c:axId val="1477757648"/>
        <c:scaling>
          <c:orientation val="minMax"/>
        </c:scaling>
        <c:delete val="1"/>
        <c:axPos val="l"/>
        <c:numFmt formatCode="#\.0,,&quot;0 Crs&quot;" sourceLinked="1"/>
        <c:majorTickMark val="none"/>
        <c:minorTickMark val="none"/>
        <c:tickLblPos val="nextTo"/>
        <c:crossAx val="1627461152"/>
        <c:crosses val="autoZero"/>
        <c:crossBetween val="between"/>
      </c:valAx>
      <c:valAx>
        <c:axId val="1477767248"/>
        <c:scaling>
          <c:orientation val="minMax"/>
        </c:scaling>
        <c:delete val="1"/>
        <c:axPos val="r"/>
        <c:numFmt formatCode="0%" sourceLinked="1"/>
        <c:majorTickMark val="none"/>
        <c:minorTickMark val="none"/>
        <c:tickLblPos val="nextTo"/>
        <c:crossAx val="1627449552"/>
        <c:crosses val="max"/>
        <c:crossBetween val="between"/>
      </c:valAx>
      <c:catAx>
        <c:axId val="16274495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77767248"/>
        <c:crosses val="autoZero"/>
        <c:auto val="1"/>
        <c:lblAlgn val="ctr"/>
        <c:lblOffset val="100"/>
        <c:noMultiLvlLbl val="0"/>
      </c:cat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Time Comparison (mins)</a:t>
            </a:r>
            <a:r>
              <a:rPr lang="en-IN" baseline="0"/>
              <a:t> Between Delivery Models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time_analysis!$D$36</c:f>
              <c:strCache>
                <c:ptCount val="1"/>
                <c:pt idx="0">
                  <c:v>Current model delivery time</c:v>
                </c:pt>
              </c:strCache>
            </c:strRef>
          </c:tx>
          <c:spPr>
            <a:solidFill>
              <a:srgbClr val="FF000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time_analysis!$C$37:$C$43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</c:numCache>
            </c:numRef>
          </c:cat>
          <c:val>
            <c:numRef>
              <c:f>time_analysis!$D$37:$D$43</c:f>
              <c:numCache>
                <c:formatCode>General</c:formatCode>
                <c:ptCount val="7"/>
                <c:pt idx="0">
                  <c:v>30</c:v>
                </c:pt>
                <c:pt idx="1">
                  <c:v>34</c:v>
                </c:pt>
                <c:pt idx="2">
                  <c:v>38</c:v>
                </c:pt>
                <c:pt idx="3">
                  <c:v>42</c:v>
                </c:pt>
                <c:pt idx="4">
                  <c:v>46</c:v>
                </c:pt>
                <c:pt idx="5">
                  <c:v>50</c:v>
                </c:pt>
                <c:pt idx="6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4F-4E0D-9417-005B4E56C650}"/>
            </c:ext>
          </c:extLst>
        </c:ser>
        <c:ser>
          <c:idx val="1"/>
          <c:order val="1"/>
          <c:tx>
            <c:strRef>
              <c:f>time_analysis!$E$36</c:f>
              <c:strCache>
                <c:ptCount val="1"/>
                <c:pt idx="0">
                  <c:v>Drone hybrid model delivery time</c:v>
                </c:pt>
              </c:strCache>
            </c:strRef>
          </c:tx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time_analysis!$C$37:$C$43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</c:numCache>
            </c:numRef>
          </c:cat>
          <c:val>
            <c:numRef>
              <c:f>time_analysis!$E$37:$E$43</c:f>
              <c:numCache>
                <c:formatCode>General</c:formatCode>
                <c:ptCount val="7"/>
                <c:pt idx="0">
                  <c:v>30</c:v>
                </c:pt>
                <c:pt idx="1">
                  <c:v>34</c:v>
                </c:pt>
                <c:pt idx="2">
                  <c:v>30</c:v>
                </c:pt>
                <c:pt idx="3">
                  <c:v>33</c:v>
                </c:pt>
                <c:pt idx="4">
                  <c:v>33</c:v>
                </c:pt>
                <c:pt idx="5">
                  <c:v>37</c:v>
                </c:pt>
                <c:pt idx="6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4F-4E0D-9417-005B4E56C65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478182400"/>
        <c:axId val="1430795520"/>
      </c:barChart>
      <c:catAx>
        <c:axId val="1478182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/>
                  <a:t>Distance from Restaurant</a:t>
                </a:r>
                <a:r>
                  <a:rPr lang="en-IN" sz="1200" baseline="0"/>
                  <a:t> </a:t>
                </a:r>
                <a:endParaRPr lang="en-IN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795520"/>
        <c:crosses val="autoZero"/>
        <c:auto val="1"/>
        <c:lblAlgn val="ctr"/>
        <c:lblOffset val="100"/>
        <c:noMultiLvlLbl val="0"/>
      </c:catAx>
      <c:valAx>
        <c:axId val="143079552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478182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_xlchart.v2.0</cx:f>
      </cx:strDim>
      <cx:numDim type="val">
        <cx:f>_xlchart.v2.2</cx:f>
      </cx:numDim>
    </cx:data>
  </cx:chartData>
  <cx:chart>
    <cx:title pos="t" align="ctr" overlay="0">
      <cx:tx>
        <cx:txData>
          <cx:v>No of Drones per CCP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800" b="1" i="0" u="none" strike="noStrike" baseline="0">
              <a:solidFill>
                <a:schemeClr val="accent2">
                  <a:lumMod val="75000"/>
                </a:schemeClr>
              </a:solidFill>
              <a:latin typeface="Calibri" panose="020F0502020204030204"/>
            </a:rPr>
            <a:t>No of Drones per CCP</a:t>
          </a:r>
        </a:p>
      </cx:txPr>
    </cx:title>
    <cx:plotArea>
      <cx:plotAreaRegion>
        <cx:series layoutId="funnel" uniqueId="{1932AACA-D4DE-47F9-843C-5A67F5CC64CB}">
          <cx:tx>
            <cx:txData>
              <cx:f>_xlchart.v2.1</cx:f>
              <cx:v>Numbers of drones in peak hour per CPP</cx:v>
            </cx:txData>
          </cx:tx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200" b="1"/>
                </a:pPr>
                <a:endParaRPr lang="en-US" sz="1200" b="1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endParaRPr>
              </a:p>
            </cx:txPr>
            <cx:visibility seriesName="0" categoryName="0" value="1"/>
          </cx:dataLabels>
          <cx:dataId val="0"/>
        </cx:series>
      </cx:plotAreaRegion>
      <cx:axis id="0">
        <cx:catScaling gapWidth="0.0599999987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200" b="1"/>
            </a:pPr>
            <a:endParaRPr lang="en-US" sz="12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microsoft.com/office/2014/relationships/chartEx" Target="../charts/chartEx1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373380</xdr:colOff>
      <xdr:row>4</xdr:row>
      <xdr:rowOff>83820</xdr:rowOff>
    </xdr:from>
    <xdr:to>
      <xdr:col>11</xdr:col>
      <xdr:colOff>542345</xdr:colOff>
      <xdr:row>36</xdr:row>
      <xdr:rowOff>112311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1FC3F7-E46E-48C7-B280-EAEE0EC4A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373380</xdr:colOff>
      <xdr:row>38</xdr:row>
      <xdr:rowOff>167640</xdr:rowOff>
    </xdr:from>
    <xdr:to>
      <xdr:col>12</xdr:col>
      <xdr:colOff>139811</xdr:colOff>
      <xdr:row>62</xdr:row>
      <xdr:rowOff>127718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EBAA8925-E8D4-42AB-BBB4-68962481BD3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73380" y="7117080"/>
              <a:ext cx="7081631" cy="434919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13</xdr:col>
      <xdr:colOff>548640</xdr:colOff>
      <xdr:row>38</xdr:row>
      <xdr:rowOff>91440</xdr:rowOff>
    </xdr:from>
    <xdr:to>
      <xdr:col>24</xdr:col>
      <xdr:colOff>593366</xdr:colOff>
      <xdr:row>62</xdr:row>
      <xdr:rowOff>43235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6D81414-658C-445E-90CC-9E6B353BDA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65</xdr:row>
      <xdr:rowOff>0</xdr:rowOff>
    </xdr:from>
    <xdr:to>
      <xdr:col>10</xdr:col>
      <xdr:colOff>402535</xdr:colOff>
      <xdr:row>85</xdr:row>
      <xdr:rowOff>28990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9A732B2-FC01-4584-A229-788BBF4595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0</xdr:colOff>
      <xdr:row>65</xdr:row>
      <xdr:rowOff>0</xdr:rowOff>
    </xdr:from>
    <xdr:to>
      <xdr:col>24</xdr:col>
      <xdr:colOff>198120</xdr:colOff>
      <xdr:row>81</xdr:row>
      <xdr:rowOff>99060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D431A74-DF5E-4697-BAA1-D985F71957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251460</xdr:colOff>
      <xdr:row>6</xdr:row>
      <xdr:rowOff>160020</xdr:rowOff>
    </xdr:from>
    <xdr:to>
      <xdr:col>24</xdr:col>
      <xdr:colOff>503251</xdr:colOff>
      <xdr:row>32</xdr:row>
      <xdr:rowOff>110490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372F529-D272-440F-9A1D-8822C4881C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502920</xdr:colOff>
      <xdr:row>33</xdr:row>
      <xdr:rowOff>0</xdr:rowOff>
    </xdr:from>
    <xdr:to>
      <xdr:col>17</xdr:col>
      <xdr:colOff>91440</xdr:colOff>
      <xdr:row>47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A55501-009E-BCC1-8846-43EDE0C993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D1E27-376F-4D06-8A87-DFC513DE6312}">
  <dimension ref="C2:S57"/>
  <sheetViews>
    <sheetView topLeftCell="A29" zoomScale="98" zoomScaleNormal="98" workbookViewId="0">
      <selection activeCell="E23" sqref="E23"/>
    </sheetView>
  </sheetViews>
  <sheetFormatPr defaultRowHeight="14.4" x14ac:dyDescent="0.3"/>
  <cols>
    <col min="2" max="2" width="0.88671875" customWidth="1"/>
    <col min="3" max="4" width="12.5546875" bestFit="1" customWidth="1"/>
    <col min="5" max="5" width="12.5546875" customWidth="1"/>
    <col min="6" max="6" width="10.33203125" bestFit="1" customWidth="1"/>
    <col min="7" max="7" width="15.44140625" bestFit="1" customWidth="1"/>
    <col min="8" max="8" width="10.5546875" bestFit="1" customWidth="1"/>
    <col min="9" max="9" width="10.33203125" bestFit="1" customWidth="1"/>
    <col min="10" max="11" width="8.88671875" bestFit="1" customWidth="1"/>
    <col min="12" max="13" width="3.44140625" bestFit="1" customWidth="1"/>
    <col min="14" max="14" width="4" bestFit="1" customWidth="1"/>
    <col min="16" max="16" width="12.109375" bestFit="1" customWidth="1"/>
    <col min="17" max="17" width="32.109375" customWidth="1"/>
    <col min="18" max="18" width="13.109375" customWidth="1"/>
    <col min="19" max="19" width="17.109375" customWidth="1"/>
  </cols>
  <sheetData>
    <row r="2" spans="3:16" ht="15" thickBot="1" x14ac:dyDescent="0.35"/>
    <row r="3" spans="3:16" ht="15" customHeight="1" thickBot="1" x14ac:dyDescent="0.35">
      <c r="C3" t="s">
        <v>39</v>
      </c>
      <c r="D3" s="8"/>
      <c r="E3" s="8"/>
      <c r="F3" s="9">
        <v>0.24</v>
      </c>
      <c r="G3" s="9">
        <v>0.4</v>
      </c>
      <c r="H3" s="9">
        <v>0.35</v>
      </c>
      <c r="I3" s="9">
        <v>0.2</v>
      </c>
      <c r="J3" s="9">
        <v>0.05</v>
      </c>
      <c r="K3" s="9">
        <v>0</v>
      </c>
      <c r="L3" s="9">
        <v>0</v>
      </c>
      <c r="M3" s="9">
        <v>0</v>
      </c>
    </row>
    <row r="4" spans="3:16" ht="15" customHeight="1" thickBot="1" x14ac:dyDescent="0.35">
      <c r="D4" s="3" t="s">
        <v>23</v>
      </c>
      <c r="E4" s="3" t="s">
        <v>8</v>
      </c>
      <c r="F4" s="3" t="s">
        <v>9</v>
      </c>
      <c r="G4" s="3" t="s">
        <v>10</v>
      </c>
      <c r="H4" s="5">
        <v>4</v>
      </c>
      <c r="I4" s="5">
        <v>5</v>
      </c>
      <c r="J4" s="5">
        <v>6</v>
      </c>
      <c r="K4" s="5">
        <v>7</v>
      </c>
      <c r="L4" s="5">
        <v>8</v>
      </c>
      <c r="M4" s="5">
        <v>9</v>
      </c>
    </row>
    <row r="5" spans="3:16" ht="15" customHeight="1" thickBot="1" x14ac:dyDescent="0.35">
      <c r="C5">
        <v>2014</v>
      </c>
      <c r="D5" s="4">
        <v>100000</v>
      </c>
      <c r="E5" s="3"/>
      <c r="F5" s="88">
        <v>100000</v>
      </c>
      <c r="G5" s="88">
        <f t="shared" ref="G5:G19" si="0">F5*$G$3</f>
        <v>40000</v>
      </c>
      <c r="H5" s="88">
        <f t="shared" ref="H5:H19" si="1">F5*$H$3</f>
        <v>35000</v>
      </c>
      <c r="I5" s="88">
        <f t="shared" ref="I5:I19" si="2">F5*$I$3</f>
        <v>20000</v>
      </c>
      <c r="J5" s="88">
        <f t="shared" ref="J5:J19" si="3">F5*$J$3</f>
        <v>5000</v>
      </c>
      <c r="K5" s="5" t="s">
        <v>12</v>
      </c>
      <c r="L5" s="5" t="s">
        <v>12</v>
      </c>
      <c r="M5" s="5" t="s">
        <v>12</v>
      </c>
    </row>
    <row r="6" spans="3:16" ht="15" customHeight="1" thickBot="1" x14ac:dyDescent="0.35">
      <c r="C6">
        <v>2015</v>
      </c>
      <c r="D6" s="4">
        <v>1000000</v>
      </c>
      <c r="E6" s="6">
        <f t="shared" ref="E6:E19" si="4">(D6-D5)/D5</f>
        <v>9</v>
      </c>
      <c r="F6" s="88">
        <f t="shared" ref="F6:F19" si="5">D6*$F$3</f>
        <v>240000</v>
      </c>
      <c r="G6" s="88">
        <f t="shared" si="0"/>
        <v>96000</v>
      </c>
      <c r="H6" s="88">
        <f t="shared" si="1"/>
        <v>84000</v>
      </c>
      <c r="I6" s="88">
        <f t="shared" si="2"/>
        <v>48000</v>
      </c>
      <c r="J6" s="88">
        <f t="shared" si="3"/>
        <v>12000</v>
      </c>
      <c r="K6" s="5" t="s">
        <v>12</v>
      </c>
      <c r="L6" s="5" t="s">
        <v>12</v>
      </c>
      <c r="M6" s="5" t="s">
        <v>12</v>
      </c>
    </row>
    <row r="7" spans="3:16" ht="15" customHeight="1" thickBot="1" x14ac:dyDescent="0.35">
      <c r="C7">
        <v>2016</v>
      </c>
      <c r="D7" s="4">
        <v>2000000</v>
      </c>
      <c r="E7" s="6">
        <f t="shared" si="4"/>
        <v>1</v>
      </c>
      <c r="F7" s="88">
        <f t="shared" si="5"/>
        <v>480000</v>
      </c>
      <c r="G7" s="88">
        <f t="shared" si="0"/>
        <v>192000</v>
      </c>
      <c r="H7" s="88">
        <f t="shared" si="1"/>
        <v>168000</v>
      </c>
      <c r="I7" s="88">
        <f t="shared" si="2"/>
        <v>96000</v>
      </c>
      <c r="J7" s="88">
        <f t="shared" si="3"/>
        <v>24000</v>
      </c>
      <c r="K7" s="5" t="s">
        <v>12</v>
      </c>
      <c r="L7" s="5" t="s">
        <v>12</v>
      </c>
      <c r="M7" s="5" t="s">
        <v>12</v>
      </c>
    </row>
    <row r="8" spans="3:16" ht="15" customHeight="1" thickBot="1" x14ac:dyDescent="0.35">
      <c r="C8">
        <v>2017</v>
      </c>
      <c r="D8" s="4">
        <v>3000000</v>
      </c>
      <c r="E8" s="6">
        <f t="shared" si="4"/>
        <v>0.5</v>
      </c>
      <c r="F8" s="88">
        <f t="shared" si="5"/>
        <v>720000</v>
      </c>
      <c r="G8" s="88">
        <f t="shared" si="0"/>
        <v>288000</v>
      </c>
      <c r="H8" s="88">
        <f t="shared" si="1"/>
        <v>251999.99999999997</v>
      </c>
      <c r="I8" s="88">
        <f t="shared" si="2"/>
        <v>144000</v>
      </c>
      <c r="J8" s="88">
        <f t="shared" si="3"/>
        <v>36000</v>
      </c>
      <c r="K8" s="5" t="s">
        <v>12</v>
      </c>
      <c r="L8" s="5" t="s">
        <v>12</v>
      </c>
      <c r="M8" s="5" t="s">
        <v>12</v>
      </c>
    </row>
    <row r="9" spans="3:16" ht="15" customHeight="1" thickBot="1" x14ac:dyDescent="0.35">
      <c r="C9">
        <v>2018</v>
      </c>
      <c r="D9" s="4">
        <v>10000000</v>
      </c>
      <c r="E9" s="6">
        <f t="shared" si="4"/>
        <v>2.3333333333333335</v>
      </c>
      <c r="F9" s="88">
        <f t="shared" si="5"/>
        <v>2400000</v>
      </c>
      <c r="G9" s="88">
        <f t="shared" si="0"/>
        <v>960000</v>
      </c>
      <c r="H9" s="88">
        <f t="shared" si="1"/>
        <v>840000</v>
      </c>
      <c r="I9" s="88">
        <f t="shared" si="2"/>
        <v>480000</v>
      </c>
      <c r="J9" s="88">
        <f t="shared" si="3"/>
        <v>120000</v>
      </c>
      <c r="K9" s="5" t="s">
        <v>12</v>
      </c>
      <c r="L9" s="5" t="s">
        <v>12</v>
      </c>
      <c r="M9" s="5" t="s">
        <v>12</v>
      </c>
    </row>
    <row r="10" spans="3:16" ht="15" customHeight="1" thickBot="1" x14ac:dyDescent="0.35">
      <c r="C10">
        <v>2019</v>
      </c>
      <c r="D10" s="4">
        <v>30000000</v>
      </c>
      <c r="E10" s="6">
        <f t="shared" si="4"/>
        <v>2</v>
      </c>
      <c r="F10" s="88">
        <f t="shared" si="5"/>
        <v>7200000</v>
      </c>
      <c r="G10" s="88">
        <f t="shared" si="0"/>
        <v>2880000</v>
      </c>
      <c r="H10" s="88">
        <f t="shared" si="1"/>
        <v>2520000</v>
      </c>
      <c r="I10" s="88">
        <f t="shared" si="2"/>
        <v>1440000</v>
      </c>
      <c r="J10" s="88">
        <f t="shared" si="3"/>
        <v>360000</v>
      </c>
      <c r="K10" s="5" t="s">
        <v>12</v>
      </c>
      <c r="L10" s="5" t="s">
        <v>12</v>
      </c>
      <c r="M10" s="5" t="s">
        <v>12</v>
      </c>
    </row>
    <row r="11" spans="3:16" ht="15" customHeight="1" thickBot="1" x14ac:dyDescent="0.35">
      <c r="C11">
        <v>2020</v>
      </c>
      <c r="D11" s="4">
        <v>35000000</v>
      </c>
      <c r="E11" s="6">
        <f t="shared" si="4"/>
        <v>0.16666666666666666</v>
      </c>
      <c r="F11" s="88">
        <f t="shared" si="5"/>
        <v>8400000</v>
      </c>
      <c r="G11" s="88">
        <f t="shared" si="0"/>
        <v>3360000</v>
      </c>
      <c r="H11" s="88">
        <f t="shared" si="1"/>
        <v>2940000</v>
      </c>
      <c r="I11" s="88">
        <f t="shared" si="2"/>
        <v>1680000</v>
      </c>
      <c r="J11" s="88">
        <f t="shared" si="3"/>
        <v>420000</v>
      </c>
      <c r="K11" s="5" t="s">
        <v>12</v>
      </c>
      <c r="L11" s="5" t="s">
        <v>12</v>
      </c>
      <c r="M11" s="5" t="s">
        <v>12</v>
      </c>
    </row>
    <row r="12" spans="3:16" ht="15" customHeight="1" thickBot="1" x14ac:dyDescent="0.35">
      <c r="C12">
        <v>2021</v>
      </c>
      <c r="D12" s="4">
        <v>29000000</v>
      </c>
      <c r="E12" s="12">
        <f t="shared" si="4"/>
        <v>-0.17142857142857143</v>
      </c>
      <c r="F12" s="88">
        <f t="shared" si="5"/>
        <v>6960000</v>
      </c>
      <c r="G12" s="88">
        <f t="shared" si="0"/>
        <v>2784000</v>
      </c>
      <c r="H12" s="88">
        <f t="shared" si="1"/>
        <v>2436000</v>
      </c>
      <c r="I12" s="88">
        <f t="shared" si="2"/>
        <v>1392000</v>
      </c>
      <c r="J12" s="88">
        <f t="shared" si="3"/>
        <v>348000</v>
      </c>
      <c r="K12" s="5" t="s">
        <v>12</v>
      </c>
      <c r="L12" s="5" t="s">
        <v>12</v>
      </c>
      <c r="M12" s="5" t="s">
        <v>12</v>
      </c>
    </row>
    <row r="13" spans="3:16" ht="15" customHeight="1" thickBot="1" x14ac:dyDescent="0.35">
      <c r="C13">
        <v>2022</v>
      </c>
      <c r="D13" s="4">
        <v>45000000</v>
      </c>
      <c r="E13" s="6">
        <f t="shared" si="4"/>
        <v>0.55172413793103448</v>
      </c>
      <c r="F13" s="86">
        <f t="shared" si="5"/>
        <v>10800000</v>
      </c>
      <c r="G13" s="86">
        <f t="shared" si="0"/>
        <v>4320000</v>
      </c>
      <c r="H13" s="86">
        <f t="shared" si="1"/>
        <v>3779999.9999999995</v>
      </c>
      <c r="I13" s="86">
        <f t="shared" si="2"/>
        <v>2160000</v>
      </c>
      <c r="J13" s="86">
        <f t="shared" si="3"/>
        <v>540000</v>
      </c>
      <c r="K13" s="5" t="s">
        <v>12</v>
      </c>
      <c r="L13" s="5" t="s">
        <v>12</v>
      </c>
      <c r="M13" s="5" t="s">
        <v>12</v>
      </c>
    </row>
    <row r="14" spans="3:16" s="26" customFormat="1" ht="15" customHeight="1" thickBot="1" x14ac:dyDescent="0.35">
      <c r="C14">
        <v>2023</v>
      </c>
      <c r="D14" s="24">
        <v>65010201</v>
      </c>
      <c r="E14" s="25">
        <f t="shared" si="4"/>
        <v>0.44467113333333336</v>
      </c>
      <c r="F14" s="87">
        <f t="shared" si="5"/>
        <v>15602448.24</v>
      </c>
      <c r="G14" s="87">
        <f t="shared" si="0"/>
        <v>6240979.2960000001</v>
      </c>
      <c r="H14" s="87">
        <f t="shared" si="1"/>
        <v>5460856.8839999996</v>
      </c>
      <c r="I14" s="87">
        <f t="shared" si="2"/>
        <v>3120489.648</v>
      </c>
      <c r="J14" s="87">
        <f t="shared" si="3"/>
        <v>780122.41200000001</v>
      </c>
      <c r="K14" s="23" t="s">
        <v>12</v>
      </c>
      <c r="L14" s="23" t="s">
        <v>12</v>
      </c>
      <c r="M14" s="23" t="s">
        <v>12</v>
      </c>
    </row>
    <row r="15" spans="3:16" ht="15" customHeight="1" thickBot="1" x14ac:dyDescent="0.35">
      <c r="C15">
        <v>2024</v>
      </c>
      <c r="D15" s="14">
        <v>99010201</v>
      </c>
      <c r="E15" s="15">
        <f t="shared" si="4"/>
        <v>0.52299484507054517</v>
      </c>
      <c r="F15" s="86">
        <f t="shared" si="5"/>
        <v>23762448.239999998</v>
      </c>
      <c r="G15" s="86">
        <f t="shared" si="0"/>
        <v>9504979.2960000001</v>
      </c>
      <c r="H15" s="86">
        <f t="shared" si="1"/>
        <v>8316856.8839999987</v>
      </c>
      <c r="I15" s="86">
        <f t="shared" si="2"/>
        <v>4752489.648</v>
      </c>
      <c r="J15" s="86">
        <f t="shared" si="3"/>
        <v>1188122.412</v>
      </c>
      <c r="K15" s="5" t="s">
        <v>12</v>
      </c>
      <c r="L15" s="5" t="s">
        <v>12</v>
      </c>
      <c r="M15" s="5" t="s">
        <v>12</v>
      </c>
      <c r="P15" s="27"/>
    </row>
    <row r="16" spans="3:16" ht="15" customHeight="1" thickBot="1" x14ac:dyDescent="0.35">
      <c r="C16">
        <v>2025</v>
      </c>
      <c r="D16" s="14">
        <v>122000101</v>
      </c>
      <c r="E16" s="15">
        <f t="shared" si="4"/>
        <v>0.23219728641900242</v>
      </c>
      <c r="F16" s="86">
        <f t="shared" si="5"/>
        <v>29280024.239999998</v>
      </c>
      <c r="G16" s="86">
        <f t="shared" si="0"/>
        <v>11712009.696</v>
      </c>
      <c r="H16" s="86">
        <f t="shared" si="1"/>
        <v>10248008.483999999</v>
      </c>
      <c r="I16" s="86">
        <f t="shared" si="2"/>
        <v>5856004.8480000002</v>
      </c>
      <c r="J16" s="86">
        <f t="shared" si="3"/>
        <v>1464001.2120000001</v>
      </c>
      <c r="K16" s="5" t="s">
        <v>12</v>
      </c>
      <c r="L16" s="5" t="s">
        <v>12</v>
      </c>
      <c r="M16" s="5" t="s">
        <v>12</v>
      </c>
    </row>
    <row r="17" spans="3:19" ht="15" customHeight="1" thickBot="1" x14ac:dyDescent="0.35">
      <c r="C17">
        <v>2026</v>
      </c>
      <c r="D17" s="14">
        <v>151329000</v>
      </c>
      <c r="E17" s="15">
        <f t="shared" si="4"/>
        <v>0.24040061245523067</v>
      </c>
      <c r="F17" s="86">
        <f t="shared" si="5"/>
        <v>36318960</v>
      </c>
      <c r="G17" s="86">
        <f t="shared" si="0"/>
        <v>14527584</v>
      </c>
      <c r="H17" s="86">
        <f t="shared" si="1"/>
        <v>12711636</v>
      </c>
      <c r="I17" s="86">
        <f t="shared" si="2"/>
        <v>7263792</v>
      </c>
      <c r="J17" s="86">
        <f t="shared" si="3"/>
        <v>1815948</v>
      </c>
      <c r="K17" s="5" t="s">
        <v>12</v>
      </c>
      <c r="L17" s="5" t="s">
        <v>12</v>
      </c>
      <c r="M17" s="5" t="s">
        <v>12</v>
      </c>
    </row>
    <row r="18" spans="3:19" ht="15" customHeight="1" thickBot="1" x14ac:dyDescent="0.35">
      <c r="C18">
        <v>2027</v>
      </c>
      <c r="D18" s="14">
        <v>177329101</v>
      </c>
      <c r="E18" s="15">
        <f t="shared" si="4"/>
        <v>0.17181175452160524</v>
      </c>
      <c r="F18" s="86">
        <f t="shared" si="5"/>
        <v>42558984.240000002</v>
      </c>
      <c r="G18" s="86">
        <f t="shared" si="0"/>
        <v>17023593.696000002</v>
      </c>
      <c r="H18" s="86">
        <f t="shared" si="1"/>
        <v>14895644.483999999</v>
      </c>
      <c r="I18" s="86">
        <f t="shared" si="2"/>
        <v>8511796.8480000012</v>
      </c>
      <c r="J18" s="86">
        <f t="shared" si="3"/>
        <v>2127949.2120000003</v>
      </c>
      <c r="K18" s="5" t="s">
        <v>12</v>
      </c>
      <c r="L18" s="5" t="s">
        <v>12</v>
      </c>
      <c r="M18" s="5" t="s">
        <v>12</v>
      </c>
    </row>
    <row r="19" spans="3:19" ht="15" thickBot="1" x14ac:dyDescent="0.35">
      <c r="C19">
        <v>2028</v>
      </c>
      <c r="D19" s="14">
        <v>198929101</v>
      </c>
      <c r="E19" s="15">
        <f t="shared" si="4"/>
        <v>0.12180741839998388</v>
      </c>
      <c r="F19" s="86">
        <f t="shared" si="5"/>
        <v>47742984.239999995</v>
      </c>
      <c r="G19" s="86">
        <f t="shared" si="0"/>
        <v>19097193.695999999</v>
      </c>
      <c r="H19" s="86">
        <f t="shared" si="1"/>
        <v>16710044.483999997</v>
      </c>
      <c r="I19" s="86">
        <f t="shared" si="2"/>
        <v>9548596.8479999993</v>
      </c>
      <c r="J19" s="86">
        <f t="shared" si="3"/>
        <v>2387149.2119999998</v>
      </c>
      <c r="K19" s="5" t="s">
        <v>12</v>
      </c>
      <c r="L19" s="5" t="s">
        <v>12</v>
      </c>
      <c r="M19" s="5" t="s">
        <v>12</v>
      </c>
    </row>
    <row r="21" spans="3:19" x14ac:dyDescent="0.3">
      <c r="Q21" s="16">
        <f>(2676/370)*10000000</f>
        <v>72324324.324324325</v>
      </c>
    </row>
    <row r="24" spans="3:19" x14ac:dyDescent="0.3">
      <c r="Q24" t="s">
        <v>18</v>
      </c>
    </row>
    <row r="26" spans="3:19" ht="15" thickBot="1" x14ac:dyDescent="0.35"/>
    <row r="27" spans="3:19" ht="29.4" thickBot="1" x14ac:dyDescent="0.35">
      <c r="D27" s="3" t="s">
        <v>26</v>
      </c>
      <c r="E27" s="3" t="s">
        <v>17</v>
      </c>
      <c r="F27" s="3" t="s">
        <v>16</v>
      </c>
      <c r="G27" s="3" t="s">
        <v>8</v>
      </c>
      <c r="H27" s="28" t="s">
        <v>27</v>
      </c>
      <c r="P27" t="s">
        <v>24</v>
      </c>
      <c r="Q27" t="s">
        <v>17</v>
      </c>
      <c r="S27" t="s">
        <v>19</v>
      </c>
    </row>
    <row r="28" spans="3:19" ht="15" thickBot="1" x14ac:dyDescent="0.35">
      <c r="D28" s="5">
        <v>2015</v>
      </c>
      <c r="E28" s="5"/>
      <c r="F28" s="19">
        <f>$H28*$Q28</f>
        <v>44</v>
      </c>
      <c r="G28" s="6"/>
      <c r="H28" s="2">
        <v>0.22</v>
      </c>
      <c r="O28">
        <v>2015</v>
      </c>
      <c r="P28">
        <v>0.12</v>
      </c>
      <c r="Q28">
        <v>200</v>
      </c>
      <c r="R28" s="16"/>
      <c r="S28" s="16">
        <v>11999.999999999998</v>
      </c>
    </row>
    <row r="29" spans="3:19" ht="15" thickBot="1" x14ac:dyDescent="0.35">
      <c r="D29" s="5">
        <v>2016</v>
      </c>
      <c r="E29" s="5"/>
      <c r="F29" s="19">
        <f t="shared" ref="F29:F41" si="6">$H29*$Q29</f>
        <v>55</v>
      </c>
      <c r="G29" s="6">
        <f>(F29-F28)/F28</f>
        <v>0.25</v>
      </c>
      <c r="H29" s="2">
        <v>0.22</v>
      </c>
      <c r="O29">
        <v>2016</v>
      </c>
      <c r="P29">
        <v>24</v>
      </c>
      <c r="Q29">
        <v>250</v>
      </c>
      <c r="R29" s="16"/>
      <c r="S29" s="16">
        <v>960000</v>
      </c>
    </row>
    <row r="30" spans="3:19" ht="15" thickBot="1" x14ac:dyDescent="0.35">
      <c r="D30" s="5">
        <v>2017</v>
      </c>
      <c r="E30" s="5"/>
      <c r="F30" s="19">
        <f t="shared" si="6"/>
        <v>69</v>
      </c>
      <c r="G30" s="6">
        <f t="shared" ref="G30:G40" si="7">(F30-F29)/F29</f>
        <v>0.25454545454545452</v>
      </c>
      <c r="H30" s="2">
        <v>0.23</v>
      </c>
      <c r="O30">
        <v>2017</v>
      </c>
      <c r="P30">
        <v>146</v>
      </c>
      <c r="Q30">
        <v>300</v>
      </c>
      <c r="R30" s="16"/>
      <c r="S30" s="16">
        <v>4866666.666666667</v>
      </c>
    </row>
    <row r="31" spans="3:19" ht="15" thickBot="1" x14ac:dyDescent="0.35">
      <c r="D31" s="5">
        <v>2018</v>
      </c>
      <c r="E31" s="5"/>
      <c r="F31" s="19">
        <f t="shared" si="6"/>
        <v>73.600000000000009</v>
      </c>
      <c r="G31" s="6">
        <f t="shared" si="7"/>
        <v>6.6666666666666791E-2</v>
      </c>
      <c r="H31" s="2">
        <v>0.23</v>
      </c>
      <c r="O31">
        <v>2018</v>
      </c>
      <c r="P31">
        <v>462</v>
      </c>
      <c r="Q31">
        <v>320</v>
      </c>
      <c r="R31" s="16"/>
      <c r="S31" s="16">
        <v>14437500</v>
      </c>
    </row>
    <row r="32" spans="3:19" ht="15" thickBot="1" x14ac:dyDescent="0.35">
      <c r="D32" s="5">
        <v>2019</v>
      </c>
      <c r="E32" s="5"/>
      <c r="F32" s="19">
        <f t="shared" si="6"/>
        <v>80.5</v>
      </c>
      <c r="G32" s="6">
        <f t="shared" si="7"/>
        <v>9.3749999999999875E-2</v>
      </c>
      <c r="H32" s="2">
        <v>0.23</v>
      </c>
      <c r="O32">
        <v>2019</v>
      </c>
      <c r="P32">
        <v>1258</v>
      </c>
      <c r="Q32">
        <v>350</v>
      </c>
      <c r="R32" s="16"/>
      <c r="S32" s="16">
        <v>35942857.142857142</v>
      </c>
    </row>
    <row r="33" spans="4:19" ht="15" thickBot="1" x14ac:dyDescent="0.35">
      <c r="D33" s="5">
        <v>2020</v>
      </c>
      <c r="E33" s="5"/>
      <c r="F33" s="19">
        <f t="shared" si="6"/>
        <v>85.100000000000009</v>
      </c>
      <c r="G33" s="6">
        <f t="shared" si="7"/>
        <v>5.7142857142857252E-2</v>
      </c>
      <c r="H33" s="2">
        <v>0.23</v>
      </c>
      <c r="N33">
        <v>0.7</v>
      </c>
      <c r="O33">
        <v>2020</v>
      </c>
      <c r="P33">
        <f>3640*0.7</f>
        <v>2548</v>
      </c>
      <c r="Q33">
        <v>370</v>
      </c>
      <c r="R33" s="16"/>
      <c r="S33" s="17">
        <v>68864864.864864856</v>
      </c>
    </row>
    <row r="34" spans="4:19" ht="15" thickBot="1" x14ac:dyDescent="0.35">
      <c r="D34" s="5">
        <v>2021</v>
      </c>
      <c r="E34" s="5"/>
      <c r="F34" s="19">
        <f t="shared" si="6"/>
        <v>88.8</v>
      </c>
      <c r="G34" s="6">
        <f t="shared" si="7"/>
        <v>4.3478260869565077E-2</v>
      </c>
      <c r="H34" s="2">
        <v>0.24</v>
      </c>
      <c r="N34">
        <v>0.7</v>
      </c>
      <c r="O34">
        <v>2021</v>
      </c>
      <c r="P34">
        <f>2676*0.7</f>
        <v>1873.1999999999998</v>
      </c>
      <c r="Q34">
        <v>370</v>
      </c>
      <c r="R34" s="16"/>
      <c r="S34" s="17">
        <v>50627027.027027018</v>
      </c>
    </row>
    <row r="35" spans="4:19" ht="15" thickBot="1" x14ac:dyDescent="0.35">
      <c r="D35" s="5">
        <v>2022</v>
      </c>
      <c r="E35" s="5"/>
      <c r="F35" s="19">
        <f t="shared" si="6"/>
        <v>100</v>
      </c>
      <c r="G35" s="6">
        <f t="shared" si="7"/>
        <v>0.12612612612612617</v>
      </c>
      <c r="H35" s="2">
        <v>0.25</v>
      </c>
      <c r="N35">
        <v>0.6</v>
      </c>
      <c r="O35">
        <v>2022</v>
      </c>
      <c r="P35">
        <f>6120*0.6</f>
        <v>3672</v>
      </c>
      <c r="Q35">
        <v>400</v>
      </c>
      <c r="R35" s="16"/>
      <c r="S35" s="17">
        <v>91800000</v>
      </c>
    </row>
    <row r="36" spans="4:19" ht="15" thickBot="1" x14ac:dyDescent="0.35">
      <c r="D36" s="5">
        <v>2023</v>
      </c>
      <c r="E36" s="5"/>
      <c r="F36" s="19">
        <f t="shared" si="6"/>
        <v>102.5</v>
      </c>
      <c r="G36" s="6">
        <f t="shared" si="7"/>
        <v>2.5000000000000001E-2</v>
      </c>
      <c r="H36" s="29">
        <v>0.25</v>
      </c>
      <c r="O36">
        <v>2023</v>
      </c>
      <c r="Q36">
        <v>410</v>
      </c>
    </row>
    <row r="37" spans="4:19" ht="15" thickBot="1" x14ac:dyDescent="0.35">
      <c r="D37" s="5">
        <v>2024</v>
      </c>
      <c r="E37" s="5"/>
      <c r="F37" s="19">
        <f t="shared" si="6"/>
        <v>102.5</v>
      </c>
      <c r="G37" s="6">
        <f t="shared" si="7"/>
        <v>0</v>
      </c>
      <c r="H37" s="29">
        <v>0.25</v>
      </c>
      <c r="O37">
        <v>2024</v>
      </c>
      <c r="Q37">
        <v>410</v>
      </c>
    </row>
    <row r="38" spans="4:19" ht="15" thickBot="1" x14ac:dyDescent="0.35">
      <c r="D38" s="5">
        <v>2025</v>
      </c>
      <c r="E38" s="5"/>
      <c r="F38" s="19">
        <f t="shared" si="6"/>
        <v>105</v>
      </c>
      <c r="G38" s="6">
        <f t="shared" si="7"/>
        <v>2.4390243902439025E-2</v>
      </c>
      <c r="H38" s="2">
        <v>0.25</v>
      </c>
      <c r="O38">
        <v>2025</v>
      </c>
      <c r="Q38">
        <v>420</v>
      </c>
    </row>
    <row r="39" spans="4:19" ht="15" thickBot="1" x14ac:dyDescent="0.35">
      <c r="D39" s="5">
        <v>2026</v>
      </c>
      <c r="E39" s="5"/>
      <c r="F39" s="19">
        <f t="shared" si="6"/>
        <v>107.10000000000001</v>
      </c>
      <c r="G39" s="6">
        <f t="shared" si="7"/>
        <v>2.000000000000008E-2</v>
      </c>
      <c r="H39" s="29">
        <v>0.255</v>
      </c>
      <c r="O39">
        <v>2026</v>
      </c>
      <c r="Q39">
        <v>420</v>
      </c>
    </row>
    <row r="40" spans="4:19" ht="15" thickBot="1" x14ac:dyDescent="0.35">
      <c r="D40" s="5">
        <v>2027</v>
      </c>
      <c r="E40" s="5"/>
      <c r="F40" s="19">
        <f t="shared" si="6"/>
        <v>108.375</v>
      </c>
      <c r="G40" s="6">
        <f t="shared" si="7"/>
        <v>1.1904761904761824E-2</v>
      </c>
      <c r="H40" s="29">
        <v>0.255</v>
      </c>
      <c r="O40">
        <v>2027</v>
      </c>
      <c r="Q40">
        <v>425</v>
      </c>
    </row>
    <row r="41" spans="4:19" ht="15" thickBot="1" x14ac:dyDescent="0.35">
      <c r="D41" s="5">
        <v>2028</v>
      </c>
      <c r="E41" s="5"/>
      <c r="F41" s="19">
        <f t="shared" si="6"/>
        <v>109.65</v>
      </c>
      <c r="G41" s="6">
        <f t="shared" ref="G41" si="8">(F41-F40)/F40</f>
        <v>1.1764705882352993E-2</v>
      </c>
      <c r="H41" s="29">
        <v>0.255</v>
      </c>
      <c r="O41">
        <v>2028</v>
      </c>
      <c r="Q41">
        <v>430</v>
      </c>
    </row>
    <row r="44" spans="4:19" x14ac:dyDescent="0.3">
      <c r="I44">
        <v>2015</v>
      </c>
      <c r="J44">
        <f t="shared" ref="J44:J49" si="9">J45*(1-$L$44)</f>
        <v>242.49777502298386</v>
      </c>
      <c r="L44" s="2">
        <v>6.9000000000000006E-2</v>
      </c>
    </row>
    <row r="45" spans="4:19" x14ac:dyDescent="0.3">
      <c r="I45">
        <v>2016</v>
      </c>
      <c r="J45">
        <f t="shared" si="9"/>
        <v>260.47022021802775</v>
      </c>
    </row>
    <row r="46" spans="4:19" x14ac:dyDescent="0.3">
      <c r="I46">
        <v>2017</v>
      </c>
      <c r="J46">
        <f t="shared" si="9"/>
        <v>279.7746726294605</v>
      </c>
    </row>
    <row r="47" spans="4:19" x14ac:dyDescent="0.3">
      <c r="I47">
        <v>2018</v>
      </c>
      <c r="J47">
        <f t="shared" si="9"/>
        <v>300.50985244840007</v>
      </c>
    </row>
    <row r="48" spans="4:19" x14ac:dyDescent="0.3">
      <c r="I48">
        <v>2019</v>
      </c>
      <c r="J48">
        <f t="shared" si="9"/>
        <v>322.78179640000008</v>
      </c>
    </row>
    <row r="49" spans="9:10" x14ac:dyDescent="0.3">
      <c r="I49">
        <v>2020</v>
      </c>
      <c r="J49">
        <f t="shared" si="9"/>
        <v>346.70440000000008</v>
      </c>
    </row>
    <row r="50" spans="9:10" x14ac:dyDescent="0.3">
      <c r="I50">
        <v>2021</v>
      </c>
      <c r="J50">
        <f>J51*(1-$L$44)</f>
        <v>372.40000000000003</v>
      </c>
    </row>
    <row r="51" spans="9:10" x14ac:dyDescent="0.3">
      <c r="I51">
        <v>2022</v>
      </c>
      <c r="J51">
        <v>400</v>
      </c>
    </row>
    <row r="52" spans="9:10" x14ac:dyDescent="0.3">
      <c r="I52">
        <v>2023</v>
      </c>
      <c r="J52">
        <f>J51*(1+$L$44)</f>
        <v>427.59999999999997</v>
      </c>
    </row>
    <row r="53" spans="9:10" x14ac:dyDescent="0.3">
      <c r="I53">
        <v>2024</v>
      </c>
      <c r="J53">
        <f t="shared" ref="J53:J57" si="10">J52*(1+$L$44)</f>
        <v>457.10439999999994</v>
      </c>
    </row>
    <row r="54" spans="9:10" x14ac:dyDescent="0.3">
      <c r="I54">
        <v>2025</v>
      </c>
      <c r="J54">
        <f t="shared" si="10"/>
        <v>488.64460359999993</v>
      </c>
    </row>
    <row r="55" spans="9:10" x14ac:dyDescent="0.3">
      <c r="I55">
        <v>2026</v>
      </c>
      <c r="J55">
        <f t="shared" si="10"/>
        <v>522.36108124839984</v>
      </c>
    </row>
    <row r="56" spans="9:10" x14ac:dyDescent="0.3">
      <c r="I56">
        <v>2027</v>
      </c>
      <c r="J56">
        <f t="shared" si="10"/>
        <v>558.4039958545394</v>
      </c>
    </row>
    <row r="57" spans="9:10" x14ac:dyDescent="0.3">
      <c r="I57">
        <v>2028</v>
      </c>
      <c r="J57">
        <f t="shared" si="10"/>
        <v>596.93387156850258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F7F56-73D3-4A82-B3B8-2F7E4767A3EF}">
  <dimension ref="C2:R51"/>
  <sheetViews>
    <sheetView topLeftCell="A27" zoomScale="99" zoomScaleNormal="99" workbookViewId="0">
      <selection activeCell="Q46" sqref="Q46"/>
    </sheetView>
  </sheetViews>
  <sheetFormatPr defaultRowHeight="14.4" x14ac:dyDescent="0.3"/>
  <cols>
    <col min="2" max="2" width="0.88671875" customWidth="1"/>
    <col min="3" max="3" width="10" bestFit="1" customWidth="1"/>
    <col min="4" max="4" width="10.33203125" bestFit="1" customWidth="1"/>
    <col min="5" max="5" width="16.109375" bestFit="1" customWidth="1"/>
    <col min="6" max="6" width="11.88671875" bestFit="1" customWidth="1"/>
    <col min="7" max="7" width="14.77734375" customWidth="1"/>
    <col min="8" max="8" width="15.44140625" bestFit="1" customWidth="1"/>
    <col min="9" max="10" width="12.5546875" bestFit="1" customWidth="1"/>
    <col min="11" max="11" width="10.6640625" customWidth="1"/>
    <col min="12" max="12" width="10" bestFit="1" customWidth="1"/>
    <col min="13" max="14" width="12" bestFit="1" customWidth="1"/>
    <col min="15" max="15" width="11" bestFit="1" customWidth="1"/>
    <col min="18" max="18" width="32.109375" customWidth="1"/>
    <col min="19" max="19" width="13.109375" customWidth="1"/>
    <col min="20" max="20" width="17.109375" customWidth="1"/>
  </cols>
  <sheetData>
    <row r="2" spans="3:15" ht="15" thickBot="1" x14ac:dyDescent="0.35"/>
    <row r="3" spans="3:15" ht="15" customHeight="1" thickBot="1" x14ac:dyDescent="0.35">
      <c r="C3" s="7"/>
      <c r="D3" s="8"/>
      <c r="E3" s="8"/>
      <c r="F3" s="8"/>
      <c r="G3" s="8"/>
      <c r="H3" s="9">
        <v>0.24</v>
      </c>
      <c r="I3" s="9">
        <v>0.4</v>
      </c>
      <c r="J3" s="9">
        <v>0.35</v>
      </c>
      <c r="K3" s="9">
        <v>0.2</v>
      </c>
      <c r="L3" s="9">
        <v>0.05</v>
      </c>
      <c r="M3" s="9">
        <v>0</v>
      </c>
      <c r="N3" s="9">
        <v>0</v>
      </c>
      <c r="O3" s="9">
        <v>0</v>
      </c>
    </row>
    <row r="4" spans="3:15" ht="15" customHeight="1" thickBot="1" x14ac:dyDescent="0.35">
      <c r="C4" s="1" t="s">
        <v>7</v>
      </c>
      <c r="D4" s="3"/>
      <c r="E4" s="3"/>
      <c r="F4" s="3"/>
      <c r="G4" s="3" t="s">
        <v>8</v>
      </c>
      <c r="H4" s="3" t="s">
        <v>9</v>
      </c>
      <c r="I4" s="3" t="s">
        <v>10</v>
      </c>
      <c r="J4" s="5">
        <v>4</v>
      </c>
      <c r="K4" s="5">
        <v>5</v>
      </c>
      <c r="L4" s="5">
        <v>6</v>
      </c>
      <c r="M4" s="5">
        <v>7</v>
      </c>
      <c r="N4" s="5">
        <v>8</v>
      </c>
      <c r="O4" s="5">
        <v>9</v>
      </c>
    </row>
    <row r="5" spans="3:15" ht="15" customHeight="1" thickBot="1" x14ac:dyDescent="0.35">
      <c r="C5" s="1" t="s">
        <v>13</v>
      </c>
      <c r="D5" s="10">
        <v>41651</v>
      </c>
      <c r="E5" s="5">
        <v>2014</v>
      </c>
      <c r="F5" s="4">
        <v>100000</v>
      </c>
      <c r="G5" s="3"/>
      <c r="H5" s="4">
        <v>100000</v>
      </c>
      <c r="I5" s="4">
        <f>H5*$I$3</f>
        <v>40000</v>
      </c>
      <c r="J5" s="4">
        <f>H5*$J$3</f>
        <v>35000</v>
      </c>
      <c r="K5" s="4">
        <f>H5*$K$3</f>
        <v>20000</v>
      </c>
      <c r="L5" s="4">
        <f>H5*$L$3</f>
        <v>5000</v>
      </c>
      <c r="M5" s="5" t="s">
        <v>12</v>
      </c>
      <c r="N5" s="5" t="s">
        <v>12</v>
      </c>
      <c r="O5" s="5" t="s">
        <v>12</v>
      </c>
    </row>
    <row r="6" spans="3:15" ht="15" customHeight="1" thickBot="1" x14ac:dyDescent="0.35">
      <c r="C6" s="1" t="s">
        <v>11</v>
      </c>
      <c r="D6" s="10">
        <v>42016</v>
      </c>
      <c r="E6" s="5">
        <v>2015</v>
      </c>
      <c r="F6" s="4">
        <v>1000000</v>
      </c>
      <c r="G6" s="6">
        <f t="shared" ref="G6:G19" si="0">(F6-F5)/F5</f>
        <v>9</v>
      </c>
      <c r="H6" s="4">
        <f>F6*$H$3</f>
        <v>240000</v>
      </c>
      <c r="I6" s="4">
        <f t="shared" ref="I6:I19" si="1">H6*$I$3</f>
        <v>96000</v>
      </c>
      <c r="J6" s="4">
        <f t="shared" ref="J6:J19" si="2">H6*$J$3</f>
        <v>84000</v>
      </c>
      <c r="K6" s="4">
        <f t="shared" ref="K6:K19" si="3">H6*$K$3</f>
        <v>48000</v>
      </c>
      <c r="L6" s="4">
        <f t="shared" ref="L6:L19" si="4">H6*$L$3</f>
        <v>12000</v>
      </c>
      <c r="M6" s="5" t="s">
        <v>12</v>
      </c>
      <c r="N6" s="5" t="s">
        <v>12</v>
      </c>
      <c r="O6" s="5" t="s">
        <v>12</v>
      </c>
    </row>
    <row r="7" spans="3:15" ht="15" customHeight="1" thickBot="1" x14ac:dyDescent="0.35">
      <c r="C7" s="1" t="s">
        <v>13</v>
      </c>
      <c r="D7" s="10">
        <v>42381</v>
      </c>
      <c r="E7" s="5">
        <v>2016</v>
      </c>
      <c r="F7" s="4">
        <v>2000000</v>
      </c>
      <c r="G7" s="6">
        <f t="shared" si="0"/>
        <v>1</v>
      </c>
      <c r="H7" s="4">
        <f t="shared" ref="H7:H19" si="5">F7*$H$3</f>
        <v>480000</v>
      </c>
      <c r="I7" s="4">
        <f t="shared" si="1"/>
        <v>192000</v>
      </c>
      <c r="J7" s="4">
        <f t="shared" si="2"/>
        <v>168000</v>
      </c>
      <c r="K7" s="4">
        <f t="shared" si="3"/>
        <v>96000</v>
      </c>
      <c r="L7" s="4">
        <f t="shared" si="4"/>
        <v>24000</v>
      </c>
      <c r="M7" s="5" t="s">
        <v>12</v>
      </c>
      <c r="N7" s="5" t="s">
        <v>12</v>
      </c>
      <c r="O7" s="5" t="s">
        <v>12</v>
      </c>
    </row>
    <row r="8" spans="3:15" ht="15" customHeight="1" thickBot="1" x14ac:dyDescent="0.35">
      <c r="C8" s="1" t="s">
        <v>11</v>
      </c>
      <c r="D8" s="10">
        <v>42747</v>
      </c>
      <c r="E8" s="5">
        <v>2017</v>
      </c>
      <c r="F8" s="4">
        <v>3000000</v>
      </c>
      <c r="G8" s="6">
        <f t="shared" si="0"/>
        <v>0.5</v>
      </c>
      <c r="H8" s="4">
        <f t="shared" si="5"/>
        <v>720000</v>
      </c>
      <c r="I8" s="4">
        <f t="shared" si="1"/>
        <v>288000</v>
      </c>
      <c r="J8" s="4">
        <f t="shared" si="2"/>
        <v>251999.99999999997</v>
      </c>
      <c r="K8" s="4">
        <f t="shared" si="3"/>
        <v>144000</v>
      </c>
      <c r="L8" s="4">
        <f t="shared" si="4"/>
        <v>36000</v>
      </c>
      <c r="M8" s="5" t="s">
        <v>12</v>
      </c>
      <c r="N8" s="5" t="s">
        <v>12</v>
      </c>
      <c r="O8" s="5" t="s">
        <v>12</v>
      </c>
    </row>
    <row r="9" spans="3:15" ht="15" customHeight="1" thickBot="1" x14ac:dyDescent="0.35">
      <c r="C9" s="1" t="s">
        <v>11</v>
      </c>
      <c r="D9" s="10">
        <v>43112</v>
      </c>
      <c r="E9" s="5">
        <v>2018</v>
      </c>
      <c r="F9" s="4">
        <v>10000000</v>
      </c>
      <c r="G9" s="6">
        <f t="shared" si="0"/>
        <v>2.3333333333333335</v>
      </c>
      <c r="H9" s="4">
        <f t="shared" si="5"/>
        <v>2400000</v>
      </c>
      <c r="I9" s="4">
        <f t="shared" si="1"/>
        <v>960000</v>
      </c>
      <c r="J9" s="4">
        <f t="shared" si="2"/>
        <v>840000</v>
      </c>
      <c r="K9" s="4">
        <f t="shared" si="3"/>
        <v>480000</v>
      </c>
      <c r="L9" s="4">
        <f t="shared" si="4"/>
        <v>120000</v>
      </c>
      <c r="M9" s="5" t="s">
        <v>12</v>
      </c>
      <c r="N9" s="5" t="s">
        <v>12</v>
      </c>
      <c r="O9" s="5" t="s">
        <v>12</v>
      </c>
    </row>
    <row r="10" spans="3:15" ht="15" customHeight="1" thickBot="1" x14ac:dyDescent="0.35">
      <c r="C10" s="1" t="s">
        <v>11</v>
      </c>
      <c r="D10" s="10">
        <v>43477</v>
      </c>
      <c r="E10" s="5">
        <v>2019</v>
      </c>
      <c r="F10" s="4">
        <v>30000000</v>
      </c>
      <c r="G10" s="6">
        <f t="shared" si="0"/>
        <v>2</v>
      </c>
      <c r="H10" s="4">
        <f t="shared" si="5"/>
        <v>7200000</v>
      </c>
      <c r="I10" s="4">
        <f t="shared" si="1"/>
        <v>2880000</v>
      </c>
      <c r="J10" s="4">
        <f t="shared" si="2"/>
        <v>2520000</v>
      </c>
      <c r="K10" s="4">
        <f t="shared" si="3"/>
        <v>1440000</v>
      </c>
      <c r="L10" s="4">
        <f t="shared" si="4"/>
        <v>360000</v>
      </c>
      <c r="M10" s="5" t="s">
        <v>12</v>
      </c>
      <c r="N10" s="5" t="s">
        <v>12</v>
      </c>
      <c r="O10" s="5" t="s">
        <v>12</v>
      </c>
    </row>
    <row r="11" spans="3:15" ht="15" customHeight="1" thickBot="1" x14ac:dyDescent="0.35">
      <c r="C11" s="1" t="s">
        <v>13</v>
      </c>
      <c r="D11" s="10">
        <v>43842</v>
      </c>
      <c r="E11" s="5">
        <v>2020</v>
      </c>
      <c r="F11" s="4">
        <v>35000000</v>
      </c>
      <c r="G11" s="6">
        <f t="shared" si="0"/>
        <v>0.16666666666666666</v>
      </c>
      <c r="H11" s="4">
        <f t="shared" si="5"/>
        <v>8400000</v>
      </c>
      <c r="I11" s="4">
        <f t="shared" si="1"/>
        <v>3360000</v>
      </c>
      <c r="J11" s="4">
        <f t="shared" si="2"/>
        <v>2940000</v>
      </c>
      <c r="K11" s="4">
        <f t="shared" si="3"/>
        <v>1680000</v>
      </c>
      <c r="L11" s="4">
        <f t="shared" si="4"/>
        <v>420000</v>
      </c>
      <c r="M11" s="5" t="s">
        <v>12</v>
      </c>
      <c r="N11" s="5" t="s">
        <v>12</v>
      </c>
      <c r="O11" s="5" t="s">
        <v>12</v>
      </c>
    </row>
    <row r="12" spans="3:15" ht="15" customHeight="1" thickBot="1" x14ac:dyDescent="0.35">
      <c r="C12" s="11" t="s">
        <v>13</v>
      </c>
      <c r="D12" s="10">
        <v>44208</v>
      </c>
      <c r="E12" s="5">
        <v>2021</v>
      </c>
      <c r="F12" s="4">
        <v>29000000</v>
      </c>
      <c r="G12" s="12">
        <f t="shared" si="0"/>
        <v>-0.17142857142857143</v>
      </c>
      <c r="H12" s="4">
        <f t="shared" si="5"/>
        <v>6960000</v>
      </c>
      <c r="I12" s="4">
        <f t="shared" si="1"/>
        <v>2784000</v>
      </c>
      <c r="J12" s="4">
        <f t="shared" si="2"/>
        <v>2436000</v>
      </c>
      <c r="K12" s="4">
        <f t="shared" si="3"/>
        <v>1392000</v>
      </c>
      <c r="L12" s="4">
        <f t="shared" si="4"/>
        <v>348000</v>
      </c>
      <c r="M12" s="5" t="s">
        <v>12</v>
      </c>
      <c r="N12" s="5" t="s">
        <v>12</v>
      </c>
      <c r="O12" s="5" t="s">
        <v>12</v>
      </c>
    </row>
    <row r="13" spans="3:15" ht="15" customHeight="1" thickBot="1" x14ac:dyDescent="0.35">
      <c r="C13" s="1" t="s">
        <v>11</v>
      </c>
      <c r="D13" s="10">
        <v>44573</v>
      </c>
      <c r="E13" s="5">
        <v>2022</v>
      </c>
      <c r="F13" s="4">
        <v>45000000</v>
      </c>
      <c r="G13" s="6">
        <f t="shared" si="0"/>
        <v>0.55172413793103448</v>
      </c>
      <c r="H13" s="4">
        <f t="shared" si="5"/>
        <v>10800000</v>
      </c>
      <c r="I13" s="4">
        <f t="shared" si="1"/>
        <v>4320000</v>
      </c>
      <c r="J13" s="4">
        <f t="shared" si="2"/>
        <v>3779999.9999999995</v>
      </c>
      <c r="K13" s="4">
        <f t="shared" si="3"/>
        <v>2160000</v>
      </c>
      <c r="L13" s="4">
        <f t="shared" si="4"/>
        <v>540000</v>
      </c>
      <c r="M13" s="5" t="s">
        <v>12</v>
      </c>
      <c r="N13" s="5" t="s">
        <v>12</v>
      </c>
      <c r="O13" s="5" t="s">
        <v>12</v>
      </c>
    </row>
    <row r="14" spans="3:15" s="26" customFormat="1" ht="15" customHeight="1" thickBot="1" x14ac:dyDescent="0.35">
      <c r="C14" s="21" t="s">
        <v>14</v>
      </c>
      <c r="D14" s="22">
        <v>44938</v>
      </c>
      <c r="E14" s="23">
        <v>2023</v>
      </c>
      <c r="F14" s="24">
        <v>65010201</v>
      </c>
      <c r="G14" s="25">
        <f t="shared" si="0"/>
        <v>0.44467113333333336</v>
      </c>
      <c r="H14" s="24">
        <f t="shared" si="5"/>
        <v>15602448.24</v>
      </c>
      <c r="I14" s="24">
        <f t="shared" si="1"/>
        <v>6240979.2960000001</v>
      </c>
      <c r="J14" s="24">
        <f t="shared" si="2"/>
        <v>5460856.8839999996</v>
      </c>
      <c r="K14" s="24">
        <f t="shared" si="3"/>
        <v>3120489.648</v>
      </c>
      <c r="L14" s="24">
        <f t="shared" si="4"/>
        <v>780122.41200000001</v>
      </c>
      <c r="M14" s="23" t="s">
        <v>12</v>
      </c>
      <c r="N14" s="23" t="s">
        <v>12</v>
      </c>
      <c r="O14" s="23" t="s">
        <v>12</v>
      </c>
    </row>
    <row r="15" spans="3:15" ht="15" customHeight="1" thickBot="1" x14ac:dyDescent="0.35">
      <c r="C15" s="13" t="s">
        <v>14</v>
      </c>
      <c r="D15" s="10">
        <v>45303</v>
      </c>
      <c r="E15" s="5">
        <v>2024</v>
      </c>
      <c r="F15" s="14">
        <v>99010201</v>
      </c>
      <c r="G15" s="15">
        <f t="shared" si="0"/>
        <v>0.52299484507054517</v>
      </c>
      <c r="H15" s="4">
        <f t="shared" si="5"/>
        <v>23762448.239999998</v>
      </c>
      <c r="I15" s="4">
        <f t="shared" si="1"/>
        <v>9504979.2960000001</v>
      </c>
      <c r="J15" s="4">
        <f t="shared" si="2"/>
        <v>8316856.8839999987</v>
      </c>
      <c r="K15" s="4">
        <f t="shared" si="3"/>
        <v>4752489.648</v>
      </c>
      <c r="L15" s="4">
        <f t="shared" si="4"/>
        <v>1188122.412</v>
      </c>
      <c r="M15" s="5" t="s">
        <v>12</v>
      </c>
      <c r="N15" s="5" t="s">
        <v>12</v>
      </c>
      <c r="O15" s="5" t="s">
        <v>12</v>
      </c>
    </row>
    <row r="16" spans="3:15" ht="15" customHeight="1" thickBot="1" x14ac:dyDescent="0.35">
      <c r="C16" s="13" t="s">
        <v>14</v>
      </c>
      <c r="D16" s="10">
        <v>45669</v>
      </c>
      <c r="E16" s="5">
        <v>2025</v>
      </c>
      <c r="F16" s="14">
        <v>122000101</v>
      </c>
      <c r="G16" s="15">
        <f t="shared" si="0"/>
        <v>0.23219728641900242</v>
      </c>
      <c r="H16" s="4">
        <f t="shared" si="5"/>
        <v>29280024.239999998</v>
      </c>
      <c r="I16" s="4">
        <f t="shared" si="1"/>
        <v>11712009.696</v>
      </c>
      <c r="J16" s="4">
        <f t="shared" si="2"/>
        <v>10248008.483999999</v>
      </c>
      <c r="K16" s="4">
        <f t="shared" si="3"/>
        <v>5856004.8480000002</v>
      </c>
      <c r="L16" s="4">
        <f t="shared" si="4"/>
        <v>1464001.2120000001</v>
      </c>
      <c r="M16" s="5" t="s">
        <v>12</v>
      </c>
      <c r="N16" s="5" t="s">
        <v>12</v>
      </c>
      <c r="O16" s="5" t="s">
        <v>12</v>
      </c>
    </row>
    <row r="17" spans="3:18" ht="15" customHeight="1" thickBot="1" x14ac:dyDescent="0.35">
      <c r="C17" s="13" t="s">
        <v>14</v>
      </c>
      <c r="D17" s="10">
        <v>46034</v>
      </c>
      <c r="E17" s="5">
        <v>2026</v>
      </c>
      <c r="F17" s="14">
        <v>151329000</v>
      </c>
      <c r="G17" s="15">
        <f t="shared" si="0"/>
        <v>0.24040061245523067</v>
      </c>
      <c r="H17" s="4">
        <f t="shared" si="5"/>
        <v>36318960</v>
      </c>
      <c r="I17" s="4">
        <f t="shared" si="1"/>
        <v>14527584</v>
      </c>
      <c r="J17" s="4">
        <f t="shared" si="2"/>
        <v>12711636</v>
      </c>
      <c r="K17" s="4">
        <f t="shared" si="3"/>
        <v>7263792</v>
      </c>
      <c r="L17" s="4">
        <f t="shared" si="4"/>
        <v>1815948</v>
      </c>
      <c r="M17" s="5" t="s">
        <v>12</v>
      </c>
      <c r="N17" s="5" t="s">
        <v>12</v>
      </c>
      <c r="O17" s="5" t="s">
        <v>12</v>
      </c>
    </row>
    <row r="18" spans="3:18" ht="15" customHeight="1" thickBot="1" x14ac:dyDescent="0.35">
      <c r="C18" s="13" t="s">
        <v>14</v>
      </c>
      <c r="D18" s="10">
        <v>46399</v>
      </c>
      <c r="E18" s="5">
        <v>2027</v>
      </c>
      <c r="F18" s="14">
        <v>177329101</v>
      </c>
      <c r="G18" s="15">
        <f t="shared" si="0"/>
        <v>0.17181175452160524</v>
      </c>
      <c r="H18" s="4">
        <f t="shared" si="5"/>
        <v>42558984.240000002</v>
      </c>
      <c r="I18" s="4">
        <f t="shared" si="1"/>
        <v>17023593.696000002</v>
      </c>
      <c r="J18" s="4">
        <f t="shared" si="2"/>
        <v>14895644.483999999</v>
      </c>
      <c r="K18" s="4">
        <f t="shared" si="3"/>
        <v>8511796.8480000012</v>
      </c>
      <c r="L18" s="4">
        <f t="shared" si="4"/>
        <v>2127949.2120000003</v>
      </c>
      <c r="M18" s="5" t="s">
        <v>12</v>
      </c>
      <c r="N18" s="5" t="s">
        <v>12</v>
      </c>
      <c r="O18" s="5" t="s">
        <v>12</v>
      </c>
    </row>
    <row r="19" spans="3:18" ht="15" thickBot="1" x14ac:dyDescent="0.35">
      <c r="C19" s="13" t="s">
        <v>14</v>
      </c>
      <c r="D19" s="10">
        <v>46400</v>
      </c>
      <c r="E19" s="5">
        <v>2028</v>
      </c>
      <c r="F19" s="14">
        <v>198929101</v>
      </c>
      <c r="G19" s="15">
        <f t="shared" si="0"/>
        <v>0.12180741839998388</v>
      </c>
      <c r="H19" s="4">
        <f t="shared" si="5"/>
        <v>47742984.239999995</v>
      </c>
      <c r="I19" s="4">
        <f t="shared" si="1"/>
        <v>19097193.695999999</v>
      </c>
      <c r="J19" s="4">
        <f t="shared" si="2"/>
        <v>16710044.483999997</v>
      </c>
      <c r="K19" s="4">
        <f t="shared" si="3"/>
        <v>9548596.8479999993</v>
      </c>
      <c r="L19" s="4">
        <f t="shared" si="4"/>
        <v>2387149.2119999998</v>
      </c>
      <c r="M19" s="5" t="s">
        <v>12</v>
      </c>
      <c r="N19" s="5" t="s">
        <v>12</v>
      </c>
      <c r="O19" s="5" t="s">
        <v>12</v>
      </c>
    </row>
    <row r="20" spans="3:18" x14ac:dyDescent="0.3">
      <c r="L20" s="30">
        <v>0.1</v>
      </c>
      <c r="M20" s="30">
        <v>7.0000000000000007E-2</v>
      </c>
      <c r="N20" s="30">
        <v>0.04</v>
      </c>
      <c r="O20" s="30">
        <v>0.01</v>
      </c>
    </row>
    <row r="21" spans="3:18" x14ac:dyDescent="0.3">
      <c r="I21">
        <v>6240979.2960000001</v>
      </c>
      <c r="J21">
        <v>5460856.8839999996</v>
      </c>
      <c r="K21">
        <v>3120489.648</v>
      </c>
      <c r="L21" s="20">
        <f>$H$14*L$20</f>
        <v>1560244.824</v>
      </c>
      <c r="M21" s="20">
        <f>$H$14*M$20</f>
        <v>1092171.3768000002</v>
      </c>
      <c r="N21" s="20">
        <f>$H$14*N$20</f>
        <v>624097.92960000003</v>
      </c>
      <c r="O21" s="20">
        <f>$H$14*O$20</f>
        <v>156024.48240000001</v>
      </c>
      <c r="R21" s="31"/>
    </row>
    <row r="23" spans="3:18" x14ac:dyDescent="0.3">
      <c r="G23" t="s">
        <v>20</v>
      </c>
      <c r="H23" s="16">
        <f>SUM(I21:O21)</f>
        <v>18254864.4408</v>
      </c>
      <c r="I23">
        <f t="shared" ref="I23:O23" si="6">(I$21/$H$23)*100</f>
        <v>34.188034188034187</v>
      </c>
      <c r="J23">
        <f t="shared" si="6"/>
        <v>29.914529914529915</v>
      </c>
      <c r="K23">
        <f t="shared" si="6"/>
        <v>17.094017094017094</v>
      </c>
      <c r="L23">
        <f t="shared" si="6"/>
        <v>8.5470085470085468</v>
      </c>
      <c r="M23">
        <f t="shared" si="6"/>
        <v>5.9829059829059839</v>
      </c>
      <c r="N23">
        <f t="shared" si="6"/>
        <v>3.4188034188034191</v>
      </c>
      <c r="O23">
        <f t="shared" si="6"/>
        <v>0.85470085470085477</v>
      </c>
    </row>
    <row r="25" spans="3:18" x14ac:dyDescent="0.3">
      <c r="H25" s="36"/>
      <c r="I25" s="37">
        <f>I21+M21+N21+O21</f>
        <v>8113273.0848000012</v>
      </c>
      <c r="J25" s="37">
        <f>J21+(L21-L14)</f>
        <v>6240979.2960000001</v>
      </c>
      <c r="K25" s="36">
        <f>K21</f>
        <v>3120489.648</v>
      </c>
      <c r="L25" s="38">
        <f>L14</f>
        <v>780122.41200000001</v>
      </c>
      <c r="M25" s="36"/>
      <c r="N25" s="36"/>
      <c r="O25" s="36"/>
    </row>
    <row r="26" spans="3:18" x14ac:dyDescent="0.3">
      <c r="H26" s="37">
        <f>SUM(I25:L25)</f>
        <v>18254864.440800004</v>
      </c>
      <c r="I26" s="36">
        <f>(I25/$H$26)*100</f>
        <v>44.444444444444443</v>
      </c>
      <c r="J26" s="36">
        <f t="shared" ref="J26:K26" si="7">(J25/$H$26)*100</f>
        <v>34.18803418803418</v>
      </c>
      <c r="K26" s="36">
        <f t="shared" si="7"/>
        <v>17.09401709401709</v>
      </c>
      <c r="L26" s="36">
        <f>(L25/$H$26)*100</f>
        <v>4.2735042735042725</v>
      </c>
      <c r="M26" s="36"/>
      <c r="N26" s="36"/>
      <c r="O26" s="36"/>
    </row>
    <row r="27" spans="3:18" x14ac:dyDescent="0.3">
      <c r="D27" t="s">
        <v>31</v>
      </c>
      <c r="H27" s="2">
        <v>0.1</v>
      </c>
    </row>
    <row r="28" spans="3:18" x14ac:dyDescent="0.3">
      <c r="D28" t="s">
        <v>21</v>
      </c>
      <c r="H28" s="18">
        <f>H23-H14</f>
        <v>2652416.2007999998</v>
      </c>
    </row>
    <row r="29" spans="3:18" x14ac:dyDescent="0.3">
      <c r="D29" t="s">
        <v>25</v>
      </c>
      <c r="H29" s="18">
        <f>(H23-H14)/H14</f>
        <v>0.16999999999999998</v>
      </c>
    </row>
    <row r="30" spans="3:18" x14ac:dyDescent="0.3">
      <c r="D30" t="s">
        <v>22</v>
      </c>
      <c r="H30">
        <f>H46/F46</f>
        <v>0.28897537609460378</v>
      </c>
      <c r="P30" t="s">
        <v>6</v>
      </c>
    </row>
    <row r="31" spans="3:18" x14ac:dyDescent="0.3">
      <c r="E31" t="s">
        <v>30</v>
      </c>
      <c r="H31" s="17">
        <f>H23*(1+H27)</f>
        <v>20080350.884880003</v>
      </c>
    </row>
    <row r="32" spans="3:18" x14ac:dyDescent="0.3">
      <c r="D32" t="s">
        <v>32</v>
      </c>
      <c r="H32" s="17">
        <f>H31-H14</f>
        <v>4477902.6448800024</v>
      </c>
    </row>
    <row r="33" spans="3:17" x14ac:dyDescent="0.3">
      <c r="Q33" s="2"/>
    </row>
    <row r="34" spans="3:17" ht="15" thickBot="1" x14ac:dyDescent="0.35"/>
    <row r="35" spans="3:17" ht="15" thickBot="1" x14ac:dyDescent="0.35">
      <c r="C35" s="7"/>
      <c r="D35" s="8"/>
      <c r="E35" s="8"/>
      <c r="F35" s="8"/>
      <c r="G35" s="8"/>
      <c r="H35" s="9"/>
      <c r="I35" s="9">
        <v>0.34</v>
      </c>
      <c r="J35" s="9">
        <v>0.3</v>
      </c>
      <c r="K35" s="9">
        <v>0.17</v>
      </c>
      <c r="L35" s="9">
        <v>0.08</v>
      </c>
      <c r="M35" s="9">
        <v>0.06</v>
      </c>
      <c r="N35" s="9">
        <v>0.04</v>
      </c>
      <c r="O35" s="9">
        <v>0.01</v>
      </c>
    </row>
    <row r="36" spans="3:17" ht="15" thickBot="1" x14ac:dyDescent="0.35">
      <c r="C36" s="1" t="s">
        <v>7</v>
      </c>
      <c r="D36" s="3"/>
      <c r="E36" s="3"/>
      <c r="F36" s="3"/>
      <c r="G36" s="3" t="s">
        <v>8</v>
      </c>
      <c r="H36" s="3" t="s">
        <v>9</v>
      </c>
      <c r="I36" s="3" t="s">
        <v>10</v>
      </c>
      <c r="J36" s="5">
        <v>4</v>
      </c>
      <c r="K36" s="5">
        <v>5</v>
      </c>
      <c r="L36" s="5">
        <v>6</v>
      </c>
      <c r="M36" s="5">
        <v>7</v>
      </c>
      <c r="N36" s="5">
        <v>8</v>
      </c>
      <c r="O36" s="5">
        <v>9</v>
      </c>
    </row>
    <row r="37" spans="3:17" ht="15" thickBot="1" x14ac:dyDescent="0.35">
      <c r="C37" s="1" t="s">
        <v>13</v>
      </c>
      <c r="D37" s="10">
        <v>41651</v>
      </c>
      <c r="E37" s="5">
        <v>2014</v>
      </c>
      <c r="F37" s="4">
        <v>100000</v>
      </c>
      <c r="G37" s="3"/>
      <c r="H37" s="4">
        <v>100000</v>
      </c>
      <c r="I37" s="4">
        <f>H37*$I$3</f>
        <v>40000</v>
      </c>
      <c r="J37" s="4">
        <f>H37*$J$3</f>
        <v>35000</v>
      </c>
      <c r="K37" s="4">
        <f>H37*$K$3</f>
        <v>20000</v>
      </c>
      <c r="L37" s="4">
        <f>H37*$L$3</f>
        <v>5000</v>
      </c>
      <c r="M37" s="5" t="s">
        <v>12</v>
      </c>
      <c r="N37" s="5" t="s">
        <v>12</v>
      </c>
      <c r="O37" s="5" t="s">
        <v>12</v>
      </c>
    </row>
    <row r="38" spans="3:17" ht="15" thickBot="1" x14ac:dyDescent="0.35">
      <c r="C38" s="1" t="s">
        <v>11</v>
      </c>
      <c r="D38" s="10">
        <v>42016</v>
      </c>
      <c r="E38" s="5">
        <v>2015</v>
      </c>
      <c r="F38" s="4">
        <v>1000000</v>
      </c>
      <c r="G38" s="6">
        <f t="shared" ref="G38:G51" si="8">(F38-F37)/F37</f>
        <v>9</v>
      </c>
      <c r="H38" s="4">
        <f>F38*$H$3</f>
        <v>240000</v>
      </c>
      <c r="I38" s="4">
        <f t="shared" ref="I38:I45" si="9">H38*$I$3</f>
        <v>96000</v>
      </c>
      <c r="J38" s="4">
        <f t="shared" ref="J38:J45" si="10">H38*$J$3</f>
        <v>84000</v>
      </c>
      <c r="K38" s="4">
        <f t="shared" ref="K38:K45" si="11">H38*$K$3</f>
        <v>48000</v>
      </c>
      <c r="L38" s="4">
        <f t="shared" ref="L38:L45" si="12">H38*$L$3</f>
        <v>12000</v>
      </c>
      <c r="M38" s="5" t="s">
        <v>12</v>
      </c>
      <c r="N38" s="5" t="s">
        <v>12</v>
      </c>
      <c r="O38" s="5" t="s">
        <v>12</v>
      </c>
    </row>
    <row r="39" spans="3:17" ht="15" thickBot="1" x14ac:dyDescent="0.35">
      <c r="C39" s="1" t="s">
        <v>13</v>
      </c>
      <c r="D39" s="10">
        <v>42381</v>
      </c>
      <c r="E39" s="5">
        <v>2016</v>
      </c>
      <c r="F39" s="4">
        <v>2000000</v>
      </c>
      <c r="G39" s="6">
        <f t="shared" si="8"/>
        <v>1</v>
      </c>
      <c r="H39" s="4">
        <f t="shared" ref="H39:H45" si="13">F39*$H$3</f>
        <v>480000</v>
      </c>
      <c r="I39" s="4">
        <f t="shared" si="9"/>
        <v>192000</v>
      </c>
      <c r="J39" s="4">
        <f t="shared" si="10"/>
        <v>168000</v>
      </c>
      <c r="K39" s="4">
        <f t="shared" si="11"/>
        <v>96000</v>
      </c>
      <c r="L39" s="4">
        <f t="shared" si="12"/>
        <v>24000</v>
      </c>
      <c r="M39" s="5" t="s">
        <v>12</v>
      </c>
      <c r="N39" s="5" t="s">
        <v>12</v>
      </c>
      <c r="O39" s="5" t="s">
        <v>12</v>
      </c>
    </row>
    <row r="40" spans="3:17" ht="15" thickBot="1" x14ac:dyDescent="0.35">
      <c r="C40" s="1" t="s">
        <v>11</v>
      </c>
      <c r="D40" s="10">
        <v>42747</v>
      </c>
      <c r="E40" s="5">
        <v>2017</v>
      </c>
      <c r="F40" s="4">
        <v>3000000</v>
      </c>
      <c r="G40" s="6">
        <f t="shared" si="8"/>
        <v>0.5</v>
      </c>
      <c r="H40" s="4">
        <f t="shared" si="13"/>
        <v>720000</v>
      </c>
      <c r="I40" s="4">
        <f t="shared" si="9"/>
        <v>288000</v>
      </c>
      <c r="J40" s="4">
        <f t="shared" si="10"/>
        <v>251999.99999999997</v>
      </c>
      <c r="K40" s="4">
        <f t="shared" si="11"/>
        <v>144000</v>
      </c>
      <c r="L40" s="4">
        <f t="shared" si="12"/>
        <v>36000</v>
      </c>
      <c r="M40" s="5" t="s">
        <v>12</v>
      </c>
      <c r="N40" s="5" t="s">
        <v>12</v>
      </c>
      <c r="O40" s="5" t="s">
        <v>12</v>
      </c>
    </row>
    <row r="41" spans="3:17" ht="15" thickBot="1" x14ac:dyDescent="0.35">
      <c r="C41" s="1" t="s">
        <v>11</v>
      </c>
      <c r="D41" s="10">
        <v>43112</v>
      </c>
      <c r="E41" s="5">
        <v>2018</v>
      </c>
      <c r="F41" s="4">
        <v>10000000</v>
      </c>
      <c r="G41" s="6">
        <f t="shared" si="8"/>
        <v>2.3333333333333335</v>
      </c>
      <c r="H41" s="4">
        <f t="shared" si="13"/>
        <v>2400000</v>
      </c>
      <c r="I41" s="4">
        <f t="shared" si="9"/>
        <v>960000</v>
      </c>
      <c r="J41" s="4">
        <f t="shared" si="10"/>
        <v>840000</v>
      </c>
      <c r="K41" s="4">
        <f t="shared" si="11"/>
        <v>480000</v>
      </c>
      <c r="L41" s="4">
        <f t="shared" si="12"/>
        <v>120000</v>
      </c>
      <c r="M41" s="5" t="s">
        <v>12</v>
      </c>
      <c r="N41" s="5" t="s">
        <v>12</v>
      </c>
      <c r="O41" s="5" t="s">
        <v>12</v>
      </c>
    </row>
    <row r="42" spans="3:17" ht="15" thickBot="1" x14ac:dyDescent="0.35">
      <c r="C42" s="1" t="s">
        <v>11</v>
      </c>
      <c r="D42" s="10">
        <v>43477</v>
      </c>
      <c r="E42" s="5">
        <v>2019</v>
      </c>
      <c r="F42" s="4">
        <v>30000000</v>
      </c>
      <c r="G42" s="6">
        <f t="shared" si="8"/>
        <v>2</v>
      </c>
      <c r="H42" s="4">
        <f t="shared" si="13"/>
        <v>7200000</v>
      </c>
      <c r="I42" s="4">
        <f t="shared" si="9"/>
        <v>2880000</v>
      </c>
      <c r="J42" s="4">
        <f t="shared" si="10"/>
        <v>2520000</v>
      </c>
      <c r="K42" s="4">
        <f t="shared" si="11"/>
        <v>1440000</v>
      </c>
      <c r="L42" s="4">
        <f t="shared" si="12"/>
        <v>360000</v>
      </c>
      <c r="M42" s="5" t="s">
        <v>12</v>
      </c>
      <c r="N42" s="5" t="s">
        <v>12</v>
      </c>
      <c r="O42" s="5" t="s">
        <v>12</v>
      </c>
    </row>
    <row r="43" spans="3:17" ht="15" thickBot="1" x14ac:dyDescent="0.35">
      <c r="C43" s="1" t="s">
        <v>13</v>
      </c>
      <c r="D43" s="10">
        <v>43842</v>
      </c>
      <c r="E43" s="5">
        <v>2020</v>
      </c>
      <c r="F43" s="4">
        <v>35000000</v>
      </c>
      <c r="G43" s="6">
        <f t="shared" si="8"/>
        <v>0.16666666666666666</v>
      </c>
      <c r="H43" s="4">
        <f t="shared" si="13"/>
        <v>8400000</v>
      </c>
      <c r="I43" s="4">
        <f t="shared" si="9"/>
        <v>3360000</v>
      </c>
      <c r="J43" s="4">
        <f t="shared" si="10"/>
        <v>2940000</v>
      </c>
      <c r="K43" s="4">
        <f t="shared" si="11"/>
        <v>1680000</v>
      </c>
      <c r="L43" s="4">
        <f t="shared" si="12"/>
        <v>420000</v>
      </c>
      <c r="M43" s="5" t="s">
        <v>12</v>
      </c>
      <c r="N43" s="5" t="s">
        <v>12</v>
      </c>
      <c r="O43" s="5" t="s">
        <v>12</v>
      </c>
    </row>
    <row r="44" spans="3:17" s="26" customFormat="1" ht="15" thickBot="1" x14ac:dyDescent="0.35">
      <c r="C44" s="11" t="s">
        <v>13</v>
      </c>
      <c r="D44" s="10">
        <v>44208</v>
      </c>
      <c r="E44" s="5">
        <v>2021</v>
      </c>
      <c r="F44" s="4">
        <v>29000000</v>
      </c>
      <c r="G44" s="12">
        <f t="shared" si="8"/>
        <v>-0.17142857142857143</v>
      </c>
      <c r="H44" s="4">
        <f t="shared" si="13"/>
        <v>6960000</v>
      </c>
      <c r="I44" s="4">
        <f t="shared" si="9"/>
        <v>2784000</v>
      </c>
      <c r="J44" s="4">
        <f t="shared" si="10"/>
        <v>2436000</v>
      </c>
      <c r="K44" s="4">
        <f t="shared" si="11"/>
        <v>1392000</v>
      </c>
      <c r="L44" s="4">
        <f t="shared" si="12"/>
        <v>348000</v>
      </c>
      <c r="M44" s="5" t="s">
        <v>12</v>
      </c>
      <c r="N44" s="5" t="s">
        <v>12</v>
      </c>
      <c r="O44" s="5" t="s">
        <v>12</v>
      </c>
    </row>
    <row r="45" spans="3:17" ht="15" thickBot="1" x14ac:dyDescent="0.35">
      <c r="C45" s="1" t="s">
        <v>11</v>
      </c>
      <c r="D45" s="10">
        <v>44573</v>
      </c>
      <c r="E45" s="5">
        <v>2022</v>
      </c>
      <c r="F45" s="4">
        <v>45000000</v>
      </c>
      <c r="G45" s="6">
        <f t="shared" si="8"/>
        <v>0.55172413793103448</v>
      </c>
      <c r="H45" s="4">
        <f t="shared" si="13"/>
        <v>10800000</v>
      </c>
      <c r="I45" s="4">
        <f t="shared" si="9"/>
        <v>4320000</v>
      </c>
      <c r="J45" s="4">
        <f t="shared" si="10"/>
        <v>3779999.9999999995</v>
      </c>
      <c r="K45" s="4">
        <f t="shared" si="11"/>
        <v>2160000</v>
      </c>
      <c r="L45" s="4">
        <f t="shared" si="12"/>
        <v>540000</v>
      </c>
      <c r="M45" s="5" t="s">
        <v>12</v>
      </c>
      <c r="N45" s="5" t="s">
        <v>12</v>
      </c>
      <c r="O45" s="5" t="s">
        <v>12</v>
      </c>
      <c r="Q45" s="39"/>
    </row>
    <row r="46" spans="3:17" ht="15" thickBot="1" x14ac:dyDescent="0.35">
      <c r="C46" s="21" t="s">
        <v>14</v>
      </c>
      <c r="D46" s="22">
        <v>44938</v>
      </c>
      <c r="E46" s="23">
        <v>2023</v>
      </c>
      <c r="F46" s="24">
        <f>H32+F14</f>
        <v>69488103.644879997</v>
      </c>
      <c r="G46" s="25">
        <f t="shared" si="8"/>
        <v>0.54418008099733328</v>
      </c>
      <c r="H46" s="24">
        <v>20080350.884880003</v>
      </c>
      <c r="I46" s="24">
        <f t="shared" ref="I46:O51" si="14">$H46*I$35</f>
        <v>6827319.3008592017</v>
      </c>
      <c r="J46" s="24">
        <f t="shared" si="14"/>
        <v>6024105.2654640004</v>
      </c>
      <c r="K46" s="24">
        <f t="shared" si="14"/>
        <v>3413659.6504296008</v>
      </c>
      <c r="L46" s="24">
        <f t="shared" si="14"/>
        <v>1606428.0707904003</v>
      </c>
      <c r="M46" s="24">
        <f t="shared" si="14"/>
        <v>1204821.0530928001</v>
      </c>
      <c r="N46" s="24">
        <f t="shared" si="14"/>
        <v>803214.03539520013</v>
      </c>
      <c r="O46" s="24">
        <f t="shared" si="14"/>
        <v>200803.50884880003</v>
      </c>
      <c r="Q46" s="39"/>
    </row>
    <row r="47" spans="3:17" ht="15" thickBot="1" x14ac:dyDescent="0.35">
      <c r="C47" s="13" t="s">
        <v>14</v>
      </c>
      <c r="D47" s="10">
        <v>45303</v>
      </c>
      <c r="E47" s="5">
        <v>2024</v>
      </c>
      <c r="F47" s="14">
        <v>98997489</v>
      </c>
      <c r="G47" s="15">
        <f t="shared" si="8"/>
        <v>0.42466816343022057</v>
      </c>
      <c r="H47" s="4">
        <f t="shared" ref="H47:H49" si="15">H48/(1+G48)</f>
        <v>26844659.326104946</v>
      </c>
      <c r="I47" s="4">
        <f t="shared" si="14"/>
        <v>9127184.1708756816</v>
      </c>
      <c r="J47" s="4">
        <f t="shared" si="14"/>
        <v>8053397.7978314832</v>
      </c>
      <c r="K47" s="4">
        <f t="shared" si="14"/>
        <v>4563592.0854378408</v>
      </c>
      <c r="L47" s="4">
        <f t="shared" si="14"/>
        <v>2147572.7460883958</v>
      </c>
      <c r="M47" s="4">
        <f t="shared" si="14"/>
        <v>1610679.5595662966</v>
      </c>
      <c r="N47" s="4">
        <f t="shared" si="14"/>
        <v>1073786.3730441979</v>
      </c>
      <c r="O47" s="4">
        <f t="shared" si="14"/>
        <v>268446.59326104948</v>
      </c>
      <c r="Q47" s="39"/>
    </row>
    <row r="48" spans="3:17" ht="15" thickBot="1" x14ac:dyDescent="0.35">
      <c r="C48" s="13" t="s">
        <v>14</v>
      </c>
      <c r="D48" s="10">
        <v>45669</v>
      </c>
      <c r="E48" s="5">
        <v>2025</v>
      </c>
      <c r="F48" s="14">
        <v>124497087</v>
      </c>
      <c r="G48" s="15">
        <f t="shared" si="8"/>
        <v>0.25757823009026015</v>
      </c>
      <c r="H48" s="4">
        <f t="shared" si="15"/>
        <v>33759259.162699059</v>
      </c>
      <c r="I48" s="4">
        <f t="shared" si="14"/>
        <v>11478148.11531768</v>
      </c>
      <c r="J48" s="4">
        <f t="shared" si="14"/>
        <v>10127777.748809718</v>
      </c>
      <c r="K48" s="4">
        <f t="shared" si="14"/>
        <v>5739074.05765884</v>
      </c>
      <c r="L48" s="4">
        <f t="shared" si="14"/>
        <v>2700740.7330159247</v>
      </c>
      <c r="M48" s="4">
        <f t="shared" si="14"/>
        <v>2025555.5497619435</v>
      </c>
      <c r="N48" s="4">
        <f t="shared" si="14"/>
        <v>1350370.3665079623</v>
      </c>
      <c r="O48" s="4">
        <f t="shared" si="14"/>
        <v>337592.59162699059</v>
      </c>
      <c r="Q48" s="39"/>
    </row>
    <row r="49" spans="3:17" ht="15" thickBot="1" x14ac:dyDescent="0.35">
      <c r="C49" s="13" t="s">
        <v>14</v>
      </c>
      <c r="D49" s="10">
        <v>46034</v>
      </c>
      <c r="E49" s="5">
        <v>2026</v>
      </c>
      <c r="F49" s="14">
        <v>157046795</v>
      </c>
      <c r="G49" s="15">
        <f t="shared" si="8"/>
        <v>0.26144955504059303</v>
      </c>
      <c r="H49" s="4">
        <f t="shared" si="15"/>
        <v>42585602.449286796</v>
      </c>
      <c r="I49" s="4">
        <f t="shared" si="14"/>
        <v>14479104.832757512</v>
      </c>
      <c r="J49" s="4">
        <f t="shared" si="14"/>
        <v>12775680.734786039</v>
      </c>
      <c r="K49" s="4">
        <f t="shared" si="14"/>
        <v>7239552.4163787561</v>
      </c>
      <c r="L49" s="4">
        <f t="shared" si="14"/>
        <v>3406848.1959429439</v>
      </c>
      <c r="M49" s="4">
        <f t="shared" si="14"/>
        <v>2555136.1469572075</v>
      </c>
      <c r="N49" s="4">
        <f t="shared" si="14"/>
        <v>1703424.097971472</v>
      </c>
      <c r="O49" s="4">
        <f t="shared" si="14"/>
        <v>425856.02449286799</v>
      </c>
      <c r="Q49" s="39"/>
    </row>
    <row r="50" spans="3:17" ht="15" thickBot="1" x14ac:dyDescent="0.35">
      <c r="C50" s="13" t="s">
        <v>14</v>
      </c>
      <c r="D50" s="10">
        <v>46399</v>
      </c>
      <c r="E50" s="5">
        <v>2027</v>
      </c>
      <c r="F50" s="14">
        <v>185510282</v>
      </c>
      <c r="G50" s="15">
        <f t="shared" si="8"/>
        <v>0.18124207501337419</v>
      </c>
      <c r="H50" s="4">
        <f>H51/(1+G51)</f>
        <v>50303905.402890168</v>
      </c>
      <c r="I50" s="4">
        <f t="shared" si="14"/>
        <v>17103327.83698266</v>
      </c>
      <c r="J50" s="4">
        <f t="shared" si="14"/>
        <v>15091171.620867049</v>
      </c>
      <c r="K50" s="4">
        <f t="shared" si="14"/>
        <v>8551663.91849133</v>
      </c>
      <c r="L50" s="4">
        <f t="shared" si="14"/>
        <v>4024312.4322312134</v>
      </c>
      <c r="M50" s="4">
        <f t="shared" si="14"/>
        <v>3018234.32417341</v>
      </c>
      <c r="N50" s="4">
        <f t="shared" si="14"/>
        <v>2012156.2161156067</v>
      </c>
      <c r="O50" s="4">
        <f t="shared" si="14"/>
        <v>503039.05402890168</v>
      </c>
    </row>
    <row r="51" spans="3:17" ht="15" thickBot="1" x14ac:dyDescent="0.35">
      <c r="C51" s="13" t="s">
        <v>14</v>
      </c>
      <c r="D51" s="10">
        <v>46765</v>
      </c>
      <c r="E51" s="5">
        <v>2028</v>
      </c>
      <c r="F51" s="14">
        <v>206000030</v>
      </c>
      <c r="G51" s="15">
        <f t="shared" si="8"/>
        <v>0.11045074040693874</v>
      </c>
      <c r="H51" s="4">
        <v>55860009</v>
      </c>
      <c r="I51" s="4">
        <f t="shared" si="14"/>
        <v>18992403.060000002</v>
      </c>
      <c r="J51" s="4">
        <f t="shared" si="14"/>
        <v>16758002.699999999</v>
      </c>
      <c r="K51" s="4">
        <f t="shared" si="14"/>
        <v>9496201.5300000012</v>
      </c>
      <c r="L51" s="4">
        <f t="shared" si="14"/>
        <v>4468800.72</v>
      </c>
      <c r="M51" s="4">
        <f t="shared" si="14"/>
        <v>3351600.54</v>
      </c>
      <c r="N51" s="4">
        <f t="shared" si="14"/>
        <v>2234400.36</v>
      </c>
      <c r="O51" s="4">
        <f t="shared" si="14"/>
        <v>558600.09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0F874-EBCA-407B-9A0D-0A84B5DFE9ED}">
  <dimension ref="C2:R50"/>
  <sheetViews>
    <sheetView topLeftCell="A19" zoomScale="99" zoomScaleNormal="99" workbookViewId="0">
      <selection activeCell="P38" sqref="P38"/>
    </sheetView>
  </sheetViews>
  <sheetFormatPr defaultRowHeight="14.4" x14ac:dyDescent="0.3"/>
  <cols>
    <col min="2" max="2" width="0.88671875" customWidth="1"/>
    <col min="3" max="3" width="10" bestFit="1" customWidth="1"/>
    <col min="4" max="4" width="10.33203125" bestFit="1" customWidth="1"/>
    <col min="5" max="5" width="16.109375" bestFit="1" customWidth="1"/>
    <col min="6" max="6" width="11.88671875" bestFit="1" customWidth="1"/>
    <col min="7" max="7" width="10.33203125" bestFit="1" customWidth="1"/>
    <col min="8" max="8" width="15.44140625" bestFit="1" customWidth="1"/>
    <col min="9" max="10" width="12.5546875" bestFit="1" customWidth="1"/>
    <col min="11" max="11" width="10.6640625" customWidth="1"/>
    <col min="12" max="12" width="10" bestFit="1" customWidth="1"/>
    <col min="13" max="14" width="12" bestFit="1" customWidth="1"/>
    <col min="15" max="15" width="11" bestFit="1" customWidth="1"/>
    <col min="18" max="18" width="32.109375" customWidth="1"/>
    <col min="19" max="19" width="13.109375" customWidth="1"/>
    <col min="20" max="20" width="17.109375" customWidth="1"/>
  </cols>
  <sheetData>
    <row r="2" spans="3:15" ht="15" thickBot="1" x14ac:dyDescent="0.35"/>
    <row r="3" spans="3:15" ht="15" customHeight="1" thickBot="1" x14ac:dyDescent="0.35">
      <c r="C3" s="7"/>
      <c r="D3" s="8"/>
      <c r="E3" s="8"/>
      <c r="F3" s="8"/>
      <c r="G3" s="8"/>
      <c r="H3" s="9">
        <v>0.24</v>
      </c>
      <c r="I3" s="9">
        <v>0.4</v>
      </c>
      <c r="J3" s="9">
        <v>0.35</v>
      </c>
      <c r="K3" s="9">
        <v>0.2</v>
      </c>
      <c r="L3" s="9">
        <v>0.05</v>
      </c>
      <c r="M3" s="9">
        <v>0</v>
      </c>
      <c r="N3" s="9">
        <v>0</v>
      </c>
      <c r="O3" s="9">
        <v>0</v>
      </c>
    </row>
    <row r="4" spans="3:15" ht="15" customHeight="1" thickBot="1" x14ac:dyDescent="0.35">
      <c r="C4" s="1" t="s">
        <v>7</v>
      </c>
      <c r="D4" s="3"/>
      <c r="E4" s="3"/>
      <c r="F4" s="3"/>
      <c r="G4" s="3" t="s">
        <v>8</v>
      </c>
      <c r="H4" s="3" t="s">
        <v>9</v>
      </c>
      <c r="I4" s="3" t="s">
        <v>10</v>
      </c>
      <c r="J4" s="5">
        <v>4</v>
      </c>
      <c r="K4" s="5">
        <v>5</v>
      </c>
      <c r="L4" s="5">
        <v>6</v>
      </c>
      <c r="M4" s="5">
        <v>7</v>
      </c>
      <c r="N4" s="5">
        <v>8</v>
      </c>
      <c r="O4" s="5">
        <v>9</v>
      </c>
    </row>
    <row r="5" spans="3:15" ht="15" customHeight="1" thickBot="1" x14ac:dyDescent="0.35">
      <c r="C5" s="1" t="s">
        <v>13</v>
      </c>
      <c r="D5" s="10">
        <v>41651</v>
      </c>
      <c r="E5" s="5">
        <v>2014</v>
      </c>
      <c r="F5" s="4">
        <v>100000</v>
      </c>
      <c r="G5" s="3"/>
      <c r="H5" s="4">
        <v>100000</v>
      </c>
      <c r="I5" s="4">
        <f>H5*$I$3</f>
        <v>40000</v>
      </c>
      <c r="J5" s="4">
        <f>H5*$J$3</f>
        <v>35000</v>
      </c>
      <c r="K5" s="4">
        <f>H5*$K$3</f>
        <v>20000</v>
      </c>
      <c r="L5" s="4">
        <f>H5*$L$3</f>
        <v>5000</v>
      </c>
      <c r="M5" s="5" t="s">
        <v>12</v>
      </c>
      <c r="N5" s="5" t="s">
        <v>12</v>
      </c>
      <c r="O5" s="5" t="s">
        <v>12</v>
      </c>
    </row>
    <row r="6" spans="3:15" ht="15" customHeight="1" thickBot="1" x14ac:dyDescent="0.35">
      <c r="C6" s="1" t="s">
        <v>11</v>
      </c>
      <c r="D6" s="10">
        <v>42016</v>
      </c>
      <c r="E6" s="5">
        <v>2015</v>
      </c>
      <c r="F6" s="4">
        <v>1000000</v>
      </c>
      <c r="G6" s="6">
        <f t="shared" ref="G6:G19" si="0">(F6-F5)/F5</f>
        <v>9</v>
      </c>
      <c r="H6" s="4">
        <f>F6*$H$3</f>
        <v>240000</v>
      </c>
      <c r="I6" s="4">
        <f t="shared" ref="I6:I18" si="1">H6*$I$3</f>
        <v>96000</v>
      </c>
      <c r="J6" s="4">
        <f t="shared" ref="J6:J18" si="2">H6*$J$3</f>
        <v>84000</v>
      </c>
      <c r="K6" s="4">
        <f t="shared" ref="K6:K18" si="3">H6*$K$3</f>
        <v>48000</v>
      </c>
      <c r="L6" s="4">
        <f t="shared" ref="L6:L18" si="4">H6*$L$3</f>
        <v>12000</v>
      </c>
      <c r="M6" s="5" t="s">
        <v>12</v>
      </c>
      <c r="N6" s="5" t="s">
        <v>12</v>
      </c>
      <c r="O6" s="5" t="s">
        <v>12</v>
      </c>
    </row>
    <row r="7" spans="3:15" ht="15" customHeight="1" thickBot="1" x14ac:dyDescent="0.35">
      <c r="C7" s="1" t="s">
        <v>13</v>
      </c>
      <c r="D7" s="10">
        <v>42381</v>
      </c>
      <c r="E7" s="5">
        <v>2016</v>
      </c>
      <c r="F7" s="4">
        <v>2000000</v>
      </c>
      <c r="G7" s="6">
        <f t="shared" si="0"/>
        <v>1</v>
      </c>
      <c r="H7" s="4">
        <f t="shared" ref="H7:H18" si="5">F7*$H$3</f>
        <v>480000</v>
      </c>
      <c r="I7" s="4">
        <f t="shared" si="1"/>
        <v>192000</v>
      </c>
      <c r="J7" s="4">
        <f t="shared" si="2"/>
        <v>168000</v>
      </c>
      <c r="K7" s="4">
        <f t="shared" si="3"/>
        <v>96000</v>
      </c>
      <c r="L7" s="4">
        <f t="shared" si="4"/>
        <v>24000</v>
      </c>
      <c r="M7" s="5" t="s">
        <v>12</v>
      </c>
      <c r="N7" s="5" t="s">
        <v>12</v>
      </c>
      <c r="O7" s="5" t="s">
        <v>12</v>
      </c>
    </row>
    <row r="8" spans="3:15" ht="15" customHeight="1" thickBot="1" x14ac:dyDescent="0.35">
      <c r="C8" s="1" t="s">
        <v>11</v>
      </c>
      <c r="D8" s="10">
        <v>42747</v>
      </c>
      <c r="E8" s="5">
        <v>2017</v>
      </c>
      <c r="F8" s="4">
        <v>3000000</v>
      </c>
      <c r="G8" s="6">
        <f t="shared" si="0"/>
        <v>0.5</v>
      </c>
      <c r="H8" s="4">
        <f t="shared" si="5"/>
        <v>720000</v>
      </c>
      <c r="I8" s="4">
        <f t="shared" si="1"/>
        <v>288000</v>
      </c>
      <c r="J8" s="4">
        <f t="shared" si="2"/>
        <v>251999.99999999997</v>
      </c>
      <c r="K8" s="4">
        <f t="shared" si="3"/>
        <v>144000</v>
      </c>
      <c r="L8" s="4">
        <f t="shared" si="4"/>
        <v>36000</v>
      </c>
      <c r="M8" s="5" t="s">
        <v>12</v>
      </c>
      <c r="N8" s="5" t="s">
        <v>12</v>
      </c>
      <c r="O8" s="5" t="s">
        <v>12</v>
      </c>
    </row>
    <row r="9" spans="3:15" ht="15" customHeight="1" thickBot="1" x14ac:dyDescent="0.35">
      <c r="C9" s="1" t="s">
        <v>11</v>
      </c>
      <c r="D9" s="10">
        <v>43112</v>
      </c>
      <c r="E9" s="5">
        <v>2018</v>
      </c>
      <c r="F9" s="4">
        <v>10000000</v>
      </c>
      <c r="G9" s="6">
        <f t="shared" si="0"/>
        <v>2.3333333333333335</v>
      </c>
      <c r="H9" s="4">
        <f t="shared" si="5"/>
        <v>2400000</v>
      </c>
      <c r="I9" s="4">
        <f t="shared" si="1"/>
        <v>960000</v>
      </c>
      <c r="J9" s="4">
        <f t="shared" si="2"/>
        <v>840000</v>
      </c>
      <c r="K9" s="4">
        <f t="shared" si="3"/>
        <v>480000</v>
      </c>
      <c r="L9" s="4">
        <f t="shared" si="4"/>
        <v>120000</v>
      </c>
      <c r="M9" s="5" t="s">
        <v>12</v>
      </c>
      <c r="N9" s="5" t="s">
        <v>12</v>
      </c>
      <c r="O9" s="5" t="s">
        <v>12</v>
      </c>
    </row>
    <row r="10" spans="3:15" ht="15" customHeight="1" thickBot="1" x14ac:dyDescent="0.35">
      <c r="C10" s="1" t="s">
        <v>11</v>
      </c>
      <c r="D10" s="10">
        <v>43477</v>
      </c>
      <c r="E10" s="5">
        <v>2019</v>
      </c>
      <c r="F10" s="4">
        <v>30000000</v>
      </c>
      <c r="G10" s="6">
        <f t="shared" si="0"/>
        <v>2</v>
      </c>
      <c r="H10" s="4">
        <f t="shared" si="5"/>
        <v>7200000</v>
      </c>
      <c r="I10" s="4">
        <f t="shared" si="1"/>
        <v>2880000</v>
      </c>
      <c r="J10" s="4">
        <f t="shared" si="2"/>
        <v>2520000</v>
      </c>
      <c r="K10" s="4">
        <f t="shared" si="3"/>
        <v>1440000</v>
      </c>
      <c r="L10" s="4">
        <f t="shared" si="4"/>
        <v>360000</v>
      </c>
      <c r="M10" s="5" t="s">
        <v>12</v>
      </c>
      <c r="N10" s="5" t="s">
        <v>12</v>
      </c>
      <c r="O10" s="5" t="s">
        <v>12</v>
      </c>
    </row>
    <row r="11" spans="3:15" ht="15" customHeight="1" thickBot="1" x14ac:dyDescent="0.35">
      <c r="C11" s="1" t="s">
        <v>13</v>
      </c>
      <c r="D11" s="10">
        <v>43842</v>
      </c>
      <c r="E11" s="5">
        <v>2020</v>
      </c>
      <c r="F11" s="4">
        <v>35000000</v>
      </c>
      <c r="G11" s="6">
        <f t="shared" si="0"/>
        <v>0.16666666666666666</v>
      </c>
      <c r="H11" s="4">
        <f t="shared" si="5"/>
        <v>8400000</v>
      </c>
      <c r="I11" s="4">
        <f t="shared" si="1"/>
        <v>3360000</v>
      </c>
      <c r="J11" s="4">
        <f t="shared" si="2"/>
        <v>2940000</v>
      </c>
      <c r="K11" s="4">
        <f t="shared" si="3"/>
        <v>1680000</v>
      </c>
      <c r="L11" s="4">
        <f t="shared" si="4"/>
        <v>420000</v>
      </c>
      <c r="M11" s="5" t="s">
        <v>12</v>
      </c>
      <c r="N11" s="5" t="s">
        <v>12</v>
      </c>
      <c r="O11" s="5" t="s">
        <v>12</v>
      </c>
    </row>
    <row r="12" spans="3:15" ht="15" customHeight="1" thickBot="1" x14ac:dyDescent="0.35">
      <c r="C12" s="11" t="s">
        <v>13</v>
      </c>
      <c r="D12" s="10">
        <v>44208</v>
      </c>
      <c r="E12" s="5">
        <v>2021</v>
      </c>
      <c r="F12" s="4">
        <v>29000000</v>
      </c>
      <c r="G12" s="12">
        <f t="shared" si="0"/>
        <v>-0.17142857142857143</v>
      </c>
      <c r="H12" s="4">
        <f t="shared" si="5"/>
        <v>6960000</v>
      </c>
      <c r="I12" s="4">
        <f t="shared" si="1"/>
        <v>2784000</v>
      </c>
      <c r="J12" s="4">
        <f t="shared" si="2"/>
        <v>2436000</v>
      </c>
      <c r="K12" s="4">
        <f t="shared" si="3"/>
        <v>1392000</v>
      </c>
      <c r="L12" s="4">
        <f t="shared" si="4"/>
        <v>348000</v>
      </c>
      <c r="M12" s="5" t="s">
        <v>12</v>
      </c>
      <c r="N12" s="5" t="s">
        <v>12</v>
      </c>
      <c r="O12" s="5" t="s">
        <v>12</v>
      </c>
    </row>
    <row r="13" spans="3:15" ht="15" customHeight="1" thickBot="1" x14ac:dyDescent="0.35">
      <c r="C13" s="1" t="s">
        <v>11</v>
      </c>
      <c r="D13" s="10">
        <v>44573</v>
      </c>
      <c r="E13" s="5">
        <v>2022</v>
      </c>
      <c r="F13" s="4">
        <v>45000000</v>
      </c>
      <c r="G13" s="6">
        <f t="shared" si="0"/>
        <v>0.55172413793103448</v>
      </c>
      <c r="H13" s="4">
        <f t="shared" si="5"/>
        <v>10800000</v>
      </c>
      <c r="I13" s="4">
        <f t="shared" si="1"/>
        <v>4320000</v>
      </c>
      <c r="J13" s="4">
        <f t="shared" si="2"/>
        <v>3779999.9999999995</v>
      </c>
      <c r="K13" s="4">
        <f t="shared" si="3"/>
        <v>2160000</v>
      </c>
      <c r="L13" s="4">
        <f t="shared" si="4"/>
        <v>540000</v>
      </c>
      <c r="M13" s="5" t="s">
        <v>12</v>
      </c>
      <c r="N13" s="5" t="s">
        <v>12</v>
      </c>
      <c r="O13" s="5" t="s">
        <v>12</v>
      </c>
    </row>
    <row r="14" spans="3:15" s="26" customFormat="1" ht="15" customHeight="1" thickBot="1" x14ac:dyDescent="0.35">
      <c r="C14" s="21" t="s">
        <v>14</v>
      </c>
      <c r="D14" s="22">
        <v>44938</v>
      </c>
      <c r="E14" s="23">
        <v>2023</v>
      </c>
      <c r="F14" s="24">
        <v>65010201</v>
      </c>
      <c r="G14" s="25">
        <f t="shared" si="0"/>
        <v>0.44467113333333336</v>
      </c>
      <c r="H14" s="24">
        <f t="shared" si="5"/>
        <v>15602448.24</v>
      </c>
      <c r="I14" s="24">
        <f t="shared" si="1"/>
        <v>6240979.2960000001</v>
      </c>
      <c r="J14" s="24">
        <f t="shared" si="2"/>
        <v>5460856.8839999996</v>
      </c>
      <c r="K14" s="24">
        <f t="shared" si="3"/>
        <v>3120489.648</v>
      </c>
      <c r="L14" s="24">
        <f t="shared" si="4"/>
        <v>780122.41200000001</v>
      </c>
      <c r="M14" s="23" t="s">
        <v>12</v>
      </c>
      <c r="N14" s="23" t="s">
        <v>12</v>
      </c>
      <c r="O14" s="23" t="s">
        <v>12</v>
      </c>
    </row>
    <row r="15" spans="3:15" ht="15" customHeight="1" thickBot="1" x14ac:dyDescent="0.35">
      <c r="C15" s="13" t="s">
        <v>14</v>
      </c>
      <c r="D15" s="10">
        <v>45303</v>
      </c>
      <c r="E15" s="5">
        <v>2024</v>
      </c>
      <c r="F15" s="14">
        <v>99010201</v>
      </c>
      <c r="G15" s="15">
        <f t="shared" si="0"/>
        <v>0.52299484507054517</v>
      </c>
      <c r="H15" s="4">
        <f t="shared" si="5"/>
        <v>23762448.239999998</v>
      </c>
      <c r="I15" s="4">
        <f t="shared" si="1"/>
        <v>9504979.2960000001</v>
      </c>
      <c r="J15" s="4">
        <f t="shared" si="2"/>
        <v>8316856.8839999987</v>
      </c>
      <c r="K15" s="4">
        <f t="shared" si="3"/>
        <v>4752489.648</v>
      </c>
      <c r="L15" s="4">
        <f t="shared" si="4"/>
        <v>1188122.412</v>
      </c>
      <c r="M15" s="5" t="s">
        <v>12</v>
      </c>
      <c r="N15" s="5" t="s">
        <v>12</v>
      </c>
      <c r="O15" s="5" t="s">
        <v>12</v>
      </c>
    </row>
    <row r="16" spans="3:15" ht="15" customHeight="1" thickBot="1" x14ac:dyDescent="0.35">
      <c r="C16" s="13" t="s">
        <v>14</v>
      </c>
      <c r="D16" s="10">
        <v>45669</v>
      </c>
      <c r="E16" s="5">
        <v>2025</v>
      </c>
      <c r="F16" s="14">
        <v>122000101</v>
      </c>
      <c r="G16" s="15">
        <f t="shared" si="0"/>
        <v>0.23219728641900242</v>
      </c>
      <c r="H16" s="4">
        <f t="shared" si="5"/>
        <v>29280024.239999998</v>
      </c>
      <c r="I16" s="4">
        <f t="shared" si="1"/>
        <v>11712009.696</v>
      </c>
      <c r="J16" s="4">
        <f t="shared" si="2"/>
        <v>10248008.483999999</v>
      </c>
      <c r="K16" s="4">
        <f t="shared" si="3"/>
        <v>5856004.8480000002</v>
      </c>
      <c r="L16" s="4">
        <f t="shared" si="4"/>
        <v>1464001.2120000001</v>
      </c>
      <c r="M16" s="5" t="s">
        <v>12</v>
      </c>
      <c r="N16" s="5" t="s">
        <v>12</v>
      </c>
      <c r="O16" s="5" t="s">
        <v>12</v>
      </c>
    </row>
    <row r="17" spans="3:18" ht="15" customHeight="1" thickBot="1" x14ac:dyDescent="0.35">
      <c r="C17" s="13" t="s">
        <v>14</v>
      </c>
      <c r="D17" s="10">
        <v>46034</v>
      </c>
      <c r="E17" s="5">
        <v>2026</v>
      </c>
      <c r="F17" s="14">
        <v>151329000</v>
      </c>
      <c r="G17" s="15">
        <f t="shared" si="0"/>
        <v>0.24040061245523067</v>
      </c>
      <c r="H17" s="4">
        <f t="shared" si="5"/>
        <v>36318960</v>
      </c>
      <c r="I17" s="4">
        <f t="shared" si="1"/>
        <v>14527584</v>
      </c>
      <c r="J17" s="4">
        <f t="shared" si="2"/>
        <v>12711636</v>
      </c>
      <c r="K17" s="4">
        <f t="shared" si="3"/>
        <v>7263792</v>
      </c>
      <c r="L17" s="4">
        <f t="shared" si="4"/>
        <v>1815948</v>
      </c>
      <c r="M17" s="5" t="s">
        <v>12</v>
      </c>
      <c r="N17" s="5" t="s">
        <v>12</v>
      </c>
      <c r="O17" s="5" t="s">
        <v>12</v>
      </c>
    </row>
    <row r="18" spans="3:18" ht="15" customHeight="1" thickBot="1" x14ac:dyDescent="0.35">
      <c r="C18" s="13" t="s">
        <v>14</v>
      </c>
      <c r="D18" s="10">
        <v>46399</v>
      </c>
      <c r="E18" s="5">
        <v>2027</v>
      </c>
      <c r="F18" s="14">
        <v>177329101</v>
      </c>
      <c r="G18" s="15">
        <f t="shared" si="0"/>
        <v>0.17181175452160524</v>
      </c>
      <c r="H18" s="4">
        <f t="shared" si="5"/>
        <v>42558984.240000002</v>
      </c>
      <c r="I18" s="4">
        <f t="shared" si="1"/>
        <v>17023593.696000002</v>
      </c>
      <c r="J18" s="4">
        <f t="shared" si="2"/>
        <v>14895644.483999999</v>
      </c>
      <c r="K18" s="4">
        <f t="shared" si="3"/>
        <v>8511796.8480000012</v>
      </c>
      <c r="L18" s="4">
        <f t="shared" si="4"/>
        <v>2127949.2120000003</v>
      </c>
      <c r="M18" s="5" t="s">
        <v>12</v>
      </c>
      <c r="N18" s="5" t="s">
        <v>12</v>
      </c>
      <c r="O18" s="5" t="s">
        <v>12</v>
      </c>
    </row>
    <row r="19" spans="3:18" ht="15" thickBot="1" x14ac:dyDescent="0.35">
      <c r="C19" s="13" t="s">
        <v>14</v>
      </c>
      <c r="D19" s="10">
        <v>46400</v>
      </c>
      <c r="E19" s="5">
        <v>2028</v>
      </c>
      <c r="F19" s="14">
        <v>198929101</v>
      </c>
      <c r="G19" s="15">
        <f t="shared" si="0"/>
        <v>0.12180741839998388</v>
      </c>
      <c r="H19" s="4">
        <f t="shared" ref="H19" si="6">F19*$H$3</f>
        <v>47742984.239999995</v>
      </c>
      <c r="I19" s="4">
        <f t="shared" ref="I19" si="7">H19*$I$3</f>
        <v>19097193.695999999</v>
      </c>
      <c r="J19" s="4">
        <f t="shared" ref="J19" si="8">H19*$J$3</f>
        <v>16710044.483999997</v>
      </c>
      <c r="K19" s="4">
        <f t="shared" ref="K19" si="9">H19*$K$3</f>
        <v>9548596.8479999993</v>
      </c>
      <c r="L19" s="4">
        <f t="shared" ref="L19" si="10">H19*$L$3</f>
        <v>2387149.2119999998</v>
      </c>
      <c r="M19" s="5" t="s">
        <v>12</v>
      </c>
      <c r="N19" s="5" t="s">
        <v>12</v>
      </c>
      <c r="O19" s="5" t="s">
        <v>12</v>
      </c>
    </row>
    <row r="20" spans="3:18" x14ac:dyDescent="0.3">
      <c r="L20" s="30">
        <v>0.1</v>
      </c>
      <c r="M20" s="30">
        <v>7.0000000000000007E-2</v>
      </c>
      <c r="N20" s="30">
        <v>0.04</v>
      </c>
      <c r="O20" s="30">
        <v>0.01</v>
      </c>
    </row>
    <row r="21" spans="3:18" x14ac:dyDescent="0.3">
      <c r="I21">
        <v>6240979.2960000001</v>
      </c>
      <c r="J21">
        <v>5460856.8839999996</v>
      </c>
      <c r="K21">
        <v>3120489.648</v>
      </c>
      <c r="L21" s="20">
        <f>$H$14*L$20</f>
        <v>1560244.824</v>
      </c>
      <c r="M21" s="20">
        <f>$H$14*M$20</f>
        <v>1092171.3768000002</v>
      </c>
      <c r="N21" s="20">
        <f>$H$14*N$20</f>
        <v>624097.92960000003</v>
      </c>
      <c r="O21" s="20">
        <f>$H$14*O$20</f>
        <v>156024.48240000001</v>
      </c>
      <c r="R21" s="31"/>
    </row>
    <row r="23" spans="3:18" x14ac:dyDescent="0.3">
      <c r="G23" t="s">
        <v>20</v>
      </c>
      <c r="H23" s="16">
        <f>SUM(I21:O21)</f>
        <v>18254864.4408</v>
      </c>
      <c r="I23">
        <f t="shared" ref="I23:O23" si="11">(I$21/$H$23)*100</f>
        <v>34.188034188034187</v>
      </c>
      <c r="J23">
        <f t="shared" si="11"/>
        <v>29.914529914529915</v>
      </c>
      <c r="K23">
        <f t="shared" si="11"/>
        <v>17.094017094017094</v>
      </c>
      <c r="L23">
        <f t="shared" si="11"/>
        <v>8.5470085470085468</v>
      </c>
      <c r="M23">
        <f t="shared" si="11"/>
        <v>5.9829059829059839</v>
      </c>
      <c r="N23">
        <f t="shared" si="11"/>
        <v>3.4188034188034191</v>
      </c>
      <c r="O23">
        <f t="shared" si="11"/>
        <v>0.85470085470085477</v>
      </c>
    </row>
    <row r="25" spans="3:18" x14ac:dyDescent="0.3">
      <c r="H25" s="36"/>
      <c r="I25" s="37">
        <f>I21+M21+N21+O21</f>
        <v>8113273.0848000012</v>
      </c>
      <c r="J25" s="37">
        <f>J21+(L21-L14)</f>
        <v>6240979.2960000001</v>
      </c>
      <c r="K25" s="36">
        <f>K21</f>
        <v>3120489.648</v>
      </c>
      <c r="L25" s="38">
        <f>L14</f>
        <v>780122.41200000001</v>
      </c>
      <c r="M25" s="36"/>
      <c r="N25" s="36"/>
      <c r="O25" s="36"/>
    </row>
    <row r="26" spans="3:18" x14ac:dyDescent="0.3">
      <c r="H26" s="37">
        <f>SUM(I25:L25)</f>
        <v>18254864.440800004</v>
      </c>
      <c r="I26" s="36">
        <f>(I25/$H$26)*100</f>
        <v>44.444444444444443</v>
      </c>
      <c r="J26" s="36">
        <f t="shared" ref="J26:K26" si="12">(J25/$H$26)*100</f>
        <v>34.18803418803418</v>
      </c>
      <c r="K26" s="36">
        <f t="shared" si="12"/>
        <v>17.09401709401709</v>
      </c>
      <c r="L26" s="36">
        <f>(L25/$H$26)*100</f>
        <v>4.2735042735042725</v>
      </c>
      <c r="M26" s="36"/>
      <c r="N26" s="36"/>
      <c r="O26" s="36"/>
    </row>
    <row r="28" spans="3:18" x14ac:dyDescent="0.3">
      <c r="D28" t="s">
        <v>21</v>
      </c>
      <c r="H28" s="18">
        <f>H23-H14</f>
        <v>2652416.2007999998</v>
      </c>
    </row>
    <row r="29" spans="3:18" x14ac:dyDescent="0.3">
      <c r="D29" t="s">
        <v>25</v>
      </c>
      <c r="H29" s="18">
        <f>(H23-H14)/H14</f>
        <v>0.16999999999999998</v>
      </c>
    </row>
    <row r="30" spans="3:18" x14ac:dyDescent="0.3">
      <c r="D30" t="s">
        <v>22</v>
      </c>
      <c r="H30">
        <f>H44/F44</f>
        <v>0.26979246733282092</v>
      </c>
      <c r="P30" t="s">
        <v>6</v>
      </c>
    </row>
    <row r="32" spans="3:18" ht="15" thickBot="1" x14ac:dyDescent="0.35"/>
    <row r="33" spans="3:17" ht="15" thickBot="1" x14ac:dyDescent="0.35">
      <c r="C33" s="7"/>
      <c r="D33" s="8"/>
      <c r="E33" s="8"/>
      <c r="F33" s="8"/>
      <c r="G33" s="8"/>
      <c r="H33" s="9"/>
      <c r="I33" s="9">
        <v>0.34</v>
      </c>
      <c r="J33" s="9">
        <v>0.3</v>
      </c>
      <c r="K33" s="9">
        <v>0.17</v>
      </c>
      <c r="L33" s="9">
        <v>0.08</v>
      </c>
      <c r="M33" s="9">
        <v>0.06</v>
      </c>
      <c r="N33" s="9">
        <v>0.04</v>
      </c>
      <c r="O33" s="9">
        <v>0.01</v>
      </c>
      <c r="Q33" s="2"/>
    </row>
    <row r="34" spans="3:17" ht="15" thickBot="1" x14ac:dyDescent="0.35">
      <c r="C34" s="1" t="s">
        <v>7</v>
      </c>
      <c r="D34" s="3"/>
      <c r="E34" s="3"/>
      <c r="F34" s="3"/>
      <c r="G34" s="3" t="s">
        <v>8</v>
      </c>
      <c r="H34" s="3" t="s">
        <v>9</v>
      </c>
      <c r="I34" s="3" t="s">
        <v>10</v>
      </c>
      <c r="J34" s="5">
        <v>4</v>
      </c>
      <c r="K34" s="5">
        <v>5</v>
      </c>
      <c r="L34" s="5">
        <v>6</v>
      </c>
      <c r="M34" s="5">
        <v>7</v>
      </c>
      <c r="N34" s="5">
        <v>8</v>
      </c>
      <c r="O34" s="5">
        <v>9</v>
      </c>
    </row>
    <row r="35" spans="3:17" ht="15" thickBot="1" x14ac:dyDescent="0.35">
      <c r="C35" s="1" t="s">
        <v>13</v>
      </c>
      <c r="D35" s="10">
        <v>41651</v>
      </c>
      <c r="E35" s="5">
        <v>2014</v>
      </c>
      <c r="F35" s="4">
        <v>100000</v>
      </c>
      <c r="G35" s="3"/>
      <c r="H35" s="4">
        <v>100000</v>
      </c>
      <c r="I35" s="4">
        <f>H35*$I$3</f>
        <v>40000</v>
      </c>
      <c r="J35" s="4">
        <f>H35*$J$3</f>
        <v>35000</v>
      </c>
      <c r="K35" s="4">
        <f>H35*$K$3</f>
        <v>20000</v>
      </c>
      <c r="L35" s="4">
        <f>H35*$L$3</f>
        <v>5000</v>
      </c>
      <c r="M35" s="5" t="s">
        <v>12</v>
      </c>
      <c r="N35" s="5" t="s">
        <v>12</v>
      </c>
      <c r="O35" s="5" t="s">
        <v>12</v>
      </c>
    </row>
    <row r="36" spans="3:17" ht="15" thickBot="1" x14ac:dyDescent="0.35">
      <c r="C36" s="1" t="s">
        <v>11</v>
      </c>
      <c r="D36" s="10">
        <v>42016</v>
      </c>
      <c r="E36" s="5">
        <v>2015</v>
      </c>
      <c r="F36" s="4">
        <v>1000000</v>
      </c>
      <c r="G36" s="6">
        <f t="shared" ref="G36:G49" si="13">(F36-F35)/F35</f>
        <v>9</v>
      </c>
      <c r="H36" s="4">
        <f>F36*$H$3</f>
        <v>240000</v>
      </c>
      <c r="I36" s="4">
        <f t="shared" ref="I36:I43" si="14">H36*$I$3</f>
        <v>96000</v>
      </c>
      <c r="J36" s="4">
        <f t="shared" ref="J36:J43" si="15">H36*$J$3</f>
        <v>84000</v>
      </c>
      <c r="K36" s="4">
        <f t="shared" ref="K36:K43" si="16">H36*$K$3</f>
        <v>48000</v>
      </c>
      <c r="L36" s="4">
        <f t="shared" ref="L36:L43" si="17">H36*$L$3</f>
        <v>12000</v>
      </c>
      <c r="M36" s="5" t="s">
        <v>12</v>
      </c>
      <c r="N36" s="5" t="s">
        <v>12</v>
      </c>
      <c r="O36" s="5" t="s">
        <v>12</v>
      </c>
    </row>
    <row r="37" spans="3:17" ht="15" thickBot="1" x14ac:dyDescent="0.35">
      <c r="C37" s="1" t="s">
        <v>13</v>
      </c>
      <c r="D37" s="10">
        <v>42381</v>
      </c>
      <c r="E37" s="5">
        <v>2016</v>
      </c>
      <c r="F37" s="4">
        <v>2000000</v>
      </c>
      <c r="G37" s="6">
        <f t="shared" si="13"/>
        <v>1</v>
      </c>
      <c r="H37" s="4">
        <f t="shared" ref="H37:H43" si="18">F37*$H$3</f>
        <v>480000</v>
      </c>
      <c r="I37" s="4">
        <f t="shared" si="14"/>
        <v>192000</v>
      </c>
      <c r="J37" s="4">
        <f t="shared" si="15"/>
        <v>168000</v>
      </c>
      <c r="K37" s="4">
        <f t="shared" si="16"/>
        <v>96000</v>
      </c>
      <c r="L37" s="4">
        <f t="shared" si="17"/>
        <v>24000</v>
      </c>
      <c r="M37" s="5" t="s">
        <v>12</v>
      </c>
      <c r="N37" s="5" t="s">
        <v>12</v>
      </c>
      <c r="O37" s="5" t="s">
        <v>12</v>
      </c>
    </row>
    <row r="38" spans="3:17" ht="15" thickBot="1" x14ac:dyDescent="0.35">
      <c r="C38" s="1" t="s">
        <v>11</v>
      </c>
      <c r="D38" s="10">
        <v>42747</v>
      </c>
      <c r="E38" s="5">
        <v>2017</v>
      </c>
      <c r="F38" s="4">
        <v>3000000</v>
      </c>
      <c r="G38" s="6">
        <f t="shared" si="13"/>
        <v>0.5</v>
      </c>
      <c r="H38" s="4">
        <f t="shared" si="18"/>
        <v>720000</v>
      </c>
      <c r="I38" s="4">
        <f t="shared" si="14"/>
        <v>288000</v>
      </c>
      <c r="J38" s="4">
        <f t="shared" si="15"/>
        <v>251999.99999999997</v>
      </c>
      <c r="K38" s="4">
        <f t="shared" si="16"/>
        <v>144000</v>
      </c>
      <c r="L38" s="4">
        <f t="shared" si="17"/>
        <v>36000</v>
      </c>
      <c r="M38" s="5" t="s">
        <v>12</v>
      </c>
      <c r="N38" s="5" t="s">
        <v>12</v>
      </c>
      <c r="O38" s="5" t="s">
        <v>12</v>
      </c>
    </row>
    <row r="39" spans="3:17" ht="15" thickBot="1" x14ac:dyDescent="0.35">
      <c r="C39" s="1" t="s">
        <v>11</v>
      </c>
      <c r="D39" s="10">
        <v>43112</v>
      </c>
      <c r="E39" s="5">
        <v>2018</v>
      </c>
      <c r="F39" s="4">
        <v>10000000</v>
      </c>
      <c r="G39" s="6">
        <f t="shared" si="13"/>
        <v>2.3333333333333335</v>
      </c>
      <c r="H39" s="4">
        <f t="shared" si="18"/>
        <v>2400000</v>
      </c>
      <c r="I39" s="4">
        <f t="shared" si="14"/>
        <v>960000</v>
      </c>
      <c r="J39" s="4">
        <f t="shared" si="15"/>
        <v>840000</v>
      </c>
      <c r="K39" s="4">
        <f t="shared" si="16"/>
        <v>480000</v>
      </c>
      <c r="L39" s="4">
        <f t="shared" si="17"/>
        <v>120000</v>
      </c>
      <c r="M39" s="5" t="s">
        <v>12</v>
      </c>
      <c r="N39" s="5" t="s">
        <v>12</v>
      </c>
      <c r="O39" s="5" t="s">
        <v>12</v>
      </c>
    </row>
    <row r="40" spans="3:17" ht="15" thickBot="1" x14ac:dyDescent="0.35">
      <c r="C40" s="1" t="s">
        <v>11</v>
      </c>
      <c r="D40" s="10">
        <v>43477</v>
      </c>
      <c r="E40" s="5">
        <v>2019</v>
      </c>
      <c r="F40" s="4">
        <v>30000000</v>
      </c>
      <c r="G40" s="6">
        <f t="shared" si="13"/>
        <v>2</v>
      </c>
      <c r="H40" s="4">
        <f t="shared" si="18"/>
        <v>7200000</v>
      </c>
      <c r="I40" s="4">
        <f t="shared" si="14"/>
        <v>2880000</v>
      </c>
      <c r="J40" s="4">
        <f t="shared" si="15"/>
        <v>2520000</v>
      </c>
      <c r="K40" s="4">
        <f t="shared" si="16"/>
        <v>1440000</v>
      </c>
      <c r="L40" s="4">
        <f t="shared" si="17"/>
        <v>360000</v>
      </c>
      <c r="M40" s="5" t="s">
        <v>12</v>
      </c>
      <c r="N40" s="5" t="s">
        <v>12</v>
      </c>
      <c r="O40" s="5" t="s">
        <v>12</v>
      </c>
    </row>
    <row r="41" spans="3:17" ht="15" thickBot="1" x14ac:dyDescent="0.35">
      <c r="C41" s="1" t="s">
        <v>13</v>
      </c>
      <c r="D41" s="10">
        <v>43842</v>
      </c>
      <c r="E41" s="5">
        <v>2020</v>
      </c>
      <c r="F41" s="4">
        <v>35000000</v>
      </c>
      <c r="G41" s="6">
        <f t="shared" si="13"/>
        <v>0.16666666666666666</v>
      </c>
      <c r="H41" s="4">
        <f t="shared" si="18"/>
        <v>8400000</v>
      </c>
      <c r="I41" s="4">
        <f t="shared" si="14"/>
        <v>3360000</v>
      </c>
      <c r="J41" s="4">
        <f t="shared" si="15"/>
        <v>2940000</v>
      </c>
      <c r="K41" s="4">
        <f t="shared" si="16"/>
        <v>1680000</v>
      </c>
      <c r="L41" s="4">
        <f t="shared" si="17"/>
        <v>420000</v>
      </c>
      <c r="M41" s="5" t="s">
        <v>12</v>
      </c>
      <c r="N41" s="5" t="s">
        <v>12</v>
      </c>
      <c r="O41" s="5" t="s">
        <v>12</v>
      </c>
    </row>
    <row r="42" spans="3:17" ht="15" thickBot="1" x14ac:dyDescent="0.35">
      <c r="C42" s="11" t="s">
        <v>13</v>
      </c>
      <c r="D42" s="10">
        <v>44208</v>
      </c>
      <c r="E42" s="5">
        <v>2021</v>
      </c>
      <c r="F42" s="4">
        <v>29000000</v>
      </c>
      <c r="G42" s="12">
        <f t="shared" si="13"/>
        <v>-0.17142857142857143</v>
      </c>
      <c r="H42" s="4">
        <f t="shared" si="18"/>
        <v>6960000</v>
      </c>
      <c r="I42" s="4">
        <f t="shared" si="14"/>
        <v>2784000</v>
      </c>
      <c r="J42" s="4">
        <f t="shared" si="15"/>
        <v>2436000</v>
      </c>
      <c r="K42" s="4">
        <f t="shared" si="16"/>
        <v>1392000</v>
      </c>
      <c r="L42" s="4">
        <f t="shared" si="17"/>
        <v>348000</v>
      </c>
      <c r="M42" s="5" t="s">
        <v>12</v>
      </c>
      <c r="N42" s="5" t="s">
        <v>12</v>
      </c>
      <c r="O42" s="5" t="s">
        <v>12</v>
      </c>
    </row>
    <row r="43" spans="3:17" ht="15" thickBot="1" x14ac:dyDescent="0.35">
      <c r="C43" s="1" t="s">
        <v>11</v>
      </c>
      <c r="D43" s="10">
        <v>44573</v>
      </c>
      <c r="E43" s="5">
        <v>2022</v>
      </c>
      <c r="F43" s="4">
        <v>45000000</v>
      </c>
      <c r="G43" s="6">
        <f t="shared" si="13"/>
        <v>0.55172413793103448</v>
      </c>
      <c r="H43" s="4">
        <f t="shared" si="18"/>
        <v>10800000</v>
      </c>
      <c r="I43" s="4">
        <f t="shared" si="14"/>
        <v>4320000</v>
      </c>
      <c r="J43" s="4">
        <f t="shared" si="15"/>
        <v>3779999.9999999995</v>
      </c>
      <c r="K43" s="4">
        <f t="shared" si="16"/>
        <v>2160000</v>
      </c>
      <c r="L43" s="4">
        <f t="shared" si="17"/>
        <v>540000</v>
      </c>
      <c r="M43" s="5" t="s">
        <v>12</v>
      </c>
      <c r="N43" s="5" t="s">
        <v>12</v>
      </c>
      <c r="O43" s="5" t="s">
        <v>12</v>
      </c>
    </row>
    <row r="44" spans="3:17" s="26" customFormat="1" ht="15" thickBot="1" x14ac:dyDescent="0.35">
      <c r="C44" s="21" t="s">
        <v>14</v>
      </c>
      <c r="D44" s="22">
        <v>44938</v>
      </c>
      <c r="E44" s="23">
        <v>2023</v>
      </c>
      <c r="F44" s="24">
        <f>H28+F14</f>
        <v>67662617.200800002</v>
      </c>
      <c r="G44" s="25">
        <f t="shared" si="13"/>
        <v>0.50361371557333334</v>
      </c>
      <c r="H44" s="24">
        <v>18254864.4408</v>
      </c>
      <c r="I44" s="24">
        <f>$H44*I$33</f>
        <v>6206653.9098720001</v>
      </c>
      <c r="J44" s="24">
        <f t="shared" ref="J44:O49" si="19">$H44*J$33</f>
        <v>5476459.3322399994</v>
      </c>
      <c r="K44" s="24">
        <f t="shared" si="19"/>
        <v>3103326.9549360001</v>
      </c>
      <c r="L44" s="24">
        <f t="shared" si="19"/>
        <v>1460389.1552639999</v>
      </c>
      <c r="M44" s="24">
        <f t="shared" si="19"/>
        <v>1095291.8664480001</v>
      </c>
      <c r="N44" s="24">
        <f t="shared" si="19"/>
        <v>730194.57763199997</v>
      </c>
      <c r="O44" s="24">
        <f t="shared" si="19"/>
        <v>182548.64440799999</v>
      </c>
      <c r="Q44" s="40">
        <f>(H44-H14)/H14</f>
        <v>0.16999999999999998</v>
      </c>
    </row>
    <row r="45" spans="3:17" ht="15" thickBot="1" x14ac:dyDescent="0.35">
      <c r="C45" s="13" t="s">
        <v>14</v>
      </c>
      <c r="D45" s="10">
        <v>45303</v>
      </c>
      <c r="E45" s="5">
        <v>2024</v>
      </c>
      <c r="F45" s="14">
        <v>98997489</v>
      </c>
      <c r="G45" s="15">
        <f t="shared" si="13"/>
        <v>0.46310463732445623</v>
      </c>
      <c r="H45" s="4">
        <f t="shared" ref="H45:H47" si="20">H46/(1+G46)</f>
        <v>26844659.326104946</v>
      </c>
      <c r="I45" s="4">
        <f t="shared" ref="I45:I49" si="21">$H45*I$33</f>
        <v>9127184.1708756816</v>
      </c>
      <c r="J45" s="4">
        <f t="shared" si="19"/>
        <v>8053397.7978314832</v>
      </c>
      <c r="K45" s="4">
        <f t="shared" si="19"/>
        <v>4563592.0854378408</v>
      </c>
      <c r="L45" s="4">
        <f t="shared" si="19"/>
        <v>2147572.7460883958</v>
      </c>
      <c r="M45" s="4">
        <f t="shared" si="19"/>
        <v>1610679.5595662966</v>
      </c>
      <c r="N45" s="4">
        <f t="shared" si="19"/>
        <v>1073786.3730441979</v>
      </c>
      <c r="O45" s="4">
        <f t="shared" si="19"/>
        <v>268446.59326104948</v>
      </c>
      <c r="Q45" s="40">
        <f t="shared" ref="Q45:Q49" si="22">(H45-H15)/H15</f>
        <v>0.12970932350802875</v>
      </c>
    </row>
    <row r="46" spans="3:17" ht="15" thickBot="1" x14ac:dyDescent="0.35">
      <c r="C46" s="13" t="s">
        <v>14</v>
      </c>
      <c r="D46" s="10">
        <v>45669</v>
      </c>
      <c r="E46" s="5">
        <v>2025</v>
      </c>
      <c r="F46" s="14">
        <v>124497087</v>
      </c>
      <c r="G46" s="15">
        <f t="shared" si="13"/>
        <v>0.25757823009026015</v>
      </c>
      <c r="H46" s="4">
        <f t="shared" si="20"/>
        <v>33759259.162699059</v>
      </c>
      <c r="I46" s="4">
        <f t="shared" si="21"/>
        <v>11478148.11531768</v>
      </c>
      <c r="J46" s="4">
        <f t="shared" si="19"/>
        <v>10127777.748809718</v>
      </c>
      <c r="K46" s="4">
        <f t="shared" si="19"/>
        <v>5739074.05765884</v>
      </c>
      <c r="L46" s="4">
        <f t="shared" si="19"/>
        <v>2700740.7330159247</v>
      </c>
      <c r="M46" s="4">
        <f t="shared" si="19"/>
        <v>2025555.5497619435</v>
      </c>
      <c r="N46" s="4">
        <f t="shared" si="19"/>
        <v>1350370.3665079623</v>
      </c>
      <c r="O46" s="4">
        <f t="shared" si="19"/>
        <v>337592.59162699059</v>
      </c>
      <c r="Q46" s="40">
        <f t="shared" si="22"/>
        <v>0.15297920814491309</v>
      </c>
    </row>
    <row r="47" spans="3:17" ht="15" thickBot="1" x14ac:dyDescent="0.35">
      <c r="C47" s="13" t="s">
        <v>14</v>
      </c>
      <c r="D47" s="10">
        <v>46034</v>
      </c>
      <c r="E47" s="5">
        <v>2026</v>
      </c>
      <c r="F47" s="14">
        <v>157046795</v>
      </c>
      <c r="G47" s="15">
        <f t="shared" si="13"/>
        <v>0.26144955504059303</v>
      </c>
      <c r="H47" s="4">
        <f t="shared" si="20"/>
        <v>42585602.449286796</v>
      </c>
      <c r="I47" s="4">
        <f t="shared" si="21"/>
        <v>14479104.832757512</v>
      </c>
      <c r="J47" s="4">
        <f t="shared" si="19"/>
        <v>12775680.734786039</v>
      </c>
      <c r="K47" s="4">
        <f t="shared" si="19"/>
        <v>7239552.4163787561</v>
      </c>
      <c r="L47" s="4">
        <f t="shared" si="19"/>
        <v>3406848.1959429439</v>
      </c>
      <c r="M47" s="4">
        <f t="shared" si="19"/>
        <v>2555136.1469572075</v>
      </c>
      <c r="N47" s="4">
        <f t="shared" si="19"/>
        <v>1703424.097971472</v>
      </c>
      <c r="O47" s="4">
        <f t="shared" si="19"/>
        <v>425856.02449286799</v>
      </c>
      <c r="Q47" s="40">
        <f t="shared" si="22"/>
        <v>0.17254465571940375</v>
      </c>
    </row>
    <row r="48" spans="3:17" ht="15" thickBot="1" x14ac:dyDescent="0.35">
      <c r="C48" s="13" t="s">
        <v>14</v>
      </c>
      <c r="D48" s="10">
        <v>46399</v>
      </c>
      <c r="E48" s="5">
        <v>2027</v>
      </c>
      <c r="F48" s="14">
        <v>185510282</v>
      </c>
      <c r="G48" s="15">
        <f t="shared" si="13"/>
        <v>0.18124207501337419</v>
      </c>
      <c r="H48" s="4">
        <f>H49/(1+G49)</f>
        <v>50303905.402890168</v>
      </c>
      <c r="I48" s="4">
        <f t="shared" si="21"/>
        <v>17103327.83698266</v>
      </c>
      <c r="J48" s="4">
        <f t="shared" si="19"/>
        <v>15091171.620867049</v>
      </c>
      <c r="K48" s="4">
        <f t="shared" si="19"/>
        <v>8551663.91849133</v>
      </c>
      <c r="L48" s="4">
        <f t="shared" si="19"/>
        <v>4024312.4322312134</v>
      </c>
      <c r="M48" s="4">
        <f t="shared" si="19"/>
        <v>3018234.32417341</v>
      </c>
      <c r="N48" s="4">
        <f t="shared" si="19"/>
        <v>2012156.2161156067</v>
      </c>
      <c r="O48" s="4">
        <f t="shared" si="19"/>
        <v>503039.05402890168</v>
      </c>
      <c r="Q48" s="40">
        <f t="shared" si="22"/>
        <v>0.18198087433700852</v>
      </c>
    </row>
    <row r="49" spans="3:17" ht="15" thickBot="1" x14ac:dyDescent="0.35">
      <c r="C49" s="13" t="s">
        <v>14</v>
      </c>
      <c r="D49" s="10">
        <v>46765</v>
      </c>
      <c r="E49" s="5">
        <v>2028</v>
      </c>
      <c r="F49" s="14">
        <v>206000030</v>
      </c>
      <c r="G49" s="15">
        <f t="shared" si="13"/>
        <v>0.11045074040693874</v>
      </c>
      <c r="H49" s="4">
        <v>55860009</v>
      </c>
      <c r="I49" s="4">
        <f t="shared" si="21"/>
        <v>18992403.060000002</v>
      </c>
      <c r="J49" s="4">
        <f t="shared" si="19"/>
        <v>16758002.699999999</v>
      </c>
      <c r="K49" s="4">
        <f t="shared" si="19"/>
        <v>9496201.5300000012</v>
      </c>
      <c r="L49" s="4">
        <f t="shared" si="19"/>
        <v>4468800.72</v>
      </c>
      <c r="M49" s="4">
        <f t="shared" si="19"/>
        <v>3351600.54</v>
      </c>
      <c r="N49" s="4">
        <f t="shared" si="19"/>
        <v>2234400.36</v>
      </c>
      <c r="O49" s="4">
        <f t="shared" si="19"/>
        <v>558600.09</v>
      </c>
      <c r="Q49" s="40">
        <f t="shared" si="22"/>
        <v>0.17001502711259942</v>
      </c>
    </row>
    <row r="50" spans="3:17" x14ac:dyDescent="0.3">
      <c r="L50" s="20"/>
      <c r="M50" s="20"/>
      <c r="N50" s="20"/>
      <c r="O50" s="20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B474D-0470-4E78-8D3F-0D188E56D6AB}">
  <dimension ref="B1:I55"/>
  <sheetViews>
    <sheetView topLeftCell="C41" workbookViewId="0">
      <selection activeCell="E62" sqref="E62"/>
    </sheetView>
  </sheetViews>
  <sheetFormatPr defaultRowHeight="14.4" x14ac:dyDescent="0.3"/>
  <cols>
    <col min="2" max="2" width="22.6640625" bestFit="1" customWidth="1"/>
    <col min="3" max="3" width="36" bestFit="1" customWidth="1"/>
    <col min="4" max="4" width="33.88671875" bestFit="1" customWidth="1"/>
    <col min="5" max="5" width="42.44140625" bestFit="1" customWidth="1"/>
    <col min="6" max="6" width="17.44140625" bestFit="1" customWidth="1"/>
    <col min="7" max="7" width="24.77734375" bestFit="1" customWidth="1"/>
    <col min="8" max="8" width="22.77734375" bestFit="1" customWidth="1"/>
  </cols>
  <sheetData>
    <row r="1" spans="2:8" x14ac:dyDescent="0.3">
      <c r="B1" t="s">
        <v>68</v>
      </c>
    </row>
    <row r="2" spans="2:8" x14ac:dyDescent="0.3">
      <c r="G2" t="s">
        <v>246</v>
      </c>
      <c r="H2">
        <v>100</v>
      </c>
    </row>
    <row r="3" spans="2:8" x14ac:dyDescent="0.3">
      <c r="B3" s="32" t="s">
        <v>28</v>
      </c>
      <c r="C3" s="33"/>
      <c r="D3" s="33" t="s">
        <v>242</v>
      </c>
      <c r="E3" s="33" t="s">
        <v>215</v>
      </c>
      <c r="F3" s="105" t="s">
        <v>243</v>
      </c>
      <c r="G3" s="105" t="s">
        <v>244</v>
      </c>
      <c r="H3" s="105" t="s">
        <v>245</v>
      </c>
    </row>
    <row r="4" spans="2:8" x14ac:dyDescent="0.3">
      <c r="B4">
        <v>3</v>
      </c>
      <c r="C4" s="99">
        <v>0.45</v>
      </c>
      <c r="D4" s="34">
        <v>45</v>
      </c>
      <c r="E4" s="33">
        <f>E16</f>
        <v>25</v>
      </c>
      <c r="F4">
        <f>B4*$H$4</f>
        <v>6</v>
      </c>
      <c r="G4" t="s">
        <v>247</v>
      </c>
      <c r="H4">
        <v>2</v>
      </c>
    </row>
    <row r="5" spans="2:8" x14ac:dyDescent="0.3">
      <c r="B5">
        <v>4</v>
      </c>
      <c r="C5" s="99">
        <v>0.34</v>
      </c>
      <c r="D5" s="33">
        <v>55</v>
      </c>
      <c r="E5" s="33">
        <f>$E$16+$E$17</f>
        <v>50</v>
      </c>
      <c r="F5">
        <f t="shared" ref="F5:F7" si="0">B5*$H$4</f>
        <v>8</v>
      </c>
    </row>
    <row r="6" spans="2:8" x14ac:dyDescent="0.3">
      <c r="B6">
        <v>5</v>
      </c>
      <c r="C6" s="99">
        <v>0.17</v>
      </c>
      <c r="D6" s="33">
        <v>65</v>
      </c>
      <c r="E6" s="33">
        <f t="shared" ref="E6:E7" si="1">$E$16+$E$17</f>
        <v>50</v>
      </c>
      <c r="F6">
        <f t="shared" si="0"/>
        <v>10</v>
      </c>
    </row>
    <row r="7" spans="2:8" x14ac:dyDescent="0.3">
      <c r="B7">
        <v>6</v>
      </c>
      <c r="C7" s="99">
        <v>0.04</v>
      </c>
      <c r="D7" s="33">
        <v>75</v>
      </c>
      <c r="E7" s="33">
        <f t="shared" si="1"/>
        <v>50</v>
      </c>
      <c r="F7">
        <f t="shared" si="0"/>
        <v>12</v>
      </c>
    </row>
    <row r="8" spans="2:8" x14ac:dyDescent="0.3">
      <c r="B8">
        <v>7</v>
      </c>
      <c r="C8" s="99">
        <v>0</v>
      </c>
      <c r="D8" s="33"/>
      <c r="E8" s="33"/>
    </row>
    <row r="9" spans="2:8" x14ac:dyDescent="0.3">
      <c r="B9">
        <v>8</v>
      </c>
      <c r="C9" s="99">
        <v>0</v>
      </c>
      <c r="D9" s="33"/>
      <c r="E9" s="33"/>
    </row>
    <row r="10" spans="2:8" x14ac:dyDescent="0.3">
      <c r="B10">
        <v>9</v>
      </c>
      <c r="C10" s="99">
        <v>0</v>
      </c>
      <c r="D10" s="33"/>
      <c r="E10" s="33"/>
    </row>
    <row r="11" spans="2:8" x14ac:dyDescent="0.3">
      <c r="B11" s="33" t="s">
        <v>29</v>
      </c>
      <c r="C11" s="35">
        <f>SUM(C4:C10)</f>
        <v>1</v>
      </c>
      <c r="D11" s="33">
        <f>SUMPRODUCT($C$4:$C$7,$D$4:$D$7)</f>
        <v>53</v>
      </c>
      <c r="E11" s="33">
        <f>SUMPRODUCT($C$4:$C$7,$E$4:$E$7)</f>
        <v>38.75</v>
      </c>
      <c r="F11">
        <f>SUMPRODUCT(F4:F7,C4:C7)</f>
        <v>7.6</v>
      </c>
    </row>
    <row r="14" spans="2:8" ht="15" thickBot="1" x14ac:dyDescent="0.35"/>
    <row r="15" spans="2:8" ht="15" thickBot="1" x14ac:dyDescent="0.35">
      <c r="D15" s="47" t="s">
        <v>62</v>
      </c>
      <c r="E15" s="47" t="s">
        <v>63</v>
      </c>
    </row>
    <row r="16" spans="2:8" ht="15" thickBot="1" x14ac:dyDescent="0.35">
      <c r="D16" s="1" t="s">
        <v>64</v>
      </c>
      <c r="E16" s="47">
        <v>25</v>
      </c>
    </row>
    <row r="17" spans="2:6" ht="15" thickBot="1" x14ac:dyDescent="0.35">
      <c r="D17" s="47" t="s">
        <v>65</v>
      </c>
      <c r="E17" s="47">
        <v>25</v>
      </c>
    </row>
    <row r="25" spans="2:6" x14ac:dyDescent="0.3">
      <c r="B25" t="s">
        <v>69</v>
      </c>
    </row>
    <row r="27" spans="2:6" x14ac:dyDescent="0.3">
      <c r="B27" s="32" t="s">
        <v>28</v>
      </c>
      <c r="C27" s="33"/>
      <c r="D27" s="33" t="s">
        <v>242</v>
      </c>
      <c r="E27" s="33" t="s">
        <v>215</v>
      </c>
      <c r="F27" s="105" t="s">
        <v>243</v>
      </c>
    </row>
    <row r="28" spans="2:6" x14ac:dyDescent="0.3">
      <c r="B28">
        <v>3</v>
      </c>
      <c r="C28" s="99">
        <v>0.4</v>
      </c>
      <c r="D28" s="34">
        <v>45</v>
      </c>
      <c r="E28" s="33">
        <v>35</v>
      </c>
      <c r="F28">
        <f>B28*$H$4</f>
        <v>6</v>
      </c>
    </row>
    <row r="29" spans="2:6" x14ac:dyDescent="0.3">
      <c r="B29">
        <v>4</v>
      </c>
      <c r="C29" s="99">
        <v>0.35</v>
      </c>
      <c r="D29" s="33">
        <v>55</v>
      </c>
      <c r="E29" s="33">
        <f>$E$16+$E$17</f>
        <v>50</v>
      </c>
      <c r="F29">
        <f t="shared" ref="F29:F31" si="2">B29*$H$4</f>
        <v>8</v>
      </c>
    </row>
    <row r="30" spans="2:6" x14ac:dyDescent="0.3">
      <c r="B30">
        <v>5</v>
      </c>
      <c r="C30" s="99">
        <v>0.2</v>
      </c>
      <c r="D30" s="33">
        <v>65</v>
      </c>
      <c r="E30" s="33">
        <f t="shared" ref="E30:E31" si="3">$E$16+$E$17</f>
        <v>50</v>
      </c>
      <c r="F30">
        <f t="shared" si="2"/>
        <v>10</v>
      </c>
    </row>
    <row r="31" spans="2:6" x14ac:dyDescent="0.3">
      <c r="B31">
        <v>6</v>
      </c>
      <c r="C31" s="99">
        <v>0.05</v>
      </c>
      <c r="D31" s="33">
        <v>75</v>
      </c>
      <c r="E31" s="33">
        <f t="shared" si="3"/>
        <v>50</v>
      </c>
      <c r="F31">
        <f t="shared" si="2"/>
        <v>12</v>
      </c>
    </row>
    <row r="32" spans="2:6" x14ac:dyDescent="0.3">
      <c r="B32">
        <v>7</v>
      </c>
      <c r="C32" s="99">
        <v>0</v>
      </c>
      <c r="D32" s="33"/>
      <c r="E32" s="33"/>
    </row>
    <row r="33" spans="2:9" x14ac:dyDescent="0.3">
      <c r="B33">
        <v>8</v>
      </c>
      <c r="C33" s="99">
        <v>0</v>
      </c>
      <c r="D33" s="33"/>
      <c r="E33" s="33"/>
    </row>
    <row r="34" spans="2:9" x14ac:dyDescent="0.3">
      <c r="B34">
        <v>9</v>
      </c>
      <c r="C34" s="99">
        <v>0</v>
      </c>
      <c r="D34" s="33"/>
      <c r="E34" s="33"/>
    </row>
    <row r="35" spans="2:9" x14ac:dyDescent="0.3">
      <c r="B35" s="33" t="s">
        <v>29</v>
      </c>
      <c r="C35" s="35">
        <f>SUM(C28:C34)</f>
        <v>1</v>
      </c>
      <c r="D35" s="33">
        <f>SUMPRODUCT(C28:C31,D28:D31)</f>
        <v>54</v>
      </c>
      <c r="E35" s="33">
        <f>SUMPRODUCT(E28:E31,C28:C31)</f>
        <v>44</v>
      </c>
      <c r="F35">
        <f>SUMPRODUCT(F28:F31,C28:C31)</f>
        <v>7.8000000000000007</v>
      </c>
    </row>
    <row r="41" spans="2:9" x14ac:dyDescent="0.3">
      <c r="C41" t="s">
        <v>240</v>
      </c>
      <c r="G41" t="s">
        <v>241</v>
      </c>
    </row>
    <row r="43" spans="2:9" x14ac:dyDescent="0.3">
      <c r="C43" s="46" t="s">
        <v>131</v>
      </c>
      <c r="D43" s="46" t="s">
        <v>1</v>
      </c>
      <c r="E43" s="46" t="s">
        <v>2</v>
      </c>
      <c r="G43" s="46" t="s">
        <v>131</v>
      </c>
      <c r="H43" s="46" t="s">
        <v>1</v>
      </c>
      <c r="I43" s="46" t="s">
        <v>2</v>
      </c>
    </row>
    <row r="44" spans="2:9" x14ac:dyDescent="0.3">
      <c r="C44" s="33" t="s">
        <v>139</v>
      </c>
      <c r="D44" s="46">
        <v>500</v>
      </c>
      <c r="E44" s="46"/>
      <c r="G44" s="33" t="s">
        <v>139</v>
      </c>
      <c r="H44" s="46">
        <v>750</v>
      </c>
      <c r="I44" s="46"/>
    </row>
    <row r="45" spans="2:9" x14ac:dyDescent="0.3">
      <c r="C45" s="46" t="s">
        <v>140</v>
      </c>
      <c r="D45" s="43">
        <v>4000</v>
      </c>
      <c r="E45" s="46" t="s">
        <v>55</v>
      </c>
      <c r="G45" s="46" t="s">
        <v>140</v>
      </c>
      <c r="H45" s="43">
        <v>4000</v>
      </c>
      <c r="I45" s="46" t="s">
        <v>55</v>
      </c>
    </row>
    <row r="46" spans="2:9" x14ac:dyDescent="0.3">
      <c r="C46" s="46" t="s">
        <v>150</v>
      </c>
      <c r="D46" s="46">
        <v>54</v>
      </c>
      <c r="E46" s="46" t="s">
        <v>55</v>
      </c>
      <c r="G46" s="46" t="s">
        <v>150</v>
      </c>
      <c r="H46" s="46">
        <v>53</v>
      </c>
      <c r="I46" s="46" t="s">
        <v>55</v>
      </c>
    </row>
    <row r="47" spans="2:9" x14ac:dyDescent="0.3">
      <c r="C47" s="46" t="s">
        <v>155</v>
      </c>
      <c r="D47" s="74">
        <f>D45+D44*D46</f>
        <v>31000</v>
      </c>
      <c r="E47" s="46"/>
      <c r="G47" s="46" t="s">
        <v>151</v>
      </c>
      <c r="H47" s="46">
        <v>2</v>
      </c>
      <c r="I47" s="46"/>
    </row>
    <row r="48" spans="2:9" x14ac:dyDescent="0.3">
      <c r="C48" s="46" t="s">
        <v>248</v>
      </c>
      <c r="D48" s="46">
        <f>F35*D44</f>
        <v>3900.0000000000005</v>
      </c>
      <c r="E48" s="46"/>
      <c r="G48" s="46" t="s">
        <v>147</v>
      </c>
      <c r="H48" s="75">
        <v>25</v>
      </c>
      <c r="I48" s="46"/>
    </row>
    <row r="49" spans="3:9" x14ac:dyDescent="0.3">
      <c r="C49" s="46" t="s">
        <v>249</v>
      </c>
      <c r="D49" s="74">
        <f>D47-D48</f>
        <v>27100</v>
      </c>
      <c r="E49" s="46"/>
      <c r="G49" s="46" t="s">
        <v>148</v>
      </c>
      <c r="H49" s="75">
        <v>25</v>
      </c>
      <c r="I49" s="46"/>
    </row>
    <row r="50" spans="3:9" x14ac:dyDescent="0.3">
      <c r="G50" s="46" t="s">
        <v>149</v>
      </c>
      <c r="H50" s="46">
        <f>(H48+H49)*0.8+H46*0.2</f>
        <v>50.6</v>
      </c>
      <c r="I50" s="46"/>
    </row>
    <row r="51" spans="3:9" x14ac:dyDescent="0.3">
      <c r="G51" s="46" t="s">
        <v>152</v>
      </c>
      <c r="H51" s="75">
        <v>10</v>
      </c>
      <c r="I51" s="46"/>
    </row>
    <row r="52" spans="3:9" x14ac:dyDescent="0.3">
      <c r="G52" s="46" t="s">
        <v>141</v>
      </c>
      <c r="H52" s="46"/>
      <c r="I52" s="46"/>
    </row>
    <row r="53" spans="3:9" x14ac:dyDescent="0.3">
      <c r="G53" s="46" t="s">
        <v>155</v>
      </c>
      <c r="H53" s="74">
        <f>H45+H50*H44</f>
        <v>41950</v>
      </c>
      <c r="I53" s="46"/>
    </row>
    <row r="54" spans="3:9" x14ac:dyDescent="0.3">
      <c r="G54" s="46" t="s">
        <v>248</v>
      </c>
      <c r="H54" s="46">
        <f>$F$11*H44</f>
        <v>5700</v>
      </c>
      <c r="I54" s="46"/>
    </row>
    <row r="55" spans="3:9" x14ac:dyDescent="0.3">
      <c r="G55" s="46" t="s">
        <v>249</v>
      </c>
      <c r="H55" s="74">
        <f>H53-H54</f>
        <v>36250</v>
      </c>
      <c r="I55" s="46"/>
    </row>
  </sheetData>
  <conditionalFormatting sqref="C28:C34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{AE5CA645-9C8A-4929-943F-44491DBE98B9}</x14:id>
        </ext>
      </extLst>
    </cfRule>
  </conditionalFormatting>
  <pageMargins left="0.7" right="0.7" top="0.75" bottom="0.75" header="0.3" footer="0.3"/>
  <ignoredErrors>
    <ignoredError sqref="D35:F35 F11" formulaRange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E5CA645-9C8A-4929-943F-44491DBE98B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C28:C34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6621B-EC6D-4C12-969E-109FE87A11A2}">
  <dimension ref="A2:R70"/>
  <sheetViews>
    <sheetView tabSelected="1" zoomScale="99" zoomScaleNormal="99" workbookViewId="0">
      <selection activeCell="H58" sqref="H58"/>
    </sheetView>
  </sheetViews>
  <sheetFormatPr defaultRowHeight="14.4" x14ac:dyDescent="0.3"/>
  <cols>
    <col min="2" max="2" width="0.88671875" customWidth="1"/>
    <col min="3" max="3" width="10" bestFit="1" customWidth="1"/>
    <col min="4" max="4" width="10.33203125" bestFit="1" customWidth="1"/>
    <col min="5" max="5" width="16.109375" bestFit="1" customWidth="1"/>
    <col min="6" max="6" width="15.5546875" bestFit="1" customWidth="1"/>
    <col min="7" max="7" width="10.33203125" bestFit="1" customWidth="1"/>
    <col min="8" max="8" width="15.44140625" bestFit="1" customWidth="1"/>
    <col min="9" max="10" width="12.5546875" bestFit="1" customWidth="1"/>
    <col min="11" max="11" width="10.6640625" customWidth="1"/>
    <col min="12" max="12" width="10" bestFit="1" customWidth="1"/>
    <col min="13" max="14" width="12" bestFit="1" customWidth="1"/>
    <col min="15" max="15" width="11" bestFit="1" customWidth="1"/>
    <col min="18" max="18" width="32.109375" customWidth="1"/>
    <col min="19" max="19" width="13.109375" customWidth="1"/>
    <col min="20" max="20" width="17.109375" customWidth="1"/>
  </cols>
  <sheetData>
    <row r="2" spans="3:13" ht="15" thickBot="1" x14ac:dyDescent="0.35"/>
    <row r="3" spans="3:13" ht="15" customHeight="1" thickBot="1" x14ac:dyDescent="0.35">
      <c r="C3" s="8"/>
      <c r="D3" s="8"/>
      <c r="E3" s="8"/>
      <c r="F3" s="9">
        <v>0.24</v>
      </c>
      <c r="G3" s="9">
        <v>0.4</v>
      </c>
      <c r="H3" s="9">
        <v>0.35</v>
      </c>
      <c r="I3" s="9">
        <v>0.2</v>
      </c>
      <c r="J3" s="9">
        <v>0.05</v>
      </c>
      <c r="K3" s="9">
        <v>0</v>
      </c>
      <c r="L3" s="9">
        <v>0</v>
      </c>
      <c r="M3" s="9">
        <v>0</v>
      </c>
    </row>
    <row r="4" spans="3:13" ht="15" customHeight="1" thickBot="1" x14ac:dyDescent="0.35">
      <c r="C4" s="3" t="s">
        <v>39</v>
      </c>
      <c r="D4" s="3"/>
      <c r="E4" s="3" t="s">
        <v>8</v>
      </c>
      <c r="F4" s="3" t="s">
        <v>9</v>
      </c>
      <c r="G4" s="3" t="s">
        <v>10</v>
      </c>
      <c r="H4" s="5">
        <v>4</v>
      </c>
      <c r="I4" s="5">
        <v>5</v>
      </c>
      <c r="J4" s="5">
        <v>6</v>
      </c>
      <c r="K4" s="5">
        <v>7</v>
      </c>
      <c r="L4" s="5">
        <v>8</v>
      </c>
      <c r="M4" s="5">
        <v>9</v>
      </c>
    </row>
    <row r="5" spans="3:13" ht="15" customHeight="1" thickBot="1" x14ac:dyDescent="0.35">
      <c r="C5" s="5">
        <v>2014</v>
      </c>
      <c r="D5" s="89">
        <v>200000</v>
      </c>
      <c r="E5" s="3"/>
      <c r="F5" s="88">
        <v>100000</v>
      </c>
      <c r="G5" s="88">
        <f t="shared" ref="G5:G19" si="0">F5*$G$3</f>
        <v>40000</v>
      </c>
      <c r="H5" s="88">
        <f t="shared" ref="H5:H19" si="1">F5*$H$3</f>
        <v>35000</v>
      </c>
      <c r="I5" s="88">
        <f t="shared" ref="I5:I19" si="2">F5*$I$3</f>
        <v>20000</v>
      </c>
      <c r="J5" s="88">
        <f t="shared" ref="J5:J19" si="3">F5*$J$3</f>
        <v>5000</v>
      </c>
      <c r="K5" s="5" t="s">
        <v>12</v>
      </c>
      <c r="L5" s="5" t="s">
        <v>12</v>
      </c>
      <c r="M5" s="5" t="s">
        <v>12</v>
      </c>
    </row>
    <row r="6" spans="3:13" ht="15" customHeight="1" thickBot="1" x14ac:dyDescent="0.35">
      <c r="C6" s="5">
        <v>2015</v>
      </c>
      <c r="D6" s="88">
        <v>500000</v>
      </c>
      <c r="E6" s="6">
        <f t="shared" ref="E6:E14" si="4">(D6-D5)/D5</f>
        <v>1.5</v>
      </c>
      <c r="F6" s="88">
        <f t="shared" ref="F6:F19" si="5">D6*$F$3</f>
        <v>120000</v>
      </c>
      <c r="G6" s="88">
        <f t="shared" si="0"/>
        <v>48000</v>
      </c>
      <c r="H6" s="88">
        <f t="shared" si="1"/>
        <v>42000</v>
      </c>
      <c r="I6" s="88">
        <f t="shared" si="2"/>
        <v>24000</v>
      </c>
      <c r="J6" s="88">
        <f t="shared" si="3"/>
        <v>6000</v>
      </c>
      <c r="K6" s="5" t="s">
        <v>12</v>
      </c>
      <c r="L6" s="5" t="s">
        <v>12</v>
      </c>
      <c r="M6" s="5" t="s">
        <v>12</v>
      </c>
    </row>
    <row r="7" spans="3:13" ht="15" customHeight="1" thickBot="1" x14ac:dyDescent="0.35">
      <c r="C7" s="5">
        <v>2016</v>
      </c>
      <c r="D7" s="88">
        <v>1000000</v>
      </c>
      <c r="E7" s="6">
        <f t="shared" si="4"/>
        <v>1</v>
      </c>
      <c r="F7" s="88">
        <f t="shared" si="5"/>
        <v>240000</v>
      </c>
      <c r="G7" s="88">
        <f t="shared" si="0"/>
        <v>96000</v>
      </c>
      <c r="H7" s="88">
        <f t="shared" si="1"/>
        <v>84000</v>
      </c>
      <c r="I7" s="88">
        <f t="shared" si="2"/>
        <v>48000</v>
      </c>
      <c r="J7" s="88">
        <f t="shared" si="3"/>
        <v>12000</v>
      </c>
      <c r="K7" s="5" t="s">
        <v>12</v>
      </c>
      <c r="L7" s="5" t="s">
        <v>12</v>
      </c>
      <c r="M7" s="5" t="s">
        <v>12</v>
      </c>
    </row>
    <row r="8" spans="3:13" ht="15" customHeight="1" thickBot="1" x14ac:dyDescent="0.35">
      <c r="C8" s="5">
        <v>2017</v>
      </c>
      <c r="D8" s="88">
        <v>2000000</v>
      </c>
      <c r="E8" s="6">
        <f t="shared" si="4"/>
        <v>1</v>
      </c>
      <c r="F8" s="88">
        <f t="shared" si="5"/>
        <v>480000</v>
      </c>
      <c r="G8" s="88">
        <f t="shared" si="0"/>
        <v>192000</v>
      </c>
      <c r="H8" s="88">
        <f t="shared" si="1"/>
        <v>168000</v>
      </c>
      <c r="I8" s="88">
        <f t="shared" si="2"/>
        <v>96000</v>
      </c>
      <c r="J8" s="88">
        <f t="shared" si="3"/>
        <v>24000</v>
      </c>
      <c r="K8" s="5" t="s">
        <v>12</v>
      </c>
      <c r="L8" s="5" t="s">
        <v>12</v>
      </c>
      <c r="M8" s="5" t="s">
        <v>12</v>
      </c>
    </row>
    <row r="9" spans="3:13" ht="15" customHeight="1" thickBot="1" x14ac:dyDescent="0.35">
      <c r="C9" s="5">
        <v>2018</v>
      </c>
      <c r="D9" s="88">
        <v>2523333.3333333302</v>
      </c>
      <c r="E9" s="6">
        <f t="shared" si="4"/>
        <v>0.2616666666666651</v>
      </c>
      <c r="F9" s="88">
        <f t="shared" si="5"/>
        <v>605599.99999999919</v>
      </c>
      <c r="G9" s="88">
        <f t="shared" si="0"/>
        <v>242239.99999999968</v>
      </c>
      <c r="H9" s="88">
        <f t="shared" si="1"/>
        <v>211959.99999999971</v>
      </c>
      <c r="I9" s="88">
        <f t="shared" si="2"/>
        <v>121119.99999999984</v>
      </c>
      <c r="J9" s="88">
        <f t="shared" si="3"/>
        <v>30279.99999999996</v>
      </c>
      <c r="K9" s="5" t="s">
        <v>12</v>
      </c>
      <c r="L9" s="5" t="s">
        <v>12</v>
      </c>
      <c r="M9" s="5" t="s">
        <v>12</v>
      </c>
    </row>
    <row r="10" spans="3:13" ht="15" customHeight="1" thickBot="1" x14ac:dyDescent="0.35">
      <c r="C10" s="5">
        <v>2019</v>
      </c>
      <c r="D10" s="88">
        <v>5000000</v>
      </c>
      <c r="E10" s="6">
        <f t="shared" si="4"/>
        <v>0.98150594451783602</v>
      </c>
      <c r="F10" s="88">
        <f t="shared" si="5"/>
        <v>1200000</v>
      </c>
      <c r="G10" s="88">
        <f t="shared" si="0"/>
        <v>480000</v>
      </c>
      <c r="H10" s="88">
        <f t="shared" si="1"/>
        <v>420000</v>
      </c>
      <c r="I10" s="88">
        <f t="shared" si="2"/>
        <v>240000</v>
      </c>
      <c r="J10" s="88">
        <f t="shared" si="3"/>
        <v>60000</v>
      </c>
      <c r="K10" s="5" t="s">
        <v>12</v>
      </c>
      <c r="L10" s="5" t="s">
        <v>12</v>
      </c>
      <c r="M10" s="5" t="s">
        <v>12</v>
      </c>
    </row>
    <row r="11" spans="3:13" ht="15" customHeight="1" thickBot="1" x14ac:dyDescent="0.35">
      <c r="C11" s="5">
        <v>2020</v>
      </c>
      <c r="D11" s="88">
        <v>7000000</v>
      </c>
      <c r="E11" s="6">
        <f t="shared" si="4"/>
        <v>0.4</v>
      </c>
      <c r="F11" s="88">
        <f t="shared" si="5"/>
        <v>1680000</v>
      </c>
      <c r="G11" s="88">
        <f t="shared" si="0"/>
        <v>672000</v>
      </c>
      <c r="H11" s="88">
        <f t="shared" si="1"/>
        <v>588000</v>
      </c>
      <c r="I11" s="88">
        <f t="shared" si="2"/>
        <v>336000</v>
      </c>
      <c r="J11" s="88">
        <f t="shared" si="3"/>
        <v>84000</v>
      </c>
      <c r="K11" s="5" t="s">
        <v>12</v>
      </c>
      <c r="L11" s="5" t="s">
        <v>12</v>
      </c>
      <c r="M11" s="5" t="s">
        <v>12</v>
      </c>
    </row>
    <row r="12" spans="3:13" ht="15" customHeight="1" thickBot="1" x14ac:dyDescent="0.35">
      <c r="C12" s="5">
        <v>2021</v>
      </c>
      <c r="D12" s="86">
        <v>9000000</v>
      </c>
      <c r="E12" s="12">
        <f t="shared" si="4"/>
        <v>0.2857142857142857</v>
      </c>
      <c r="F12" s="88">
        <f t="shared" si="5"/>
        <v>2160000</v>
      </c>
      <c r="G12" s="88">
        <f t="shared" si="0"/>
        <v>864000</v>
      </c>
      <c r="H12" s="88">
        <f t="shared" si="1"/>
        <v>756000</v>
      </c>
      <c r="I12" s="88">
        <f t="shared" si="2"/>
        <v>432000</v>
      </c>
      <c r="J12" s="88">
        <f t="shared" si="3"/>
        <v>108000</v>
      </c>
      <c r="K12" s="5" t="s">
        <v>12</v>
      </c>
      <c r="L12" s="5" t="s">
        <v>12</v>
      </c>
      <c r="M12" s="5" t="s">
        <v>12</v>
      </c>
    </row>
    <row r="13" spans="3:13" ht="15" customHeight="1" thickBot="1" x14ac:dyDescent="0.35">
      <c r="C13" s="5">
        <v>2022</v>
      </c>
      <c r="D13" s="86">
        <v>10000000</v>
      </c>
      <c r="E13" s="6">
        <f t="shared" si="4"/>
        <v>0.1111111111111111</v>
      </c>
      <c r="F13" s="88">
        <f t="shared" si="5"/>
        <v>2400000</v>
      </c>
      <c r="G13" s="88">
        <f t="shared" si="0"/>
        <v>960000</v>
      </c>
      <c r="H13" s="88">
        <f t="shared" si="1"/>
        <v>840000</v>
      </c>
      <c r="I13" s="88">
        <f t="shared" si="2"/>
        <v>480000</v>
      </c>
      <c r="J13" s="88">
        <f t="shared" si="3"/>
        <v>120000</v>
      </c>
      <c r="K13" s="5" t="s">
        <v>12</v>
      </c>
      <c r="L13" s="5" t="s">
        <v>12</v>
      </c>
      <c r="M13" s="5" t="s">
        <v>12</v>
      </c>
    </row>
    <row r="14" spans="3:13" s="26" customFormat="1" ht="15" customHeight="1" thickBot="1" x14ac:dyDescent="0.35">
      <c r="C14" s="23">
        <v>2023</v>
      </c>
      <c r="D14" s="87">
        <v>15010201</v>
      </c>
      <c r="E14" s="25">
        <f t="shared" si="4"/>
        <v>0.50102009999999997</v>
      </c>
      <c r="F14" s="91">
        <f t="shared" si="5"/>
        <v>3602448.2399999998</v>
      </c>
      <c r="G14" s="91">
        <f t="shared" si="0"/>
        <v>1440979.2960000001</v>
      </c>
      <c r="H14" s="91">
        <f t="shared" si="1"/>
        <v>1260856.8839999998</v>
      </c>
      <c r="I14" s="91">
        <f t="shared" si="2"/>
        <v>720489.64800000004</v>
      </c>
      <c r="J14" s="91">
        <f t="shared" si="3"/>
        <v>180122.41200000001</v>
      </c>
      <c r="K14" s="23" t="s">
        <v>12</v>
      </c>
      <c r="L14" s="23" t="s">
        <v>12</v>
      </c>
      <c r="M14" s="23" t="s">
        <v>12</v>
      </c>
    </row>
    <row r="15" spans="3:13" ht="15" customHeight="1" thickBot="1" x14ac:dyDescent="0.35">
      <c r="C15" s="5">
        <v>2024</v>
      </c>
      <c r="D15" s="90">
        <f t="shared" ref="D15:D17" si="6">D16/(1+E16)</f>
        <v>22028782.582183104</v>
      </c>
      <c r="E15" s="15">
        <v>0.48</v>
      </c>
      <c r="F15" s="88">
        <f t="shared" si="5"/>
        <v>5286907.8197239451</v>
      </c>
      <c r="G15" s="88">
        <f t="shared" si="0"/>
        <v>2114763.1278895782</v>
      </c>
      <c r="H15" s="88">
        <f t="shared" si="1"/>
        <v>1850417.7369033806</v>
      </c>
      <c r="I15" s="88">
        <f t="shared" si="2"/>
        <v>1057381.5639447891</v>
      </c>
      <c r="J15" s="88">
        <f t="shared" si="3"/>
        <v>264345.39098619728</v>
      </c>
      <c r="K15" s="5" t="s">
        <v>12</v>
      </c>
      <c r="L15" s="5" t="s">
        <v>12</v>
      </c>
      <c r="M15" s="5" t="s">
        <v>12</v>
      </c>
    </row>
    <row r="16" spans="3:13" ht="15" customHeight="1" thickBot="1" x14ac:dyDescent="0.35">
      <c r="C16" s="5">
        <v>2025</v>
      </c>
      <c r="D16" s="90">
        <f t="shared" si="6"/>
        <v>27756266.053550713</v>
      </c>
      <c r="E16" s="15">
        <v>0.26</v>
      </c>
      <c r="F16" s="88">
        <f t="shared" si="5"/>
        <v>6661503.8528521704</v>
      </c>
      <c r="G16" s="88">
        <f t="shared" si="0"/>
        <v>2664601.5411408683</v>
      </c>
      <c r="H16" s="88">
        <f t="shared" si="1"/>
        <v>2331526.3484982597</v>
      </c>
      <c r="I16" s="88">
        <f t="shared" si="2"/>
        <v>1332300.7705704342</v>
      </c>
      <c r="J16" s="88">
        <f t="shared" si="3"/>
        <v>333075.19264260854</v>
      </c>
      <c r="K16" s="5" t="s">
        <v>12</v>
      </c>
      <c r="L16" s="5" t="s">
        <v>12</v>
      </c>
      <c r="M16" s="5" t="s">
        <v>12</v>
      </c>
    </row>
    <row r="17" spans="1:18" ht="15" customHeight="1" thickBot="1" x14ac:dyDescent="0.35">
      <c r="C17" s="5">
        <v>2026</v>
      </c>
      <c r="D17" s="90">
        <f t="shared" si="6"/>
        <v>34972895.2274739</v>
      </c>
      <c r="E17" s="15">
        <v>0.26</v>
      </c>
      <c r="F17" s="88">
        <f t="shared" si="5"/>
        <v>8393494.8545937352</v>
      </c>
      <c r="G17" s="88">
        <f t="shared" si="0"/>
        <v>3357397.9418374943</v>
      </c>
      <c r="H17" s="88">
        <f t="shared" si="1"/>
        <v>2937723.1991078071</v>
      </c>
      <c r="I17" s="88">
        <f t="shared" si="2"/>
        <v>1678698.9709187471</v>
      </c>
      <c r="J17" s="88">
        <f t="shared" si="3"/>
        <v>419674.74272968678</v>
      </c>
      <c r="K17" s="5" t="s">
        <v>12</v>
      </c>
      <c r="L17" s="5" t="s">
        <v>12</v>
      </c>
      <c r="M17" s="5" t="s">
        <v>12</v>
      </c>
    </row>
    <row r="18" spans="1:18" ht="15" customHeight="1" thickBot="1" x14ac:dyDescent="0.35">
      <c r="C18" s="5">
        <v>2027</v>
      </c>
      <c r="D18" s="90">
        <f>D19/(1+E19)</f>
        <v>41268016.3684192</v>
      </c>
      <c r="E18" s="15">
        <v>0.18</v>
      </c>
      <c r="F18" s="88">
        <f t="shared" si="5"/>
        <v>9904323.928420607</v>
      </c>
      <c r="G18" s="88">
        <f t="shared" si="0"/>
        <v>3961729.5713682431</v>
      </c>
      <c r="H18" s="88">
        <f t="shared" si="1"/>
        <v>3466513.3749472122</v>
      </c>
      <c r="I18" s="88">
        <f t="shared" si="2"/>
        <v>1980864.7856841215</v>
      </c>
      <c r="J18" s="88">
        <f t="shared" si="3"/>
        <v>495216.19642103038</v>
      </c>
      <c r="K18" s="5" t="s">
        <v>12</v>
      </c>
      <c r="L18" s="5" t="s">
        <v>12</v>
      </c>
      <c r="M18" s="5" t="s">
        <v>12</v>
      </c>
    </row>
    <row r="19" spans="1:18" ht="15" thickBot="1" x14ac:dyDescent="0.35">
      <c r="C19" s="5">
        <v>2028</v>
      </c>
      <c r="D19" s="90">
        <f>C23</f>
        <v>45807498.168945313</v>
      </c>
      <c r="E19" s="15">
        <v>0.11</v>
      </c>
      <c r="F19" s="88">
        <f t="shared" si="5"/>
        <v>10993799.560546875</v>
      </c>
      <c r="G19" s="88">
        <f t="shared" si="0"/>
        <v>4397519.82421875</v>
      </c>
      <c r="H19" s="88">
        <f t="shared" si="1"/>
        <v>3847829.8461914058</v>
      </c>
      <c r="I19" s="88">
        <f t="shared" si="2"/>
        <v>2198759.912109375</v>
      </c>
      <c r="J19" s="88">
        <f t="shared" si="3"/>
        <v>549689.97802734375</v>
      </c>
      <c r="K19" s="5" t="s">
        <v>12</v>
      </c>
      <c r="L19" s="5" t="s">
        <v>12</v>
      </c>
      <c r="M19" s="5" t="s">
        <v>12</v>
      </c>
    </row>
    <row r="20" spans="1:18" x14ac:dyDescent="0.3">
      <c r="L20" s="30">
        <v>7.0000000000000007E-2</v>
      </c>
      <c r="M20" s="30">
        <v>0.03</v>
      </c>
      <c r="N20" s="30">
        <v>0.02</v>
      </c>
      <c r="O20" s="30">
        <v>0</v>
      </c>
    </row>
    <row r="21" spans="1:18" x14ac:dyDescent="0.3">
      <c r="A21" t="s">
        <v>37</v>
      </c>
      <c r="I21" s="20">
        <f>G14</f>
        <v>1440979.2960000001</v>
      </c>
      <c r="J21" s="20">
        <f>H14</f>
        <v>1260856.8839999998</v>
      </c>
      <c r="K21" s="20">
        <f>I14</f>
        <v>720489.64800000004</v>
      </c>
      <c r="L21" s="20">
        <f>J14</f>
        <v>180122.41200000001</v>
      </c>
      <c r="M21" s="20">
        <f>$F$14*M$20</f>
        <v>108073.4472</v>
      </c>
      <c r="N21" s="20">
        <f>$F$14*N$20</f>
        <v>72048.964800000002</v>
      </c>
      <c r="O21" s="20">
        <f>$F$14*O$20</f>
        <v>0</v>
      </c>
      <c r="R21" s="31"/>
    </row>
    <row r="22" spans="1:18" x14ac:dyDescent="0.3">
      <c r="A22" t="s">
        <v>34</v>
      </c>
      <c r="C22" s="2">
        <v>0.25</v>
      </c>
    </row>
    <row r="23" spans="1:18" x14ac:dyDescent="0.3">
      <c r="A23" t="s">
        <v>38</v>
      </c>
      <c r="C23">
        <f>D14*(1+C22)^5</f>
        <v>45807498.168945313</v>
      </c>
      <c r="G23" t="s">
        <v>20</v>
      </c>
      <c r="H23" s="16">
        <f>SUM(I21:O21)</f>
        <v>3782570.6519999998</v>
      </c>
      <c r="I23">
        <f t="shared" ref="I23:O23" si="7">(I$21/$H$23)*100</f>
        <v>38.095238095238102</v>
      </c>
      <c r="J23">
        <f t="shared" si="7"/>
        <v>33.333333333333329</v>
      </c>
      <c r="K23">
        <f t="shared" si="7"/>
        <v>19.047619047619051</v>
      </c>
      <c r="L23">
        <f t="shared" si="7"/>
        <v>4.7619047619047628</v>
      </c>
      <c r="M23">
        <f t="shared" si="7"/>
        <v>2.8571428571428572</v>
      </c>
      <c r="N23">
        <f t="shared" si="7"/>
        <v>1.9047619047619049</v>
      </c>
      <c r="O23">
        <f t="shared" si="7"/>
        <v>0</v>
      </c>
    </row>
    <row r="25" spans="1:18" x14ac:dyDescent="0.3">
      <c r="H25" s="36"/>
      <c r="I25" s="37">
        <f>I21+M21+N21+O21</f>
        <v>1621101.7080000001</v>
      </c>
      <c r="J25" s="37">
        <f>J21+(L21-J14)</f>
        <v>1260856.8839999998</v>
      </c>
      <c r="K25" s="36">
        <f>K21</f>
        <v>720489.64800000004</v>
      </c>
      <c r="L25" s="38">
        <f>J14</f>
        <v>180122.41200000001</v>
      </c>
      <c r="M25" s="36"/>
      <c r="N25" s="36"/>
      <c r="O25" s="36"/>
    </row>
    <row r="26" spans="1:18" x14ac:dyDescent="0.3">
      <c r="H26" s="37">
        <f>SUM(I25:L25)</f>
        <v>3782570.6520000002</v>
      </c>
      <c r="I26" s="36">
        <f>(I25/$H$26)*100</f>
        <v>42.857142857142854</v>
      </c>
      <c r="J26" s="36">
        <f t="shared" ref="J26:K26" si="8">(J25/$H$26)*100</f>
        <v>33.333333333333329</v>
      </c>
      <c r="K26" s="36">
        <f t="shared" si="8"/>
        <v>19.047619047619047</v>
      </c>
      <c r="L26" s="36">
        <f>(L25/$H$26)*100</f>
        <v>4.7619047619047619</v>
      </c>
      <c r="M26" s="36"/>
      <c r="N26" s="36"/>
      <c r="O26" s="36"/>
    </row>
    <row r="29" spans="1:18" x14ac:dyDescent="0.3">
      <c r="I29" s="20"/>
      <c r="J29" s="20"/>
      <c r="K29" s="20"/>
    </row>
    <row r="30" spans="1:18" x14ac:dyDescent="0.3">
      <c r="F30" s="2"/>
    </row>
    <row r="31" spans="1:18" x14ac:dyDescent="0.3">
      <c r="D31" t="s">
        <v>21</v>
      </c>
      <c r="H31" s="18">
        <f>H23-F14</f>
        <v>180122.41200000001</v>
      </c>
    </row>
    <row r="32" spans="1:18" x14ac:dyDescent="0.3">
      <c r="D32" t="s">
        <v>25</v>
      </c>
      <c r="H32" s="18">
        <f>(H23-F14)/F14</f>
        <v>5.000000000000001E-2</v>
      </c>
    </row>
    <row r="33" spans="3:16" x14ac:dyDescent="0.3">
      <c r="D33" t="s">
        <v>22</v>
      </c>
      <c r="H33">
        <f>F51/D51</f>
        <v>0.25458040723449332</v>
      </c>
    </row>
    <row r="35" spans="3:16" x14ac:dyDescent="0.3">
      <c r="D35" t="s">
        <v>263</v>
      </c>
      <c r="F35" s="2">
        <v>0.03</v>
      </c>
      <c r="P35" t="s">
        <v>6</v>
      </c>
    </row>
    <row r="36" spans="3:16" x14ac:dyDescent="0.3">
      <c r="F36" s="2"/>
      <c r="G36" t="s">
        <v>33</v>
      </c>
      <c r="H36" s="16">
        <f>H23*(1+F35)</f>
        <v>3896047.7715599998</v>
      </c>
    </row>
    <row r="37" spans="3:16" x14ac:dyDescent="0.3">
      <c r="D37" t="s">
        <v>35</v>
      </c>
      <c r="F37" s="2"/>
      <c r="H37" s="16">
        <f>H36-F14</f>
        <v>293599.53156000003</v>
      </c>
    </row>
    <row r="38" spans="3:16" x14ac:dyDescent="0.3">
      <c r="F38" s="2"/>
      <c r="H38" s="20"/>
    </row>
    <row r="39" spans="3:16" ht="15" thickBot="1" x14ac:dyDescent="0.35"/>
    <row r="40" spans="3:16" ht="15" thickBot="1" x14ac:dyDescent="0.35">
      <c r="C40" s="8"/>
      <c r="D40" s="8"/>
      <c r="E40" s="8"/>
      <c r="F40" s="9"/>
      <c r="G40" s="9">
        <v>0.38</v>
      </c>
      <c r="H40" s="9">
        <v>0.33</v>
      </c>
      <c r="I40" s="9">
        <v>0.19</v>
      </c>
      <c r="J40" s="9">
        <v>0.05</v>
      </c>
      <c r="K40" s="9">
        <v>0.03</v>
      </c>
      <c r="L40" s="9">
        <v>0.02</v>
      </c>
      <c r="M40" s="9">
        <v>0</v>
      </c>
      <c r="O40" s="2">
        <f>SUM(G40:M40)</f>
        <v>1</v>
      </c>
    </row>
    <row r="41" spans="3:16" ht="15" thickBot="1" x14ac:dyDescent="0.35">
      <c r="C41" s="3"/>
      <c r="D41" s="3"/>
      <c r="E41" s="3" t="s">
        <v>8</v>
      </c>
      <c r="F41" s="3" t="s">
        <v>9</v>
      </c>
      <c r="G41" s="3" t="s">
        <v>10</v>
      </c>
      <c r="H41" s="5">
        <v>4</v>
      </c>
      <c r="I41" s="5">
        <v>5</v>
      </c>
      <c r="J41" s="5">
        <v>6</v>
      </c>
      <c r="K41" s="5">
        <v>7</v>
      </c>
      <c r="L41" s="5">
        <v>8</v>
      </c>
      <c r="M41" s="5">
        <v>9</v>
      </c>
      <c r="N41" t="s">
        <v>264</v>
      </c>
    </row>
    <row r="42" spans="3:16" ht="15" thickBot="1" x14ac:dyDescent="0.35">
      <c r="C42" s="5">
        <v>2014</v>
      </c>
      <c r="D42" s="58">
        <f>D5</f>
        <v>200000</v>
      </c>
      <c r="E42" s="3"/>
      <c r="F42" s="58">
        <v>100000</v>
      </c>
      <c r="G42" s="4">
        <f t="shared" ref="G42:G50" si="9">F42*$G$3</f>
        <v>40000</v>
      </c>
      <c r="H42" s="4">
        <f t="shared" ref="H42:H50" si="10">F42*$H$3</f>
        <v>35000</v>
      </c>
      <c r="I42" s="4">
        <f t="shared" ref="I42:I50" si="11">F42*$I$3</f>
        <v>20000</v>
      </c>
      <c r="J42" s="4">
        <f t="shared" ref="J42:J50" si="12">F42*$J$3</f>
        <v>5000</v>
      </c>
      <c r="K42" s="5" t="s">
        <v>12</v>
      </c>
      <c r="L42" s="5" t="s">
        <v>12</v>
      </c>
      <c r="M42" s="5" t="s">
        <v>12</v>
      </c>
    </row>
    <row r="43" spans="3:16" ht="15" thickBot="1" x14ac:dyDescent="0.35">
      <c r="C43" s="5">
        <v>2015</v>
      </c>
      <c r="D43" s="58">
        <f t="shared" ref="D43:D50" si="13">D6</f>
        <v>500000</v>
      </c>
      <c r="E43" s="6">
        <f t="shared" ref="E43:E51" si="14">(D43-D42)/D42</f>
        <v>1.5</v>
      </c>
      <c r="F43" s="4">
        <f t="shared" ref="F43:F50" si="15">D43*$F$3</f>
        <v>120000</v>
      </c>
      <c r="G43" s="4">
        <f t="shared" si="9"/>
        <v>48000</v>
      </c>
      <c r="H43" s="4">
        <f t="shared" si="10"/>
        <v>42000</v>
      </c>
      <c r="I43" s="4">
        <f t="shared" si="11"/>
        <v>24000</v>
      </c>
      <c r="J43" s="4">
        <f t="shared" si="12"/>
        <v>6000</v>
      </c>
      <c r="K43" s="5" t="s">
        <v>12</v>
      </c>
      <c r="L43" s="5" t="s">
        <v>12</v>
      </c>
      <c r="M43" s="5" t="s">
        <v>12</v>
      </c>
    </row>
    <row r="44" spans="3:16" ht="15" thickBot="1" x14ac:dyDescent="0.35">
      <c r="C44" s="5">
        <v>2016</v>
      </c>
      <c r="D44" s="58">
        <f t="shared" si="13"/>
        <v>1000000</v>
      </c>
      <c r="E44" s="6">
        <f t="shared" si="14"/>
        <v>1</v>
      </c>
      <c r="F44" s="4">
        <f t="shared" si="15"/>
        <v>240000</v>
      </c>
      <c r="G44" s="4">
        <f t="shared" si="9"/>
        <v>96000</v>
      </c>
      <c r="H44" s="4">
        <f t="shared" si="10"/>
        <v>84000</v>
      </c>
      <c r="I44" s="4">
        <f t="shared" si="11"/>
        <v>48000</v>
      </c>
      <c r="J44" s="4">
        <f t="shared" si="12"/>
        <v>12000</v>
      </c>
      <c r="K44" s="5" t="s">
        <v>12</v>
      </c>
      <c r="L44" s="5" t="s">
        <v>12</v>
      </c>
      <c r="M44" s="5" t="s">
        <v>12</v>
      </c>
    </row>
    <row r="45" spans="3:16" ht="15" thickBot="1" x14ac:dyDescent="0.35">
      <c r="C45" s="5">
        <v>2017</v>
      </c>
      <c r="D45" s="58">
        <f t="shared" si="13"/>
        <v>2000000</v>
      </c>
      <c r="E45" s="6">
        <f t="shared" si="14"/>
        <v>1</v>
      </c>
      <c r="F45" s="4">
        <f t="shared" si="15"/>
        <v>480000</v>
      </c>
      <c r="G45" s="4">
        <f t="shared" si="9"/>
        <v>192000</v>
      </c>
      <c r="H45" s="4">
        <f t="shared" si="10"/>
        <v>168000</v>
      </c>
      <c r="I45" s="4">
        <f t="shared" si="11"/>
        <v>96000</v>
      </c>
      <c r="J45" s="4">
        <f t="shared" si="12"/>
        <v>24000</v>
      </c>
      <c r="K45" s="5" t="s">
        <v>12</v>
      </c>
      <c r="L45" s="5" t="s">
        <v>12</v>
      </c>
      <c r="M45" s="5" t="s">
        <v>12</v>
      </c>
    </row>
    <row r="46" spans="3:16" ht="15" thickBot="1" x14ac:dyDescent="0.35">
      <c r="C46" s="5">
        <v>2018</v>
      </c>
      <c r="D46" s="58">
        <f t="shared" si="13"/>
        <v>2523333.3333333302</v>
      </c>
      <c r="E46" s="6">
        <f t="shared" si="14"/>
        <v>0.2616666666666651</v>
      </c>
      <c r="F46" s="4">
        <f t="shared" si="15"/>
        <v>605599.99999999919</v>
      </c>
      <c r="G46" s="4">
        <f t="shared" si="9"/>
        <v>242239.99999999968</v>
      </c>
      <c r="H46" s="4">
        <f t="shared" si="10"/>
        <v>211959.99999999971</v>
      </c>
      <c r="I46" s="4">
        <f t="shared" si="11"/>
        <v>121119.99999999984</v>
      </c>
      <c r="J46" s="4">
        <f t="shared" si="12"/>
        <v>30279.99999999996</v>
      </c>
      <c r="K46" s="5" t="s">
        <v>12</v>
      </c>
      <c r="L46" s="5" t="s">
        <v>12</v>
      </c>
      <c r="M46" s="5" t="s">
        <v>12</v>
      </c>
    </row>
    <row r="47" spans="3:16" ht="15" thickBot="1" x14ac:dyDescent="0.35">
      <c r="C47" s="5">
        <v>2019</v>
      </c>
      <c r="D47" s="58">
        <f t="shared" si="13"/>
        <v>5000000</v>
      </c>
      <c r="E47" s="6">
        <f t="shared" si="14"/>
        <v>0.98150594451783602</v>
      </c>
      <c r="F47" s="4">
        <f t="shared" si="15"/>
        <v>1200000</v>
      </c>
      <c r="G47" s="4">
        <f t="shared" si="9"/>
        <v>480000</v>
      </c>
      <c r="H47" s="4">
        <f t="shared" si="10"/>
        <v>420000</v>
      </c>
      <c r="I47" s="4">
        <f t="shared" si="11"/>
        <v>240000</v>
      </c>
      <c r="J47" s="4">
        <f t="shared" si="12"/>
        <v>60000</v>
      </c>
      <c r="K47" s="5" t="s">
        <v>12</v>
      </c>
      <c r="L47" s="5" t="s">
        <v>12</v>
      </c>
      <c r="M47" s="5" t="s">
        <v>12</v>
      </c>
    </row>
    <row r="48" spans="3:16" ht="15" thickBot="1" x14ac:dyDescent="0.35">
      <c r="C48" s="5">
        <v>2020</v>
      </c>
      <c r="D48" s="58">
        <f t="shared" si="13"/>
        <v>7000000</v>
      </c>
      <c r="E48" s="6">
        <f t="shared" si="14"/>
        <v>0.4</v>
      </c>
      <c r="F48" s="4">
        <f t="shared" si="15"/>
        <v>1680000</v>
      </c>
      <c r="G48" s="4">
        <f t="shared" si="9"/>
        <v>672000</v>
      </c>
      <c r="H48" s="4">
        <f t="shared" si="10"/>
        <v>588000</v>
      </c>
      <c r="I48" s="4">
        <f t="shared" si="11"/>
        <v>336000</v>
      </c>
      <c r="J48" s="4">
        <f t="shared" si="12"/>
        <v>84000</v>
      </c>
      <c r="K48" s="5" t="s">
        <v>12</v>
      </c>
      <c r="L48" s="5" t="s">
        <v>12</v>
      </c>
      <c r="M48" s="5" t="s">
        <v>12</v>
      </c>
    </row>
    <row r="49" spans="1:15" ht="15" thickBot="1" x14ac:dyDescent="0.35">
      <c r="C49" s="5">
        <v>2021</v>
      </c>
      <c r="D49" s="58">
        <f t="shared" si="13"/>
        <v>9000000</v>
      </c>
      <c r="E49" s="12">
        <f t="shared" si="14"/>
        <v>0.2857142857142857</v>
      </c>
      <c r="F49" s="4">
        <f t="shared" si="15"/>
        <v>2160000</v>
      </c>
      <c r="G49" s="4">
        <f t="shared" si="9"/>
        <v>864000</v>
      </c>
      <c r="H49" s="4">
        <f t="shared" si="10"/>
        <v>756000</v>
      </c>
      <c r="I49" s="4">
        <f t="shared" si="11"/>
        <v>432000</v>
      </c>
      <c r="J49" s="4">
        <f t="shared" si="12"/>
        <v>108000</v>
      </c>
      <c r="K49" s="5" t="s">
        <v>12</v>
      </c>
      <c r="L49" s="5" t="s">
        <v>12</v>
      </c>
      <c r="M49" s="5" t="s">
        <v>12</v>
      </c>
    </row>
    <row r="50" spans="1:15" ht="15" thickBot="1" x14ac:dyDescent="0.35">
      <c r="C50" s="5">
        <v>2022</v>
      </c>
      <c r="D50" s="58">
        <f t="shared" si="13"/>
        <v>10000000</v>
      </c>
      <c r="E50" s="6">
        <f t="shared" si="14"/>
        <v>0.1111111111111111</v>
      </c>
      <c r="F50" s="4">
        <f t="shared" si="15"/>
        <v>2400000</v>
      </c>
      <c r="G50" s="4">
        <f t="shared" si="9"/>
        <v>960000</v>
      </c>
      <c r="H50" s="4">
        <f t="shared" si="10"/>
        <v>840000</v>
      </c>
      <c r="I50" s="4">
        <f t="shared" si="11"/>
        <v>480000</v>
      </c>
      <c r="J50" s="4">
        <f t="shared" si="12"/>
        <v>120000</v>
      </c>
      <c r="K50" s="5" t="s">
        <v>12</v>
      </c>
      <c r="L50" s="5" t="s">
        <v>12</v>
      </c>
      <c r="M50" s="5" t="s">
        <v>12</v>
      </c>
    </row>
    <row r="51" spans="1:15" s="26" customFormat="1" ht="15" thickBot="1" x14ac:dyDescent="0.35">
      <c r="C51" s="23">
        <v>2023</v>
      </c>
      <c r="D51" s="24">
        <f>H37+D14</f>
        <v>15303800.53156</v>
      </c>
      <c r="E51" s="25">
        <f t="shared" si="14"/>
        <v>0.53038005315600001</v>
      </c>
      <c r="F51" s="24">
        <f>H36</f>
        <v>3896047.7715599998</v>
      </c>
      <c r="G51" s="24">
        <f>$F51*G$40</f>
        <v>1480498.1531928</v>
      </c>
      <c r="H51" s="24">
        <f t="shared" ref="H51:M56" si="16">$F51*H$40</f>
        <v>1285695.7646148</v>
      </c>
      <c r="I51" s="24">
        <f t="shared" si="16"/>
        <v>740249.0765964</v>
      </c>
      <c r="J51" s="24">
        <f t="shared" si="16"/>
        <v>194802.38857800001</v>
      </c>
      <c r="K51" s="24">
        <f t="shared" si="16"/>
        <v>116881.43314679999</v>
      </c>
      <c r="L51" s="24">
        <f t="shared" si="16"/>
        <v>77920.955431199996</v>
      </c>
      <c r="M51" s="24">
        <f t="shared" si="16"/>
        <v>0</v>
      </c>
      <c r="N51" s="107">
        <f>SUM(I51:L51)</f>
        <v>1129853.8537524</v>
      </c>
      <c r="O51" s="40">
        <f t="shared" ref="O51:O56" si="17">(F51-F14)/F14</f>
        <v>8.1500000000000017E-2</v>
      </c>
    </row>
    <row r="52" spans="1:15" ht="15" thickBot="1" x14ac:dyDescent="0.35">
      <c r="C52" s="5">
        <v>2024</v>
      </c>
      <c r="D52" s="14">
        <f t="shared" ref="D52:D54" si="18">D53/(1+E53)</f>
        <v>22459665.569490604</v>
      </c>
      <c r="E52" s="15">
        <v>0.48</v>
      </c>
      <c r="F52" s="4">
        <f t="shared" ref="F52:F54" si="19">F53/(1+E53)</f>
        <v>5717790.807031448</v>
      </c>
      <c r="G52" s="4">
        <f t="shared" ref="G52:G56" si="20">$F52*G$40</f>
        <v>2172760.5066719502</v>
      </c>
      <c r="H52" s="4">
        <f t="shared" si="16"/>
        <v>1886870.966320378</v>
      </c>
      <c r="I52" s="4">
        <f t="shared" si="16"/>
        <v>1086380.2533359751</v>
      </c>
      <c r="J52" s="4">
        <f t="shared" si="16"/>
        <v>285889.54035157239</v>
      </c>
      <c r="K52" s="4">
        <f t="shared" si="16"/>
        <v>171533.72421094344</v>
      </c>
      <c r="L52" s="4">
        <f t="shared" si="16"/>
        <v>114355.81614062896</v>
      </c>
      <c r="M52" s="4">
        <f t="shared" si="16"/>
        <v>0</v>
      </c>
      <c r="N52" s="107">
        <f t="shared" ref="N52:N56" si="21">SUM(I52:L52)</f>
        <v>1658159.33403912</v>
      </c>
      <c r="O52" s="40">
        <f t="shared" si="17"/>
        <v>8.1500000000000253E-2</v>
      </c>
    </row>
    <row r="53" spans="1:15" ht="15" thickBot="1" x14ac:dyDescent="0.35">
      <c r="C53" s="5">
        <v>2025</v>
      </c>
      <c r="D53" s="14">
        <f t="shared" si="18"/>
        <v>28299178.617558163</v>
      </c>
      <c r="E53" s="15">
        <v>0.26</v>
      </c>
      <c r="F53" s="4">
        <f t="shared" si="19"/>
        <v>7204416.416859624</v>
      </c>
      <c r="G53" s="4">
        <f t="shared" si="20"/>
        <v>2737678.2384066572</v>
      </c>
      <c r="H53" s="4">
        <f t="shared" si="16"/>
        <v>2377457.4175636759</v>
      </c>
      <c r="I53" s="4">
        <f t="shared" si="16"/>
        <v>1368839.1192033286</v>
      </c>
      <c r="J53" s="4">
        <f t="shared" si="16"/>
        <v>360220.82084298122</v>
      </c>
      <c r="K53" s="4">
        <f t="shared" si="16"/>
        <v>216132.49250578872</v>
      </c>
      <c r="L53" s="4">
        <f t="shared" si="16"/>
        <v>144088.32833719248</v>
      </c>
      <c r="M53" s="4">
        <f t="shared" si="16"/>
        <v>0</v>
      </c>
      <c r="N53" s="107">
        <f t="shared" si="21"/>
        <v>2089280.7608892913</v>
      </c>
      <c r="O53" s="40">
        <f t="shared" si="17"/>
        <v>8.1500000000000267E-2</v>
      </c>
    </row>
    <row r="54" spans="1:15" ht="15" thickBot="1" x14ac:dyDescent="0.35">
      <c r="C54" s="5">
        <v>2026</v>
      </c>
      <c r="D54" s="14">
        <f t="shared" si="18"/>
        <v>35656965.058123283</v>
      </c>
      <c r="E54" s="15">
        <v>0.26</v>
      </c>
      <c r="F54" s="4">
        <f t="shared" si="19"/>
        <v>9077564.685243126</v>
      </c>
      <c r="G54" s="4">
        <f t="shared" si="20"/>
        <v>3449474.5803923877</v>
      </c>
      <c r="H54" s="4">
        <f t="shared" si="16"/>
        <v>2995596.3461302319</v>
      </c>
      <c r="I54" s="4">
        <f t="shared" si="16"/>
        <v>1724737.2901961938</v>
      </c>
      <c r="J54" s="4">
        <f t="shared" si="16"/>
        <v>453878.2342621563</v>
      </c>
      <c r="K54" s="4">
        <f t="shared" si="16"/>
        <v>272326.94055729377</v>
      </c>
      <c r="L54" s="4">
        <f t="shared" si="16"/>
        <v>181551.29370486253</v>
      </c>
      <c r="M54" s="4">
        <f t="shared" si="16"/>
        <v>0</v>
      </c>
      <c r="N54" s="107">
        <f t="shared" si="21"/>
        <v>2632493.7587205064</v>
      </c>
      <c r="O54" s="40">
        <f t="shared" si="17"/>
        <v>8.150000000000017E-2</v>
      </c>
    </row>
    <row r="55" spans="1:15" ht="15" thickBot="1" x14ac:dyDescent="0.35">
      <c r="C55" s="5">
        <v>2027</v>
      </c>
      <c r="D55" s="14">
        <f>D56/(1+E56)</f>
        <v>42075218.768585473</v>
      </c>
      <c r="E55" s="15">
        <v>0.18</v>
      </c>
      <c r="F55" s="4">
        <f>F56/(1+E56)</f>
        <v>10711526.328586888</v>
      </c>
      <c r="G55" s="4">
        <f t="shared" si="20"/>
        <v>4070380.0048630172</v>
      </c>
      <c r="H55" s="4">
        <f t="shared" si="16"/>
        <v>3534803.6884336732</v>
      </c>
      <c r="I55" s="4">
        <f t="shared" si="16"/>
        <v>2035190.0024315086</v>
      </c>
      <c r="J55" s="4">
        <f t="shared" si="16"/>
        <v>535576.31642934436</v>
      </c>
      <c r="K55" s="4">
        <f t="shared" si="16"/>
        <v>321345.78985760664</v>
      </c>
      <c r="L55" s="4">
        <f t="shared" si="16"/>
        <v>214230.52657173775</v>
      </c>
      <c r="M55" s="4">
        <f t="shared" si="16"/>
        <v>0</v>
      </c>
      <c r="N55" s="107">
        <f t="shared" si="21"/>
        <v>3106342.6352901971</v>
      </c>
      <c r="O55" s="40">
        <f t="shared" si="17"/>
        <v>8.1500000000000114E-2</v>
      </c>
    </row>
    <row r="56" spans="1:15" ht="15" thickBot="1" x14ac:dyDescent="0.35">
      <c r="C56" s="5">
        <v>2028</v>
      </c>
      <c r="D56" s="14">
        <f>C60</f>
        <v>46703492.833129883</v>
      </c>
      <c r="E56" s="15">
        <v>0.11</v>
      </c>
      <c r="F56" s="4">
        <f>F60</f>
        <v>11889794.224731445</v>
      </c>
      <c r="G56" s="4">
        <f t="shared" si="20"/>
        <v>4518121.8053979492</v>
      </c>
      <c r="H56" s="4">
        <f t="shared" si="16"/>
        <v>3923632.0941613773</v>
      </c>
      <c r="I56" s="4">
        <f t="shared" si="16"/>
        <v>2259060.9026989746</v>
      </c>
      <c r="J56" s="4">
        <f t="shared" si="16"/>
        <v>594489.71123657224</v>
      </c>
      <c r="K56" s="4">
        <f t="shared" si="16"/>
        <v>356693.82674194337</v>
      </c>
      <c r="L56" s="4">
        <f t="shared" si="16"/>
        <v>237795.8844946289</v>
      </c>
      <c r="M56" s="4">
        <f t="shared" si="16"/>
        <v>0</v>
      </c>
      <c r="N56" s="107">
        <f t="shared" si="21"/>
        <v>3448040.3251721188</v>
      </c>
      <c r="O56" s="40">
        <f t="shared" si="17"/>
        <v>8.1500000000000003E-2</v>
      </c>
    </row>
    <row r="57" spans="1:15" x14ac:dyDescent="0.3">
      <c r="L57" s="20"/>
      <c r="M57" s="20"/>
      <c r="N57" s="20"/>
      <c r="O57" s="20"/>
    </row>
    <row r="58" spans="1:15" x14ac:dyDescent="0.3">
      <c r="A58" t="s">
        <v>37</v>
      </c>
      <c r="E58" t="s">
        <v>36</v>
      </c>
    </row>
    <row r="59" spans="1:15" x14ac:dyDescent="0.3">
      <c r="A59" t="s">
        <v>34</v>
      </c>
      <c r="C59" s="2">
        <v>0.25</v>
      </c>
      <c r="E59" t="s">
        <v>34</v>
      </c>
      <c r="F59" s="2">
        <v>0.25</v>
      </c>
    </row>
    <row r="60" spans="1:15" x14ac:dyDescent="0.3">
      <c r="A60" t="s">
        <v>38</v>
      </c>
      <c r="C60">
        <f>D51*(1+C59)^5</f>
        <v>46703492.833129883</v>
      </c>
      <c r="E60" t="s">
        <v>38</v>
      </c>
      <c r="F60" s="20">
        <f>F51*($F$59+1)^5</f>
        <v>11889794.224731445</v>
      </c>
    </row>
    <row r="70" spans="8:8" x14ac:dyDescent="0.3">
      <c r="H70">
        <f>2.7*0.24</f>
        <v>0.64800000000000002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7469E-A6ED-4315-95C5-02A8D6D5DCE7}">
  <dimension ref="B1:W60"/>
  <sheetViews>
    <sheetView topLeftCell="L20" workbookViewId="0">
      <selection activeCell="S43" sqref="S43"/>
    </sheetView>
  </sheetViews>
  <sheetFormatPr defaultRowHeight="14.4" x14ac:dyDescent="0.3"/>
  <cols>
    <col min="2" max="2" width="23.5546875" bestFit="1" customWidth="1"/>
    <col min="3" max="3" width="12.33203125" bestFit="1" customWidth="1"/>
    <col min="4" max="4" width="19.109375" bestFit="1" customWidth="1"/>
    <col min="5" max="6" width="30.21875" bestFit="1" customWidth="1"/>
    <col min="7" max="7" width="34" bestFit="1" customWidth="1"/>
    <col min="8" max="8" width="22.5546875" bestFit="1" customWidth="1"/>
    <col min="9" max="9" width="20.44140625" bestFit="1" customWidth="1"/>
    <col min="10" max="10" width="20.44140625" customWidth="1"/>
    <col min="11" max="12" width="20.88671875" customWidth="1"/>
    <col min="13" max="13" width="15.6640625" bestFit="1" customWidth="1"/>
    <col min="14" max="14" width="17.44140625" bestFit="1" customWidth="1"/>
    <col min="15" max="15" width="27.21875" customWidth="1"/>
    <col min="16" max="17" width="22.44140625" customWidth="1"/>
    <col min="18" max="18" width="24.33203125" customWidth="1"/>
    <col min="19" max="19" width="29" customWidth="1"/>
    <col min="20" max="20" width="28" customWidth="1"/>
    <col min="21" max="22" width="16.33203125" bestFit="1" customWidth="1"/>
  </cols>
  <sheetData>
    <row r="1" spans="2:21" ht="15" thickBot="1" x14ac:dyDescent="0.35"/>
    <row r="2" spans="2:21" ht="15" customHeight="1" thickBot="1" x14ac:dyDescent="0.35">
      <c r="B2" s="47" t="s">
        <v>52</v>
      </c>
      <c r="C2" s="47" t="s">
        <v>1</v>
      </c>
      <c r="D2" s="47" t="s">
        <v>53</v>
      </c>
      <c r="F2" s="47" t="s">
        <v>62</v>
      </c>
      <c r="G2" s="47" t="s">
        <v>67</v>
      </c>
      <c r="J2" s="46" t="s">
        <v>52</v>
      </c>
      <c r="K2" s="46" t="s">
        <v>103</v>
      </c>
      <c r="L2" s="46" t="s">
        <v>104</v>
      </c>
      <c r="M2" s="46" t="s">
        <v>105</v>
      </c>
      <c r="N2" s="46" t="s">
        <v>2</v>
      </c>
      <c r="P2" s="46" t="s">
        <v>131</v>
      </c>
      <c r="Q2" s="46" t="s">
        <v>1</v>
      </c>
      <c r="R2" s="46" t="s">
        <v>2</v>
      </c>
      <c r="S2" s="85" t="s">
        <v>15</v>
      </c>
      <c r="T2" s="85" t="s">
        <v>190</v>
      </c>
      <c r="U2" s="85" t="s">
        <v>191</v>
      </c>
    </row>
    <row r="3" spans="2:21" ht="15" customHeight="1" thickBot="1" x14ac:dyDescent="0.35">
      <c r="B3" s="1" t="s">
        <v>4</v>
      </c>
      <c r="C3" s="47">
        <v>741</v>
      </c>
      <c r="D3" s="47" t="s">
        <v>54</v>
      </c>
      <c r="F3" s="1" t="s">
        <v>64</v>
      </c>
      <c r="G3" s="47">
        <v>35</v>
      </c>
      <c r="J3" s="33" t="s">
        <v>79</v>
      </c>
      <c r="K3" s="43">
        <v>130000</v>
      </c>
      <c r="L3" s="43"/>
      <c r="M3" s="43"/>
      <c r="N3" s="33" t="s">
        <v>5</v>
      </c>
      <c r="P3" s="33" t="s">
        <v>139</v>
      </c>
      <c r="Q3" s="46">
        <v>1000</v>
      </c>
      <c r="R3" s="46"/>
      <c r="S3" s="42">
        <v>2023</v>
      </c>
      <c r="T3" s="17">
        <f>G33/$Q$3</f>
        <v>6932.8277172000016</v>
      </c>
      <c r="U3" s="79">
        <f>$Q$12*T3</f>
        <v>378532393.35912007</v>
      </c>
    </row>
    <row r="4" spans="2:21" ht="15" customHeight="1" thickBot="1" x14ac:dyDescent="0.35">
      <c r="B4" s="47" t="s">
        <v>56</v>
      </c>
      <c r="C4" s="47">
        <v>410</v>
      </c>
      <c r="D4" s="47" t="s">
        <v>55</v>
      </c>
      <c r="F4" s="47" t="s">
        <v>65</v>
      </c>
      <c r="G4" s="47">
        <v>25</v>
      </c>
      <c r="J4" s="46" t="s">
        <v>108</v>
      </c>
      <c r="K4" s="46">
        <v>60</v>
      </c>
      <c r="L4" s="46"/>
      <c r="M4" s="46"/>
      <c r="N4" s="46" t="s">
        <v>109</v>
      </c>
      <c r="P4" s="46" t="s">
        <v>140</v>
      </c>
      <c r="Q4" s="43">
        <v>4000</v>
      </c>
      <c r="R4" s="46" t="s">
        <v>55</v>
      </c>
      <c r="S4" s="42">
        <v>2024</v>
      </c>
      <c r="T4" s="17">
        <f t="shared" ref="T4:T8" si="0">G34/$Q$3</f>
        <v>10174.530938122123</v>
      </c>
      <c r="U4" s="79">
        <f t="shared" ref="U4:U8" si="1">$Q$12*T4</f>
        <v>555529389.22146797</v>
      </c>
    </row>
    <row r="5" spans="2:21" ht="15" customHeight="1" thickBot="1" x14ac:dyDescent="0.35">
      <c r="B5" s="47" t="s">
        <v>57</v>
      </c>
      <c r="C5" s="47" t="s">
        <v>61</v>
      </c>
      <c r="D5" s="53"/>
      <c r="F5" s="47" t="s">
        <v>66</v>
      </c>
      <c r="G5" s="47">
        <v>49</v>
      </c>
      <c r="J5" s="46" t="s">
        <v>106</v>
      </c>
      <c r="K5" s="46" t="s">
        <v>107</v>
      </c>
      <c r="L5" s="46">
        <v>3</v>
      </c>
      <c r="M5" s="46"/>
      <c r="N5" s="46" t="s">
        <v>121</v>
      </c>
      <c r="P5" s="46" t="s">
        <v>150</v>
      </c>
      <c r="Q5" s="46">
        <v>53</v>
      </c>
      <c r="R5" s="46" t="s">
        <v>55</v>
      </c>
      <c r="S5" s="42">
        <v>2025</v>
      </c>
      <c r="T5" s="17">
        <f t="shared" si="0"/>
        <v>12819.908982033876</v>
      </c>
      <c r="U5" s="79">
        <f t="shared" si="1"/>
        <v>699967030.41904962</v>
      </c>
    </row>
    <row r="6" spans="2:21" ht="15" customHeight="1" thickBot="1" x14ac:dyDescent="0.35">
      <c r="B6" s="47" t="s">
        <v>58</v>
      </c>
      <c r="C6" s="52">
        <v>0.24</v>
      </c>
      <c r="D6" s="47"/>
      <c r="J6" s="46" t="s">
        <v>122</v>
      </c>
      <c r="K6" s="46">
        <v>6500</v>
      </c>
      <c r="L6" s="46"/>
      <c r="M6" s="46"/>
      <c r="N6" s="46" t="s">
        <v>124</v>
      </c>
      <c r="P6" s="46" t="s">
        <v>151</v>
      </c>
      <c r="Q6" s="46">
        <v>2</v>
      </c>
      <c r="R6" s="46"/>
      <c r="S6" s="42">
        <v>2026</v>
      </c>
      <c r="T6" s="17">
        <f t="shared" si="0"/>
        <v>16153.085317362686</v>
      </c>
      <c r="U6" s="79">
        <f t="shared" si="1"/>
        <v>881958458.32800269</v>
      </c>
    </row>
    <row r="7" spans="2:21" ht="15" customHeight="1" thickBot="1" x14ac:dyDescent="0.35">
      <c r="B7" s="45" t="s">
        <v>60</v>
      </c>
      <c r="C7" s="61">
        <v>6.9000000000000006E-2</v>
      </c>
      <c r="D7" s="54"/>
      <c r="J7" s="46" t="s">
        <v>123</v>
      </c>
      <c r="K7" s="46">
        <v>13000</v>
      </c>
      <c r="L7" s="46"/>
      <c r="M7" s="46"/>
      <c r="N7" s="46" t="s">
        <v>124</v>
      </c>
      <c r="P7" s="46" t="s">
        <v>147</v>
      </c>
      <c r="Q7" s="75">
        <v>25</v>
      </c>
      <c r="R7" s="46"/>
      <c r="S7" s="42">
        <v>2027</v>
      </c>
      <c r="T7" s="17">
        <f t="shared" si="0"/>
        <v>19060.640674487968</v>
      </c>
      <c r="U7" s="79">
        <f t="shared" si="1"/>
        <v>1040710980.8270431</v>
      </c>
    </row>
    <row r="8" spans="2:21" ht="15" customHeight="1" thickBot="1" x14ac:dyDescent="0.35">
      <c r="B8" s="1"/>
      <c r="C8" s="48"/>
      <c r="D8" s="50"/>
      <c r="J8" s="73" t="s">
        <v>76</v>
      </c>
      <c r="K8" s="33">
        <v>1</v>
      </c>
      <c r="L8" s="46"/>
      <c r="M8" s="46"/>
      <c r="N8" s="46"/>
      <c r="P8" s="46" t="s">
        <v>148</v>
      </c>
      <c r="Q8" s="75">
        <v>25</v>
      </c>
      <c r="R8" s="46"/>
      <c r="S8" s="42">
        <v>2028</v>
      </c>
      <c r="T8" s="17">
        <f t="shared" si="0"/>
        <v>21157.311148681645</v>
      </c>
      <c r="U8" s="79">
        <f t="shared" si="1"/>
        <v>1155189188.7180178</v>
      </c>
    </row>
    <row r="9" spans="2:21" ht="15" customHeight="1" thickBot="1" x14ac:dyDescent="0.35">
      <c r="B9" s="1"/>
      <c r="C9" s="49"/>
      <c r="D9" s="51"/>
      <c r="F9" s="46" t="s">
        <v>131</v>
      </c>
      <c r="G9" s="46" t="s">
        <v>1</v>
      </c>
      <c r="H9" s="46" t="s">
        <v>2</v>
      </c>
      <c r="J9" s="72" t="s">
        <v>77</v>
      </c>
      <c r="K9" s="33">
        <v>5</v>
      </c>
      <c r="L9" s="46"/>
      <c r="M9" s="46"/>
      <c r="N9" s="46"/>
      <c r="P9" s="46" t="s">
        <v>149</v>
      </c>
      <c r="Q9" s="46">
        <f>(Q7+Q8)*0.8+Q5*0.2</f>
        <v>50.6</v>
      </c>
      <c r="R9" s="46"/>
    </row>
    <row r="10" spans="2:21" x14ac:dyDescent="0.3">
      <c r="F10" s="33" t="s">
        <v>102</v>
      </c>
      <c r="G10">
        <v>25</v>
      </c>
      <c r="H10" s="46"/>
      <c r="J10" s="72" t="s">
        <v>78</v>
      </c>
      <c r="K10" s="33">
        <v>5</v>
      </c>
      <c r="L10" s="46"/>
      <c r="M10" s="46"/>
      <c r="N10" s="46"/>
      <c r="P10" s="46" t="s">
        <v>152</v>
      </c>
      <c r="Q10" s="75">
        <v>10</v>
      </c>
      <c r="R10" s="46"/>
    </row>
    <row r="11" spans="2:21" x14ac:dyDescent="0.3">
      <c r="B11" s="46" t="s">
        <v>131</v>
      </c>
      <c r="C11" s="46" t="s">
        <v>1</v>
      </c>
      <c r="D11" s="46" t="s">
        <v>2</v>
      </c>
      <c r="F11" s="46" t="s">
        <v>130</v>
      </c>
      <c r="G11" s="46">
        <v>1000</v>
      </c>
      <c r="H11" s="46" t="s">
        <v>88</v>
      </c>
      <c r="J11" s="46" t="s">
        <v>167</v>
      </c>
      <c r="K11" s="46">
        <v>4</v>
      </c>
      <c r="L11" s="46"/>
      <c r="M11" s="46"/>
      <c r="N11" s="46"/>
      <c r="P11" s="46" t="s">
        <v>141</v>
      </c>
      <c r="Q11" s="46"/>
      <c r="R11" s="46"/>
    </row>
    <row r="12" spans="2:21" x14ac:dyDescent="0.3">
      <c r="B12" s="46" t="s">
        <v>173</v>
      </c>
      <c r="C12" s="46">
        <v>3000</v>
      </c>
      <c r="D12" s="46" t="s">
        <v>174</v>
      </c>
      <c r="F12" s="46" t="s">
        <v>177</v>
      </c>
      <c r="G12" s="46">
        <v>62</v>
      </c>
      <c r="H12" s="46"/>
      <c r="J12" s="46" t="s">
        <v>143</v>
      </c>
      <c r="K12" s="81">
        <f>I49*G10</f>
        <v>1685.0622923750002</v>
      </c>
      <c r="L12" s="46"/>
      <c r="M12" s="46"/>
      <c r="N12" s="46"/>
      <c r="P12" s="46" t="s">
        <v>155</v>
      </c>
      <c r="Q12" s="74">
        <f>Q4+Q9*Q3</f>
        <v>54600</v>
      </c>
      <c r="R12" s="46"/>
    </row>
    <row r="13" spans="2:21" x14ac:dyDescent="0.3">
      <c r="B13" s="46" t="s">
        <v>175</v>
      </c>
      <c r="C13" s="46">
        <v>65</v>
      </c>
      <c r="D13" s="46" t="s">
        <v>55</v>
      </c>
      <c r="F13" s="46" t="s">
        <v>178</v>
      </c>
      <c r="G13" s="46">
        <f>G11*G12</f>
        <v>62000</v>
      </c>
      <c r="H13" s="46"/>
      <c r="J13" s="46" t="s">
        <v>144</v>
      </c>
      <c r="K13" s="46">
        <f>10*G10</f>
        <v>250</v>
      </c>
      <c r="L13" s="46"/>
      <c r="M13" s="46"/>
      <c r="N13" s="46"/>
    </row>
    <row r="14" spans="2:21" x14ac:dyDescent="0.3">
      <c r="B14" s="46" t="s">
        <v>176</v>
      </c>
      <c r="C14" s="46">
        <f>C12*C13</f>
        <v>195000</v>
      </c>
      <c r="D14" s="46"/>
      <c r="F14" s="33" t="s">
        <v>132</v>
      </c>
      <c r="G14" s="46">
        <f>G11*G10*G12</f>
        <v>1550000</v>
      </c>
      <c r="H14" s="46"/>
      <c r="J14" s="46" t="s">
        <v>145</v>
      </c>
      <c r="K14" s="81">
        <f>K12+K13</f>
        <v>1935.0622923750002</v>
      </c>
      <c r="L14" s="46"/>
      <c r="M14" s="46"/>
      <c r="N14" s="46"/>
    </row>
    <row r="15" spans="2:21" x14ac:dyDescent="0.3">
      <c r="B15" s="46" t="s">
        <v>181</v>
      </c>
      <c r="C15" s="46">
        <v>10</v>
      </c>
      <c r="D15" s="46"/>
      <c r="F15" s="33" t="s">
        <v>134</v>
      </c>
      <c r="G15" s="43">
        <v>25000</v>
      </c>
      <c r="H15" s="46" t="s">
        <v>55</v>
      </c>
      <c r="J15" s="46" t="s">
        <v>146</v>
      </c>
      <c r="K15" s="82">
        <f>K14*K3</f>
        <v>251558098.00875002</v>
      </c>
      <c r="L15" s="46"/>
      <c r="M15" s="46"/>
      <c r="N15" s="46"/>
    </row>
    <row r="16" spans="2:21" x14ac:dyDescent="0.3">
      <c r="B16" s="46" t="s">
        <v>182</v>
      </c>
      <c r="C16" s="46">
        <v>50000</v>
      </c>
      <c r="D16" s="46" t="s">
        <v>55</v>
      </c>
      <c r="F16" s="33" t="s">
        <v>133</v>
      </c>
      <c r="G16" s="46">
        <v>2</v>
      </c>
      <c r="H16" s="46"/>
      <c r="J16" s="72" t="s">
        <v>127</v>
      </c>
      <c r="K16" s="43">
        <f>K6+K7/L5</f>
        <v>10833.333333333332</v>
      </c>
      <c r="L16" s="46"/>
      <c r="M16" s="46"/>
      <c r="N16" s="46"/>
    </row>
    <row r="17" spans="2:23" x14ac:dyDescent="0.3">
      <c r="B17" s="46" t="s">
        <v>183</v>
      </c>
      <c r="C17" s="46">
        <v>1</v>
      </c>
      <c r="D17" s="46"/>
      <c r="F17" s="46" t="s">
        <v>135</v>
      </c>
      <c r="G17" s="74">
        <f>G15*G16*G10</f>
        <v>1250000</v>
      </c>
      <c r="H17" s="46"/>
      <c r="J17" s="33" t="s">
        <v>126</v>
      </c>
      <c r="K17" s="43">
        <f>K14*K16</f>
        <v>20963174.834062498</v>
      </c>
      <c r="L17" s="46"/>
      <c r="M17" s="46"/>
      <c r="N17" s="46"/>
    </row>
    <row r="18" spans="2:23" x14ac:dyDescent="0.3">
      <c r="B18" s="46" t="s">
        <v>184</v>
      </c>
      <c r="C18" s="84">
        <v>100000</v>
      </c>
      <c r="D18" s="46"/>
      <c r="F18" s="33" t="s">
        <v>136</v>
      </c>
      <c r="G18" s="46">
        <v>50000</v>
      </c>
      <c r="H18" s="46" t="s">
        <v>55</v>
      </c>
      <c r="J18" s="46"/>
      <c r="K18" s="46"/>
      <c r="L18" s="46"/>
      <c r="M18" s="46"/>
      <c r="N18" s="46"/>
    </row>
    <row r="19" spans="2:23" x14ac:dyDescent="0.3">
      <c r="B19" s="46" t="s">
        <v>185</v>
      </c>
      <c r="C19" s="82">
        <f>C18*C17+C16*C15+C14</f>
        <v>795000</v>
      </c>
      <c r="D19" s="46"/>
      <c r="F19" s="46" t="s">
        <v>180</v>
      </c>
      <c r="G19" s="46">
        <v>1</v>
      </c>
      <c r="H19" s="46"/>
      <c r="J19" s="46"/>
      <c r="K19" s="46"/>
      <c r="L19" s="46"/>
      <c r="M19" s="46"/>
      <c r="N19" s="46"/>
    </row>
    <row r="20" spans="2:23" x14ac:dyDescent="0.3">
      <c r="B20" s="46"/>
      <c r="C20" s="46"/>
      <c r="D20" s="46"/>
      <c r="F20" s="46" t="s">
        <v>138</v>
      </c>
      <c r="G20" s="46">
        <f>G19*G18*G10</f>
        <v>1250000</v>
      </c>
      <c r="H20" s="46"/>
      <c r="J20" s="46"/>
      <c r="K20" s="46"/>
      <c r="L20" s="46"/>
      <c r="M20" s="46"/>
      <c r="N20" s="46"/>
    </row>
    <row r="21" spans="2:23" x14ac:dyDescent="0.3">
      <c r="F21" s="46" t="s">
        <v>179</v>
      </c>
      <c r="G21" s="74">
        <f>G20+G17+G14</f>
        <v>4050000</v>
      </c>
      <c r="H21" s="46"/>
    </row>
    <row r="22" spans="2:23" ht="15" thickBot="1" x14ac:dyDescent="0.35"/>
    <row r="23" spans="2:23" ht="45" customHeight="1" thickBot="1" x14ac:dyDescent="0.35">
      <c r="B23" s="56" t="s">
        <v>39</v>
      </c>
      <c r="C23" s="59" t="s">
        <v>40</v>
      </c>
      <c r="D23" s="57" t="s">
        <v>8</v>
      </c>
      <c r="E23" s="67" t="s">
        <v>41</v>
      </c>
      <c r="F23" s="59" t="s">
        <v>164</v>
      </c>
      <c r="G23" s="68" t="s">
        <v>59</v>
      </c>
      <c r="H23" s="55" t="s">
        <v>42</v>
      </c>
      <c r="I23" s="55" t="s">
        <v>43</v>
      </c>
      <c r="J23" s="65" t="s">
        <v>71</v>
      </c>
      <c r="K23" s="66" t="s">
        <v>70</v>
      </c>
      <c r="L23" s="65" t="s">
        <v>44</v>
      </c>
      <c r="M23" s="66" t="s">
        <v>44</v>
      </c>
      <c r="N23" s="65" t="s">
        <v>72</v>
      </c>
      <c r="O23" s="66" t="s">
        <v>45</v>
      </c>
      <c r="P23" s="65" t="s">
        <v>46</v>
      </c>
      <c r="Q23" s="66" t="s">
        <v>46</v>
      </c>
      <c r="R23" s="66" t="s">
        <v>128</v>
      </c>
      <c r="S23" s="55" t="s">
        <v>47</v>
      </c>
      <c r="T23" s="55" t="s">
        <v>48</v>
      </c>
      <c r="U23" s="55" t="s">
        <v>49</v>
      </c>
      <c r="V23" s="55" t="s">
        <v>50</v>
      </c>
      <c r="W23" s="55" t="s">
        <v>51</v>
      </c>
    </row>
    <row r="24" spans="2:23" ht="15" customHeight="1" thickBot="1" x14ac:dyDescent="0.35">
      <c r="B24" s="42">
        <v>2014</v>
      </c>
      <c r="C24" s="58">
        <v>100000</v>
      </c>
      <c r="D24" s="35"/>
      <c r="E24" s="43">
        <f>C24*$C$6</f>
        <v>24000</v>
      </c>
      <c r="F24" s="43">
        <v>100000</v>
      </c>
      <c r="G24" s="44" t="s">
        <v>12</v>
      </c>
      <c r="H24" s="63">
        <f t="shared" ref="H24:H30" si="2">H25*(1-$C$7)</f>
        <v>225.765428546398</v>
      </c>
      <c r="I24" s="64">
        <f>H24*0.22</f>
        <v>49.668394280207558</v>
      </c>
      <c r="J24" s="62">
        <f t="shared" ref="J24:J30" si="3">J25*(1-$C$7)</f>
        <v>28.22067856829975</v>
      </c>
      <c r="K24" s="62">
        <f t="shared" ref="K24:K30" si="4">K25*(1-$C$7)</f>
        <v>27.656264996933746</v>
      </c>
      <c r="L24" s="42">
        <f t="shared" ref="L24:L31" si="5">I24+J24</f>
        <v>77.889072848507311</v>
      </c>
      <c r="M24" s="44" t="s">
        <v>12</v>
      </c>
      <c r="N24" s="95">
        <f t="shared" ref="N24:N38" si="6">E24*L24</f>
        <v>1869337.7483641754</v>
      </c>
      <c r="O24" s="92" t="s">
        <v>12</v>
      </c>
      <c r="P24" s="92">
        <f t="shared" ref="P24:P38" si="7">N24*12</f>
        <v>22432052.980370104</v>
      </c>
      <c r="Q24" s="44" t="s">
        <v>12</v>
      </c>
      <c r="R24" s="44"/>
      <c r="S24" s="33"/>
      <c r="T24" s="33"/>
      <c r="U24" s="33"/>
      <c r="V24" s="33"/>
      <c r="W24" s="33"/>
    </row>
    <row r="25" spans="2:23" ht="15" customHeight="1" thickBot="1" x14ac:dyDescent="0.35">
      <c r="B25" s="42">
        <v>2015</v>
      </c>
      <c r="C25" s="4">
        <v>500000</v>
      </c>
      <c r="D25" s="35">
        <f t="shared" ref="D25:D33" si="8">(C25-C24)/C24</f>
        <v>4</v>
      </c>
      <c r="E25" s="43">
        <f t="shared" ref="E25:E38" si="9">C25*$C$6</f>
        <v>120000</v>
      </c>
      <c r="F25" s="43">
        <v>500000</v>
      </c>
      <c r="G25" s="44" t="s">
        <v>12</v>
      </c>
      <c r="H25" s="63">
        <f t="shared" si="2"/>
        <v>242.49777502298386</v>
      </c>
      <c r="I25" s="64">
        <f t="shared" ref="I25:I27" si="10">H25*0.22</f>
        <v>53.34951050505645</v>
      </c>
      <c r="J25" s="62">
        <f t="shared" si="3"/>
        <v>30.312221877872982</v>
      </c>
      <c r="K25" s="62">
        <f t="shared" si="4"/>
        <v>29.705977440315515</v>
      </c>
      <c r="L25" s="42">
        <f t="shared" si="5"/>
        <v>83.661732382929429</v>
      </c>
      <c r="M25" s="44" t="s">
        <v>12</v>
      </c>
      <c r="N25" s="95">
        <f t="shared" si="6"/>
        <v>10039407.885951532</v>
      </c>
      <c r="O25" s="92" t="s">
        <v>12</v>
      </c>
      <c r="P25" s="92">
        <f t="shared" si="7"/>
        <v>120472894.63141838</v>
      </c>
      <c r="Q25" s="44" t="s">
        <v>12</v>
      </c>
      <c r="R25" s="44"/>
      <c r="S25" s="33"/>
      <c r="T25" s="33"/>
      <c r="U25" s="33"/>
      <c r="V25" s="33"/>
      <c r="W25" s="33"/>
    </row>
    <row r="26" spans="2:23" ht="15" customHeight="1" thickBot="1" x14ac:dyDescent="0.35">
      <c r="B26" s="42">
        <v>2016</v>
      </c>
      <c r="C26" s="4">
        <v>1000000</v>
      </c>
      <c r="D26" s="35">
        <f t="shared" si="8"/>
        <v>1</v>
      </c>
      <c r="E26" s="43">
        <f t="shared" si="9"/>
        <v>240000</v>
      </c>
      <c r="F26" s="43">
        <v>1000000</v>
      </c>
      <c r="G26" s="44" t="s">
        <v>12</v>
      </c>
      <c r="H26" s="63">
        <f t="shared" si="2"/>
        <v>260.47022021802775</v>
      </c>
      <c r="I26" s="64">
        <f t="shared" si="10"/>
        <v>57.303448447966105</v>
      </c>
      <c r="J26" s="62">
        <f t="shared" si="3"/>
        <v>32.558777527253469</v>
      </c>
      <c r="K26" s="62">
        <f t="shared" si="4"/>
        <v>31.907601976708392</v>
      </c>
      <c r="L26" s="42">
        <f t="shared" si="5"/>
        <v>89.862225975219573</v>
      </c>
      <c r="M26" s="44" t="s">
        <v>12</v>
      </c>
      <c r="N26" s="95">
        <f t="shared" si="6"/>
        <v>21566934.234052699</v>
      </c>
      <c r="O26" s="92" t="s">
        <v>12</v>
      </c>
      <c r="P26" s="92">
        <f t="shared" si="7"/>
        <v>258803210.80863237</v>
      </c>
      <c r="Q26" s="44" t="s">
        <v>12</v>
      </c>
      <c r="R26" s="44"/>
      <c r="S26" s="33"/>
      <c r="T26" s="33"/>
      <c r="U26" s="33"/>
      <c r="V26" s="33"/>
      <c r="W26" s="33"/>
    </row>
    <row r="27" spans="2:23" ht="15" customHeight="1" thickBot="1" x14ac:dyDescent="0.35">
      <c r="B27" s="42">
        <v>2017</v>
      </c>
      <c r="C27" s="4">
        <v>3000000</v>
      </c>
      <c r="D27" s="35">
        <f t="shared" si="8"/>
        <v>2</v>
      </c>
      <c r="E27" s="43">
        <f t="shared" si="9"/>
        <v>720000</v>
      </c>
      <c r="F27" s="43">
        <v>3000000</v>
      </c>
      <c r="G27" s="44" t="s">
        <v>12</v>
      </c>
      <c r="H27" s="63">
        <f t="shared" si="2"/>
        <v>279.7746726294605</v>
      </c>
      <c r="I27" s="64">
        <f t="shared" si="10"/>
        <v>61.550427978481309</v>
      </c>
      <c r="J27" s="62">
        <f t="shared" si="3"/>
        <v>34.971834078682562</v>
      </c>
      <c r="K27" s="62">
        <f t="shared" si="4"/>
        <v>34.272397397108904</v>
      </c>
      <c r="L27" s="42">
        <f t="shared" si="5"/>
        <v>96.522262057163871</v>
      </c>
      <c r="M27" s="44" t="s">
        <v>12</v>
      </c>
      <c r="N27" s="95">
        <f t="shared" si="6"/>
        <v>69496028.681157991</v>
      </c>
      <c r="O27" s="92" t="s">
        <v>12</v>
      </c>
      <c r="P27" s="92">
        <f t="shared" si="7"/>
        <v>833952344.17389584</v>
      </c>
      <c r="Q27" s="44" t="s">
        <v>12</v>
      </c>
      <c r="R27" s="44"/>
      <c r="S27" s="33"/>
      <c r="T27" s="33"/>
      <c r="U27" s="33"/>
      <c r="V27" s="33"/>
      <c r="W27" s="33"/>
    </row>
    <row r="28" spans="2:23" ht="15" customHeight="1" thickBot="1" x14ac:dyDescent="0.35">
      <c r="B28" s="42">
        <v>2018</v>
      </c>
      <c r="C28" s="4">
        <v>5023333.3333333302</v>
      </c>
      <c r="D28" s="35">
        <f t="shared" si="8"/>
        <v>0.6744444444444434</v>
      </c>
      <c r="E28" s="43">
        <f t="shared" si="9"/>
        <v>1205599.9999999993</v>
      </c>
      <c r="F28" s="43">
        <v>5023333.3333333302</v>
      </c>
      <c r="G28" s="44" t="s">
        <v>12</v>
      </c>
      <c r="H28" s="63">
        <f t="shared" si="2"/>
        <v>300.50985244840007</v>
      </c>
      <c r="I28" s="64">
        <f>H28*0.23</f>
        <v>69.117266063132021</v>
      </c>
      <c r="J28" s="62">
        <f t="shared" si="3"/>
        <v>37.563731556050008</v>
      </c>
      <c r="K28" s="62">
        <f t="shared" si="4"/>
        <v>36.812456924929002</v>
      </c>
      <c r="L28" s="42">
        <f t="shared" si="5"/>
        <v>106.68099761918202</v>
      </c>
      <c r="M28" s="44" t="s">
        <v>12</v>
      </c>
      <c r="N28" s="95">
        <f t="shared" si="6"/>
        <v>128614610.72968577</v>
      </c>
      <c r="O28" s="92" t="s">
        <v>12</v>
      </c>
      <c r="P28" s="92">
        <f t="shared" si="7"/>
        <v>1543375328.7562292</v>
      </c>
      <c r="Q28" s="44" t="s">
        <v>12</v>
      </c>
      <c r="R28" s="44"/>
      <c r="S28" s="33"/>
      <c r="T28" s="33"/>
      <c r="U28" s="33"/>
      <c r="V28" s="33"/>
      <c r="W28" s="33"/>
    </row>
    <row r="29" spans="2:23" ht="15" customHeight="1" thickBot="1" x14ac:dyDescent="0.35">
      <c r="B29" s="42">
        <v>2019</v>
      </c>
      <c r="C29" s="4">
        <v>7000000</v>
      </c>
      <c r="D29" s="35">
        <f t="shared" si="8"/>
        <v>0.393497013934971</v>
      </c>
      <c r="E29" s="43">
        <f t="shared" si="9"/>
        <v>1680000</v>
      </c>
      <c r="F29" s="43">
        <v>7000000</v>
      </c>
      <c r="G29" s="44" t="s">
        <v>12</v>
      </c>
      <c r="H29" s="63">
        <f t="shared" si="2"/>
        <v>322.78179640000008</v>
      </c>
      <c r="I29" s="64">
        <f t="shared" ref="I29:I30" si="11">H29*0.23</f>
        <v>74.239813172000026</v>
      </c>
      <c r="J29" s="62">
        <f t="shared" si="3"/>
        <v>40.347724550000009</v>
      </c>
      <c r="K29" s="62">
        <f t="shared" si="4"/>
        <v>39.540770059000003</v>
      </c>
      <c r="L29" s="42">
        <f t="shared" si="5"/>
        <v>114.58753772200004</v>
      </c>
      <c r="M29" s="44" t="s">
        <v>12</v>
      </c>
      <c r="N29" s="95">
        <f t="shared" si="6"/>
        <v>192507063.37296006</v>
      </c>
      <c r="O29" s="92" t="s">
        <v>12</v>
      </c>
      <c r="P29" s="92">
        <f t="shared" si="7"/>
        <v>2310084760.4755206</v>
      </c>
      <c r="Q29" s="44" t="s">
        <v>12</v>
      </c>
      <c r="R29" s="44"/>
      <c r="S29" s="33"/>
      <c r="T29" s="33"/>
      <c r="U29" s="33"/>
      <c r="V29" s="33"/>
      <c r="W29" s="33"/>
    </row>
    <row r="30" spans="2:23" ht="15" customHeight="1" thickBot="1" x14ac:dyDescent="0.35">
      <c r="B30" s="42">
        <v>2020</v>
      </c>
      <c r="C30" s="4">
        <v>9000000</v>
      </c>
      <c r="D30" s="35">
        <f t="shared" si="8"/>
        <v>0.2857142857142857</v>
      </c>
      <c r="E30" s="43">
        <f t="shared" si="9"/>
        <v>2160000</v>
      </c>
      <c r="F30" s="43">
        <v>9000000</v>
      </c>
      <c r="G30" s="44" t="s">
        <v>12</v>
      </c>
      <c r="H30" s="63">
        <f t="shared" si="2"/>
        <v>346.70440000000008</v>
      </c>
      <c r="I30" s="64">
        <f t="shared" si="11"/>
        <v>79.742012000000017</v>
      </c>
      <c r="J30" s="62">
        <f t="shared" si="3"/>
        <v>43.33805000000001</v>
      </c>
      <c r="K30" s="62">
        <f t="shared" si="4"/>
        <v>42.471288999999999</v>
      </c>
      <c r="L30" s="42">
        <f t="shared" si="5"/>
        <v>123.08006200000003</v>
      </c>
      <c r="M30" s="44" t="s">
        <v>12</v>
      </c>
      <c r="N30" s="95">
        <f t="shared" si="6"/>
        <v>265852933.92000005</v>
      </c>
      <c r="O30" s="92" t="s">
        <v>12</v>
      </c>
      <c r="P30" s="92">
        <f t="shared" si="7"/>
        <v>3190235207.0400004</v>
      </c>
      <c r="Q30" s="44" t="s">
        <v>12</v>
      </c>
      <c r="R30" s="44"/>
      <c r="S30" s="33"/>
      <c r="T30" s="33"/>
      <c r="U30" s="33"/>
      <c r="V30" s="33"/>
      <c r="W30" s="33"/>
    </row>
    <row r="31" spans="2:23" ht="15" customHeight="1" thickBot="1" x14ac:dyDescent="0.35">
      <c r="B31" s="42">
        <v>2021</v>
      </c>
      <c r="C31" s="4">
        <v>13000000</v>
      </c>
      <c r="D31" s="35">
        <f t="shared" si="8"/>
        <v>0.44444444444444442</v>
      </c>
      <c r="E31" s="43">
        <f t="shared" si="9"/>
        <v>3120000</v>
      </c>
      <c r="F31" s="43">
        <v>13000000</v>
      </c>
      <c r="G31" s="44" t="s">
        <v>12</v>
      </c>
      <c r="H31" s="63">
        <f>H32*(1-$C$7)</f>
        <v>372.40000000000003</v>
      </c>
      <c r="I31" s="64">
        <f>H31*0.24</f>
        <v>89.376000000000005</v>
      </c>
      <c r="J31" s="62">
        <f>J32*(1-$C$7)</f>
        <v>46.550000000000004</v>
      </c>
      <c r="K31" s="62">
        <f>K32*(1-$C$7)</f>
        <v>45.619</v>
      </c>
      <c r="L31" s="42">
        <f t="shared" si="5"/>
        <v>135.92600000000002</v>
      </c>
      <c r="M31" s="44" t="s">
        <v>12</v>
      </c>
      <c r="N31" s="95">
        <f t="shared" si="6"/>
        <v>424089120.00000006</v>
      </c>
      <c r="O31" s="92" t="s">
        <v>12</v>
      </c>
      <c r="P31" s="92">
        <f t="shared" si="7"/>
        <v>5089069440.000001</v>
      </c>
      <c r="Q31" s="44" t="s">
        <v>12</v>
      </c>
      <c r="R31" s="44"/>
      <c r="S31" s="33"/>
      <c r="T31" s="33"/>
      <c r="U31" s="33"/>
      <c r="V31" s="33"/>
      <c r="W31" s="33"/>
    </row>
    <row r="32" spans="2:23" ht="15" customHeight="1" thickBot="1" x14ac:dyDescent="0.35">
      <c r="B32" s="42">
        <v>2022</v>
      </c>
      <c r="C32" s="4">
        <v>20000000</v>
      </c>
      <c r="D32" s="35">
        <f t="shared" si="8"/>
        <v>0.53846153846153844</v>
      </c>
      <c r="E32" s="43">
        <f t="shared" si="9"/>
        <v>4800000</v>
      </c>
      <c r="F32" s="43">
        <v>20000000</v>
      </c>
      <c r="G32" s="60" t="s">
        <v>12</v>
      </c>
      <c r="H32" s="63">
        <v>400</v>
      </c>
      <c r="I32" s="64">
        <f t="shared" ref="I32:I35" si="12">H32*0.24</f>
        <v>96</v>
      </c>
      <c r="J32" s="64">
        <v>50</v>
      </c>
      <c r="K32" s="42">
        <f>$G$5</f>
        <v>49</v>
      </c>
      <c r="L32" s="42">
        <f t="shared" ref="L32:L38" si="13">I32+J32</f>
        <v>146</v>
      </c>
      <c r="M32" s="42">
        <f t="shared" ref="M32:M37" si="14">I32+K32</f>
        <v>145</v>
      </c>
      <c r="N32" s="95">
        <f t="shared" si="6"/>
        <v>700800000</v>
      </c>
      <c r="O32" s="92" t="s">
        <v>12</v>
      </c>
      <c r="P32" s="92">
        <f t="shared" si="7"/>
        <v>8409600000</v>
      </c>
      <c r="Q32" s="43" t="s">
        <v>12</v>
      </c>
      <c r="R32" s="43"/>
      <c r="S32" s="43"/>
      <c r="T32" s="43"/>
      <c r="U32" s="43"/>
      <c r="V32" s="42"/>
      <c r="W32" s="35"/>
    </row>
    <row r="33" spans="2:23" ht="15" customHeight="1" thickBot="1" x14ac:dyDescent="0.35">
      <c r="B33" s="42">
        <v>2023</v>
      </c>
      <c r="C33" s="24">
        <v>25010201</v>
      </c>
      <c r="D33" s="35">
        <f t="shared" si="8"/>
        <v>0.25051004999999998</v>
      </c>
      <c r="E33" s="43">
        <f t="shared" si="9"/>
        <v>6002448.2400000002</v>
      </c>
      <c r="F33" s="43">
        <v>25940580.477200001</v>
      </c>
      <c r="G33" s="43">
        <v>6932827.7172000017</v>
      </c>
      <c r="H33" s="63">
        <f>H32*(1+$C$7)</f>
        <v>427.59999999999997</v>
      </c>
      <c r="I33" s="64">
        <f t="shared" si="12"/>
        <v>102.62399999999998</v>
      </c>
      <c r="J33" s="42">
        <f>J32*(1+$C$7)</f>
        <v>53.449999999999996</v>
      </c>
      <c r="K33" s="42">
        <f>K32*(1+$C$7)</f>
        <v>52.381</v>
      </c>
      <c r="L33" s="42">
        <f t="shared" si="13"/>
        <v>156.07399999999998</v>
      </c>
      <c r="M33" s="42">
        <f t="shared" si="14"/>
        <v>155.005</v>
      </c>
      <c r="N33" s="95">
        <f t="shared" si="6"/>
        <v>936826106.60975993</v>
      </c>
      <c r="O33" s="92">
        <f>G33*M33</f>
        <v>1074622960.3045862</v>
      </c>
      <c r="P33" s="92">
        <f t="shared" si="7"/>
        <v>11241913279.31712</v>
      </c>
      <c r="Q33" s="93">
        <f>O33*12</f>
        <v>12895475523.655033</v>
      </c>
      <c r="R33" s="43"/>
      <c r="S33" s="43">
        <f>($C$19+$G$21+N49+U3)</f>
        <v>404340568.19318259</v>
      </c>
      <c r="T33" s="43">
        <v>140202452.39791873</v>
      </c>
      <c r="U33" s="43">
        <f>S33+T33</f>
        <v>544543020.59110129</v>
      </c>
      <c r="V33" s="69">
        <f>O33-U33</f>
        <v>530079939.71348488</v>
      </c>
      <c r="W33" s="35"/>
    </row>
    <row r="34" spans="2:23" ht="15" customHeight="1" thickBot="1" x14ac:dyDescent="0.35">
      <c r="B34" s="42">
        <v>2024</v>
      </c>
      <c r="C34" s="14">
        <f t="shared" ref="C34:C36" si="15">C35/(1+D35)</f>
        <v>36704657.06393262</v>
      </c>
      <c r="D34" s="35">
        <v>0.48</v>
      </c>
      <c r="E34" s="43">
        <f t="shared" si="9"/>
        <v>8809117.6953438278</v>
      </c>
      <c r="F34" s="43">
        <v>38070070.306710914</v>
      </c>
      <c r="G34" s="43">
        <v>10174530.938122123</v>
      </c>
      <c r="H34" s="63">
        <f t="shared" ref="H34:H38" si="16">H33*(1+$C$7)</f>
        <v>457.10439999999994</v>
      </c>
      <c r="I34" s="64">
        <f t="shared" si="12"/>
        <v>109.70505599999998</v>
      </c>
      <c r="J34" s="42">
        <f t="shared" ref="J34:J38" si="17">J33*(1+$C$7)</f>
        <v>57.138049999999993</v>
      </c>
      <c r="K34" s="42">
        <f t="shared" ref="K34:K38" si="18">K33*(1+$C$7)</f>
        <v>55.995289</v>
      </c>
      <c r="L34" s="42">
        <f t="shared" si="13"/>
        <v>166.84310599999998</v>
      </c>
      <c r="M34" s="42">
        <f t="shared" si="14"/>
        <v>165.70034499999997</v>
      </c>
      <c r="N34" s="95">
        <f t="shared" si="6"/>
        <v>1469740557.4107258</v>
      </c>
      <c r="O34" s="92">
        <f t="shared" ref="O34:O38" si="19">G34*M34</f>
        <v>1685923286.6600091</v>
      </c>
      <c r="P34" s="92">
        <f t="shared" si="7"/>
        <v>17636886688.928711</v>
      </c>
      <c r="Q34" s="93">
        <f>O34*12</f>
        <v>20231079439.920109</v>
      </c>
      <c r="R34" s="43"/>
      <c r="S34" s="43">
        <f>($C$19+$G$21+N50+U4)*(1+$C$7)</f>
        <v>630574556.42756355</v>
      </c>
      <c r="T34" s="43">
        <f>T33*(1+$C$7)</f>
        <v>149876421.61337513</v>
      </c>
      <c r="U34" s="43">
        <f t="shared" ref="U34:U38" si="20">S34+T34</f>
        <v>780450978.04093862</v>
      </c>
      <c r="V34" s="69">
        <f t="shared" ref="V34:V38" si="21">O34-U34</f>
        <v>905472308.61907053</v>
      </c>
      <c r="W34" s="35"/>
    </row>
    <row r="35" spans="2:23" ht="15" customHeight="1" thickBot="1" x14ac:dyDescent="0.35">
      <c r="B35" s="42">
        <v>2025</v>
      </c>
      <c r="C35" s="14">
        <f t="shared" si="15"/>
        <v>46247867.900555104</v>
      </c>
      <c r="D35" s="35">
        <v>0.26</v>
      </c>
      <c r="E35" s="43">
        <f t="shared" si="9"/>
        <v>11099488.296133224</v>
      </c>
      <c r="F35" s="43">
        <v>47968288.586455755</v>
      </c>
      <c r="G35" s="43">
        <v>12819908.982033877</v>
      </c>
      <c r="H35" s="63">
        <f t="shared" si="16"/>
        <v>488.64460359999993</v>
      </c>
      <c r="I35" s="64">
        <f t="shared" si="12"/>
        <v>117.27470486399997</v>
      </c>
      <c r="J35" s="42">
        <f t="shared" si="17"/>
        <v>61.080575449999991</v>
      </c>
      <c r="K35" s="42">
        <f t="shared" si="18"/>
        <v>59.858963940999999</v>
      </c>
      <c r="L35" s="42">
        <f t="shared" si="13"/>
        <v>178.35528031399997</v>
      </c>
      <c r="M35" s="42">
        <f t="shared" si="14"/>
        <v>177.13366880499996</v>
      </c>
      <c r="N35" s="95">
        <f t="shared" si="6"/>
        <v>1979652346.398803</v>
      </c>
      <c r="O35" s="92">
        <f t="shared" si="19"/>
        <v>2270837511.7338328</v>
      </c>
      <c r="P35" s="92">
        <f t="shared" si="7"/>
        <v>23755828156.785637</v>
      </c>
      <c r="Q35" s="93">
        <f>O35*12</f>
        <v>27250050140.805992</v>
      </c>
      <c r="R35" s="43"/>
      <c r="S35" s="43">
        <f>($C$19+$G$21+N51+U5)*(1+$C$7)</f>
        <v>792424567.63206339</v>
      </c>
      <c r="T35" s="43">
        <f t="shared" ref="T35:T38" si="22">T34*(1+$C$7)</f>
        <v>160217894.704698</v>
      </c>
      <c r="U35" s="43">
        <f t="shared" si="20"/>
        <v>952642462.33676136</v>
      </c>
      <c r="V35" s="69">
        <f t="shared" si="21"/>
        <v>1318195049.3970714</v>
      </c>
      <c r="W35" s="35"/>
    </row>
    <row r="36" spans="2:23" ht="15" customHeight="1" thickBot="1" x14ac:dyDescent="0.35">
      <c r="B36" s="42">
        <v>2026</v>
      </c>
      <c r="C36" s="14">
        <f t="shared" si="15"/>
        <v>58272313.554699428</v>
      </c>
      <c r="D36" s="35">
        <v>0.26</v>
      </c>
      <c r="E36" s="43">
        <f t="shared" si="9"/>
        <v>13985355.253127862</v>
      </c>
      <c r="F36" s="43">
        <v>60440043.618934251</v>
      </c>
      <c r="G36" s="43">
        <v>16153085.317362685</v>
      </c>
      <c r="H36" s="63">
        <f t="shared" si="16"/>
        <v>522.36108124839984</v>
      </c>
      <c r="I36" s="64">
        <f>H36*0.25</f>
        <v>130.59027031209996</v>
      </c>
      <c r="J36" s="42">
        <f t="shared" si="17"/>
        <v>65.29513515604998</v>
      </c>
      <c r="K36" s="42">
        <f t="shared" si="18"/>
        <v>63.989232452928995</v>
      </c>
      <c r="L36" s="42">
        <f t="shared" si="13"/>
        <v>195.88540546814994</v>
      </c>
      <c r="M36" s="42">
        <f t="shared" si="14"/>
        <v>194.57950276502896</v>
      </c>
      <c r="N36" s="95">
        <f t="shared" si="6"/>
        <v>2739526984.375072</v>
      </c>
      <c r="O36" s="92">
        <f t="shared" si="19"/>
        <v>3143059309.173521</v>
      </c>
      <c r="P36" s="92">
        <f t="shared" si="7"/>
        <v>32874323812.500862</v>
      </c>
      <c r="Q36" s="93">
        <f>O36*12</f>
        <v>37716711710.082253</v>
      </c>
      <c r="R36" s="43"/>
      <c r="S36" s="43">
        <f>($C$19+$G$21+N52+U6)*(1+$C$7)</f>
        <v>996355581.74973333</v>
      </c>
      <c r="T36" s="43">
        <f t="shared" si="22"/>
        <v>171272929.43932214</v>
      </c>
      <c r="U36" s="43">
        <f t="shared" si="20"/>
        <v>1167628511.1890554</v>
      </c>
      <c r="V36" s="69">
        <f t="shared" si="21"/>
        <v>1975430797.9844656</v>
      </c>
      <c r="W36" s="35"/>
    </row>
    <row r="37" spans="2:23" ht="15" customHeight="1" thickBot="1" x14ac:dyDescent="0.35">
      <c r="B37" s="42">
        <v>2027</v>
      </c>
      <c r="C37" s="14">
        <f>C38/(1+D38)</f>
        <v>68761329.994545326</v>
      </c>
      <c r="D37" s="35">
        <v>0.18</v>
      </c>
      <c r="E37" s="43">
        <f t="shared" si="9"/>
        <v>16502719.198690878</v>
      </c>
      <c r="F37" s="43">
        <v>71319251.470342413</v>
      </c>
      <c r="G37" s="43">
        <v>19060640.674487967</v>
      </c>
      <c r="H37" s="63">
        <f t="shared" si="16"/>
        <v>558.4039958545394</v>
      </c>
      <c r="I37" s="64">
        <f t="shared" ref="I37:I38" si="23">H37*0.25</f>
        <v>139.60099896363485</v>
      </c>
      <c r="J37" s="42">
        <f t="shared" si="17"/>
        <v>69.800499481817425</v>
      </c>
      <c r="K37" s="42">
        <f t="shared" si="18"/>
        <v>68.404489492181099</v>
      </c>
      <c r="L37" s="42">
        <f t="shared" si="13"/>
        <v>209.40149844545226</v>
      </c>
      <c r="M37" s="42">
        <f t="shared" si="14"/>
        <v>208.00548845581596</v>
      </c>
      <c r="N37" s="95">
        <f t="shared" si="6"/>
        <v>3455694128.630403</v>
      </c>
      <c r="O37" s="92">
        <f t="shared" si="19"/>
        <v>3964717873.7776632</v>
      </c>
      <c r="P37" s="92">
        <f t="shared" si="7"/>
        <v>41468329543.564835</v>
      </c>
      <c r="Q37" s="93">
        <f>O37*12</f>
        <v>47576614485.331955</v>
      </c>
      <c r="R37" s="43"/>
      <c r="S37" s="43">
        <f>($C$19+$G$21+N53+U7)*(1+$C$7)</f>
        <v>1174246174.0646851</v>
      </c>
      <c r="T37" s="43">
        <f t="shared" si="22"/>
        <v>183090761.57063535</v>
      </c>
      <c r="U37" s="43">
        <f t="shared" si="20"/>
        <v>1357336935.6353204</v>
      </c>
      <c r="V37" s="69">
        <f t="shared" si="21"/>
        <v>2607380938.1423426</v>
      </c>
      <c r="W37" s="35"/>
    </row>
    <row r="38" spans="2:23" ht="15" customHeight="1" thickBot="1" x14ac:dyDescent="0.35">
      <c r="B38" s="42">
        <v>2028</v>
      </c>
      <c r="C38" s="14">
        <v>76325076.293945313</v>
      </c>
      <c r="D38" s="35">
        <v>0.11</v>
      </c>
      <c r="E38" s="43">
        <f t="shared" si="9"/>
        <v>18318018.310546875</v>
      </c>
      <c r="F38" s="43">
        <v>79164369.132080078</v>
      </c>
      <c r="G38" s="43">
        <v>21157311.148681644</v>
      </c>
      <c r="H38" s="63">
        <f t="shared" si="16"/>
        <v>596.93387156850258</v>
      </c>
      <c r="I38" s="64">
        <f t="shared" si="23"/>
        <v>149.23346789212565</v>
      </c>
      <c r="J38" s="42">
        <f t="shared" si="17"/>
        <v>74.616733946062823</v>
      </c>
      <c r="K38" s="42">
        <f t="shared" si="18"/>
        <v>73.124399267141598</v>
      </c>
      <c r="L38" s="42">
        <f t="shared" si="13"/>
        <v>223.85020183818847</v>
      </c>
      <c r="M38" s="42">
        <f t="shared" ref="M38" si="24">I38+K38</f>
        <v>222.35786715926724</v>
      </c>
      <c r="N38" s="95">
        <f t="shared" si="6"/>
        <v>4100492096.0915499</v>
      </c>
      <c r="O38" s="92">
        <f t="shared" si="19"/>
        <v>4704494581.8458366</v>
      </c>
      <c r="P38" s="92">
        <f t="shared" si="7"/>
        <v>49205905153.098602</v>
      </c>
      <c r="Q38" s="93">
        <f t="shared" ref="Q38" si="25">O38*12</f>
        <v>56453934982.15004</v>
      </c>
      <c r="R38" s="43"/>
      <c r="S38" s="43">
        <f>($C$19+$G$21+N54+U8)*(1+$C$7)</f>
        <v>1302525056.7451341</v>
      </c>
      <c r="T38" s="43">
        <f t="shared" si="22"/>
        <v>195724024.11900917</v>
      </c>
      <c r="U38" s="43">
        <f t="shared" si="20"/>
        <v>1498249080.8641434</v>
      </c>
      <c r="V38" s="69">
        <f t="shared" si="21"/>
        <v>3206245500.9816933</v>
      </c>
      <c r="W38" s="35"/>
    </row>
    <row r="41" spans="2:23" x14ac:dyDescent="0.3">
      <c r="G41" s="18"/>
      <c r="O41" s="18"/>
      <c r="U41" s="18"/>
    </row>
    <row r="44" spans="2:23" ht="15.6" x14ac:dyDescent="0.3">
      <c r="C44" s="113" t="s">
        <v>156</v>
      </c>
      <c r="D44" s="114"/>
      <c r="E44" s="114"/>
      <c r="F44" s="114"/>
      <c r="J44" s="76" t="s">
        <v>157</v>
      </c>
      <c r="L44" t="s">
        <v>144</v>
      </c>
      <c r="M44">
        <f>K13</f>
        <v>250</v>
      </c>
    </row>
    <row r="46" spans="2:23" x14ac:dyDescent="0.3">
      <c r="G46" s="33" t="s">
        <v>158</v>
      </c>
      <c r="I46" s="33" t="s">
        <v>159</v>
      </c>
    </row>
    <row r="47" spans="2:23" x14ac:dyDescent="0.3">
      <c r="G47" s="33">
        <v>30</v>
      </c>
      <c r="I47" s="33">
        <f>K10*K11</f>
        <v>20</v>
      </c>
      <c r="K47" t="s">
        <v>168</v>
      </c>
      <c r="L47" t="s">
        <v>169</v>
      </c>
    </row>
    <row r="48" spans="2:23" x14ac:dyDescent="0.3">
      <c r="B48" s="33" t="s">
        <v>39</v>
      </c>
      <c r="C48" s="33" t="s">
        <v>160</v>
      </c>
      <c r="D48" s="33" t="s">
        <v>161</v>
      </c>
      <c r="E48" s="33" t="s">
        <v>162</v>
      </c>
      <c r="F48" s="33" t="s">
        <v>163</v>
      </c>
      <c r="G48" s="33" t="s">
        <v>165</v>
      </c>
      <c r="H48" s="33" t="s">
        <v>166</v>
      </c>
      <c r="I48" s="33" t="s">
        <v>170</v>
      </c>
      <c r="J48" s="80" t="s">
        <v>171</v>
      </c>
      <c r="M48" t="s">
        <v>186</v>
      </c>
      <c r="N48" t="s">
        <v>189</v>
      </c>
    </row>
    <row r="49" spans="2:14" x14ac:dyDescent="0.3">
      <c r="B49" s="77">
        <v>2023</v>
      </c>
      <c r="C49" s="43">
        <v>6932827.7172000017</v>
      </c>
      <c r="D49" s="42">
        <f t="shared" ref="D49:D54" si="26">C49/30</f>
        <v>231094.25724000006</v>
      </c>
      <c r="E49" s="42">
        <f t="shared" ref="E49:E54" si="27">(D49*0.7)</f>
        <v>161765.98006800003</v>
      </c>
      <c r="F49" s="42">
        <f t="shared" ref="F49:F54" si="28">E49/4</f>
        <v>40441.495017000008</v>
      </c>
      <c r="G49" s="42">
        <f t="shared" ref="G49:G54" si="29">(F49/$G$47)</f>
        <v>1348.0498339000003</v>
      </c>
      <c r="H49" s="42"/>
      <c r="I49" s="42">
        <f t="shared" ref="I49:I54" si="30">G49/$I$47</f>
        <v>67.402491695000009</v>
      </c>
      <c r="J49" s="78">
        <v>0</v>
      </c>
      <c r="K49" s="20">
        <f>I49*$G$10</f>
        <v>1685.0622923750002</v>
      </c>
      <c r="L49" s="17">
        <f>K49*$K$3</f>
        <v>219058098.00875002</v>
      </c>
      <c r="M49" s="20">
        <f t="shared" ref="M49:M53" si="31">I49*25+$M$44</f>
        <v>1935.0622923750002</v>
      </c>
      <c r="N49" s="17">
        <f>M49*$K$16</f>
        <v>20963174.834062498</v>
      </c>
    </row>
    <row r="50" spans="2:14" x14ac:dyDescent="0.3">
      <c r="B50" s="77">
        <v>2024</v>
      </c>
      <c r="C50" s="43">
        <v>10174530.938122123</v>
      </c>
      <c r="D50" s="42">
        <f t="shared" si="26"/>
        <v>339151.03127073747</v>
      </c>
      <c r="E50" s="42">
        <f t="shared" si="27"/>
        <v>237405.72188951622</v>
      </c>
      <c r="F50" s="42">
        <f t="shared" si="28"/>
        <v>59351.430472379056</v>
      </c>
      <c r="G50" s="42">
        <f t="shared" si="29"/>
        <v>1978.3810157459686</v>
      </c>
      <c r="H50" s="42"/>
      <c r="I50" s="42">
        <f t="shared" si="30"/>
        <v>98.919050787298431</v>
      </c>
      <c r="J50" s="78">
        <f>I50-I49</f>
        <v>31.516559092298422</v>
      </c>
      <c r="K50" s="20">
        <f>J50*$G$10</f>
        <v>787.91397730746053</v>
      </c>
      <c r="L50" s="17">
        <f t="shared" ref="L50:L54" si="32">K50*$K$3</f>
        <v>102428817.04996987</v>
      </c>
      <c r="M50" s="20">
        <f t="shared" si="31"/>
        <v>2722.976269682461</v>
      </c>
      <c r="N50" s="17">
        <f t="shared" ref="N50:N54" si="33">M50*$K$16</f>
        <v>29498909.588226657</v>
      </c>
    </row>
    <row r="51" spans="2:14" x14ac:dyDescent="0.3">
      <c r="B51" s="77">
        <v>2025</v>
      </c>
      <c r="C51" s="43">
        <v>12819908.982033877</v>
      </c>
      <c r="D51" s="42">
        <f t="shared" si="26"/>
        <v>427330.29940112925</v>
      </c>
      <c r="E51" s="42">
        <f t="shared" si="27"/>
        <v>299131.20958079043</v>
      </c>
      <c r="F51" s="42">
        <f t="shared" si="28"/>
        <v>74782.802395197607</v>
      </c>
      <c r="G51" s="42">
        <f t="shared" si="29"/>
        <v>2492.7600798399203</v>
      </c>
      <c r="H51" s="42"/>
      <c r="I51" s="42">
        <f t="shared" si="30"/>
        <v>124.63800399199602</v>
      </c>
      <c r="J51" s="78">
        <f t="shared" ref="J51:J54" si="34">I51-I50</f>
        <v>25.718953204697584</v>
      </c>
      <c r="K51" s="20">
        <f t="shared" ref="K51:K54" si="35">J51*$G$10</f>
        <v>642.97383011743955</v>
      </c>
      <c r="L51" s="17">
        <f t="shared" si="32"/>
        <v>83586597.91526714</v>
      </c>
      <c r="M51" s="20">
        <f t="shared" si="31"/>
        <v>3365.9500997999003</v>
      </c>
      <c r="N51" s="17">
        <f t="shared" si="33"/>
        <v>36464459.414498918</v>
      </c>
    </row>
    <row r="52" spans="2:14" x14ac:dyDescent="0.3">
      <c r="B52" s="77">
        <v>2026</v>
      </c>
      <c r="C52" s="43">
        <v>16153085.317362685</v>
      </c>
      <c r="D52" s="42">
        <f t="shared" si="26"/>
        <v>538436.17724542285</v>
      </c>
      <c r="E52" s="42">
        <f t="shared" si="27"/>
        <v>376905.32407179597</v>
      </c>
      <c r="F52" s="42">
        <f t="shared" si="28"/>
        <v>94226.331017948993</v>
      </c>
      <c r="G52" s="42">
        <f t="shared" si="29"/>
        <v>3140.8777005982997</v>
      </c>
      <c r="H52" s="42"/>
      <c r="I52" s="42">
        <f t="shared" si="30"/>
        <v>157.04388502991497</v>
      </c>
      <c r="J52" s="78">
        <f t="shared" si="34"/>
        <v>32.405881037918959</v>
      </c>
      <c r="K52" s="20">
        <f t="shared" si="35"/>
        <v>810.14702594797404</v>
      </c>
      <c r="L52" s="17">
        <f t="shared" si="32"/>
        <v>105319113.37323663</v>
      </c>
      <c r="M52" s="20">
        <f t="shared" si="31"/>
        <v>4176.0971257478741</v>
      </c>
      <c r="N52" s="17">
        <f t="shared" si="33"/>
        <v>45241052.195601963</v>
      </c>
    </row>
    <row r="53" spans="2:14" x14ac:dyDescent="0.3">
      <c r="B53" s="77">
        <v>2027</v>
      </c>
      <c r="C53" s="43">
        <v>19060640.674487967</v>
      </c>
      <c r="D53" s="42">
        <f t="shared" si="26"/>
        <v>635354.68914959894</v>
      </c>
      <c r="E53" s="42">
        <f t="shared" si="27"/>
        <v>444748.28240471921</v>
      </c>
      <c r="F53" s="42">
        <f t="shared" si="28"/>
        <v>111187.0706011798</v>
      </c>
      <c r="G53" s="42">
        <f t="shared" si="29"/>
        <v>3706.2356867059934</v>
      </c>
      <c r="H53" s="42"/>
      <c r="I53" s="42">
        <f t="shared" si="30"/>
        <v>185.31178433529968</v>
      </c>
      <c r="J53" s="78">
        <f t="shared" si="34"/>
        <v>28.267899305384702</v>
      </c>
      <c r="K53" s="20">
        <f t="shared" si="35"/>
        <v>706.69748263461759</v>
      </c>
      <c r="L53" s="17">
        <f t="shared" si="32"/>
        <v>91870672.74250029</v>
      </c>
      <c r="M53" s="20">
        <f t="shared" si="31"/>
        <v>4882.7946083824918</v>
      </c>
      <c r="N53" s="17">
        <f t="shared" si="33"/>
        <v>52896941.590810321</v>
      </c>
    </row>
    <row r="54" spans="2:14" x14ac:dyDescent="0.3">
      <c r="B54" s="77">
        <v>2028</v>
      </c>
      <c r="C54" s="43">
        <v>21157311.148681644</v>
      </c>
      <c r="D54" s="42">
        <f t="shared" si="26"/>
        <v>705243.7049560548</v>
      </c>
      <c r="E54" s="42">
        <f t="shared" si="27"/>
        <v>493670.59346923832</v>
      </c>
      <c r="F54" s="42">
        <f t="shared" si="28"/>
        <v>123417.64836730958</v>
      </c>
      <c r="G54" s="42">
        <f t="shared" si="29"/>
        <v>4113.9216122436528</v>
      </c>
      <c r="H54" s="42"/>
      <c r="I54" s="42">
        <f t="shared" si="30"/>
        <v>205.69608061218264</v>
      </c>
      <c r="J54" s="78">
        <f t="shared" si="34"/>
        <v>20.384296276882964</v>
      </c>
      <c r="K54" s="20">
        <f t="shared" si="35"/>
        <v>509.60740692207412</v>
      </c>
      <c r="L54" s="17">
        <f t="shared" si="32"/>
        <v>66248962.899869636</v>
      </c>
      <c r="M54" s="20">
        <f>I54*25+$M$44</f>
        <v>5392.4020153045658</v>
      </c>
      <c r="N54" s="17">
        <f t="shared" si="33"/>
        <v>58417688.49913279</v>
      </c>
    </row>
    <row r="55" spans="2:14" x14ac:dyDescent="0.3">
      <c r="L55" s="17">
        <f>SUM(L49:L54)</f>
        <v>668512261.98959363</v>
      </c>
    </row>
    <row r="56" spans="2:14" x14ac:dyDescent="0.3">
      <c r="K56" t="s">
        <v>187</v>
      </c>
      <c r="L56" s="83">
        <f>K3*K13</f>
        <v>32500000</v>
      </c>
    </row>
    <row r="57" spans="2:14" x14ac:dyDescent="0.3">
      <c r="K57" t="s">
        <v>172</v>
      </c>
      <c r="L57" s="18">
        <f>L55+L56</f>
        <v>701012261.98959363</v>
      </c>
    </row>
    <row r="60" spans="2:14" x14ac:dyDescent="0.3">
      <c r="J60" t="s">
        <v>188</v>
      </c>
      <c r="L60" s="18">
        <f>L57/5</f>
        <v>140202452.39791873</v>
      </c>
    </row>
  </sheetData>
  <mergeCells count="1">
    <mergeCell ref="C44:F44"/>
  </mergeCells>
  <pageMargins left="0.7" right="0.7" top="0.75" bottom="0.75" header="0.3" footer="0.3"/>
  <ignoredErrors>
    <ignoredError sqref="I24 I25:I38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D1F74A-6CFF-4209-8E87-5A99BB60370E}">
  <dimension ref="C4:Q59"/>
  <sheetViews>
    <sheetView topLeftCell="E28" workbookViewId="0">
      <selection activeCell="M35" sqref="M35"/>
    </sheetView>
  </sheetViews>
  <sheetFormatPr defaultRowHeight="14.4" x14ac:dyDescent="0.3"/>
  <cols>
    <col min="3" max="3" width="41.109375" customWidth="1"/>
    <col min="4" max="4" width="17.88671875" bestFit="1" customWidth="1"/>
    <col min="5" max="5" width="10.6640625" bestFit="1" customWidth="1"/>
    <col min="6" max="6" width="19.77734375" bestFit="1" customWidth="1"/>
    <col min="7" max="7" width="18.109375" bestFit="1" customWidth="1"/>
    <col min="10" max="10" width="34.109375" customWidth="1"/>
    <col min="11" max="11" width="10" bestFit="1" customWidth="1"/>
    <col min="13" max="14" width="33.77734375" bestFit="1" customWidth="1"/>
    <col min="15" max="15" width="14.44140625" bestFit="1" customWidth="1"/>
  </cols>
  <sheetData>
    <row r="4" spans="3:13" x14ac:dyDescent="0.3">
      <c r="C4" s="41" t="s">
        <v>0</v>
      </c>
      <c r="D4" s="41" t="s">
        <v>1</v>
      </c>
      <c r="E4" s="41" t="s">
        <v>101</v>
      </c>
      <c r="F4" s="41" t="s">
        <v>2</v>
      </c>
    </row>
    <row r="5" spans="3:13" x14ac:dyDescent="0.3">
      <c r="C5" s="72" t="s">
        <v>74</v>
      </c>
      <c r="D5" s="33">
        <v>4</v>
      </c>
      <c r="E5" s="33"/>
      <c r="F5" s="70" t="s">
        <v>75</v>
      </c>
    </row>
    <row r="6" spans="3:13" x14ac:dyDescent="0.3">
      <c r="C6" s="72"/>
      <c r="D6" s="33"/>
      <c r="E6" s="33"/>
      <c r="F6" s="33"/>
    </row>
    <row r="7" spans="3:13" x14ac:dyDescent="0.3">
      <c r="C7" s="73"/>
      <c r="D7" s="33"/>
      <c r="E7" s="33"/>
      <c r="F7" s="33"/>
    </row>
    <row r="8" spans="3:13" x14ac:dyDescent="0.3">
      <c r="C8" s="72"/>
      <c r="D8" s="33"/>
      <c r="E8" s="33"/>
      <c r="F8" s="33"/>
    </row>
    <row r="9" spans="3:13" x14ac:dyDescent="0.3">
      <c r="C9" s="72"/>
      <c r="D9" s="33"/>
      <c r="E9" s="33"/>
      <c r="F9" s="33"/>
    </row>
    <row r="10" spans="3:13" x14ac:dyDescent="0.3">
      <c r="C10" s="33"/>
      <c r="D10" s="33"/>
      <c r="E10" s="33"/>
      <c r="F10" s="33"/>
    </row>
    <row r="11" spans="3:13" x14ac:dyDescent="0.3">
      <c r="C11" s="33"/>
      <c r="D11" s="33"/>
      <c r="E11" s="33"/>
      <c r="F11" s="33"/>
    </row>
    <row r="12" spans="3:13" x14ac:dyDescent="0.3">
      <c r="C12" s="33"/>
      <c r="D12" s="43"/>
      <c r="E12" s="43"/>
      <c r="F12" s="33" t="s">
        <v>5</v>
      </c>
    </row>
    <row r="13" spans="3:13" x14ac:dyDescent="0.3">
      <c r="E13" s="43"/>
      <c r="F13" s="33" t="s">
        <v>5</v>
      </c>
    </row>
    <row r="14" spans="3:13" x14ac:dyDescent="0.3">
      <c r="E14" s="43"/>
      <c r="F14" s="33"/>
    </row>
    <row r="15" spans="3:13" x14ac:dyDescent="0.3">
      <c r="C15" s="72" t="s">
        <v>129</v>
      </c>
      <c r="D15" s="33">
        <v>6</v>
      </c>
      <c r="E15" s="33"/>
      <c r="F15" s="33" t="s">
        <v>80</v>
      </c>
    </row>
    <row r="16" spans="3:13" x14ac:dyDescent="0.3">
      <c r="C16" s="72" t="s">
        <v>81</v>
      </c>
      <c r="D16" s="33">
        <v>8</v>
      </c>
      <c r="E16" s="33"/>
      <c r="F16" s="33" t="s">
        <v>73</v>
      </c>
      <c r="K16" t="s">
        <v>110</v>
      </c>
      <c r="L16" t="s">
        <v>112</v>
      </c>
      <c r="M16" t="s">
        <v>111</v>
      </c>
    </row>
    <row r="17" spans="3:17" x14ac:dyDescent="0.3">
      <c r="C17" s="72" t="s">
        <v>125</v>
      </c>
      <c r="D17" s="33">
        <v>35</v>
      </c>
      <c r="E17" s="33"/>
      <c r="F17" s="33" t="s">
        <v>73</v>
      </c>
      <c r="L17" t="s">
        <v>113</v>
      </c>
      <c r="M17">
        <f>4/0.5*2</f>
        <v>16</v>
      </c>
      <c r="N17" t="s">
        <v>114</v>
      </c>
    </row>
    <row r="18" spans="3:17" x14ac:dyDescent="0.3">
      <c r="C18" s="72" t="s">
        <v>82</v>
      </c>
      <c r="D18" s="33">
        <v>4</v>
      </c>
      <c r="E18" s="33"/>
      <c r="F18" s="33"/>
    </row>
    <row r="19" spans="3:17" x14ac:dyDescent="0.3">
      <c r="C19" s="72" t="s">
        <v>83</v>
      </c>
      <c r="D19" s="33">
        <v>60</v>
      </c>
      <c r="E19" s="33"/>
      <c r="F19" s="33" t="s">
        <v>73</v>
      </c>
      <c r="K19" t="s">
        <v>115</v>
      </c>
      <c r="L19" t="s">
        <v>118</v>
      </c>
    </row>
    <row r="20" spans="3:17" x14ac:dyDescent="0.3">
      <c r="C20" s="72" t="s">
        <v>84</v>
      </c>
      <c r="D20" s="33">
        <f>D17+D19</f>
        <v>95</v>
      </c>
      <c r="E20" s="33"/>
      <c r="F20" s="33" t="s">
        <v>73</v>
      </c>
      <c r="I20" t="s">
        <v>116</v>
      </c>
      <c r="M20" t="s">
        <v>119</v>
      </c>
    </row>
    <row r="21" spans="3:17" x14ac:dyDescent="0.3">
      <c r="C21" s="72" t="s">
        <v>85</v>
      </c>
      <c r="D21" s="33">
        <v>4</v>
      </c>
      <c r="E21" s="71"/>
      <c r="F21" s="33"/>
      <c r="I21" t="s">
        <v>117</v>
      </c>
      <c r="M21">
        <f>4*30</f>
        <v>120</v>
      </c>
    </row>
    <row r="22" spans="3:17" x14ac:dyDescent="0.3">
      <c r="C22" s="72" t="s">
        <v>86</v>
      </c>
      <c r="D22" s="33">
        <v>4</v>
      </c>
      <c r="E22" s="71"/>
      <c r="F22" s="33"/>
      <c r="I22" t="s">
        <v>120</v>
      </c>
    </row>
    <row r="23" spans="3:17" x14ac:dyDescent="0.3">
      <c r="C23" s="72" t="s">
        <v>87</v>
      </c>
      <c r="D23" s="43">
        <v>3000</v>
      </c>
      <c r="E23" s="43"/>
      <c r="F23" s="33" t="s">
        <v>5</v>
      </c>
    </row>
    <row r="24" spans="3:17" x14ac:dyDescent="0.3">
      <c r="C24" s="72"/>
      <c r="D24" s="33"/>
      <c r="E24" s="33"/>
      <c r="F24" s="33"/>
    </row>
    <row r="25" spans="3:17" x14ac:dyDescent="0.3">
      <c r="C25" s="72" t="s">
        <v>89</v>
      </c>
      <c r="D25" s="33">
        <v>65</v>
      </c>
      <c r="E25" s="33"/>
      <c r="F25" s="33" t="s">
        <v>5</v>
      </c>
    </row>
    <row r="26" spans="3:17" x14ac:dyDescent="0.3">
      <c r="C26" s="72" t="s">
        <v>90</v>
      </c>
      <c r="D26" s="43">
        <f>D24*D6*D25</f>
        <v>0</v>
      </c>
      <c r="E26" s="43"/>
      <c r="F26" s="33" t="s">
        <v>5</v>
      </c>
      <c r="I26" s="46" t="s">
        <v>131</v>
      </c>
      <c r="J26" s="46" t="s">
        <v>1</v>
      </c>
      <c r="K26" s="46" t="s">
        <v>2</v>
      </c>
      <c r="M26" s="46" t="s">
        <v>52</v>
      </c>
      <c r="N26" s="46" t="s">
        <v>103</v>
      </c>
      <c r="O26" s="46" t="s">
        <v>104</v>
      </c>
      <c r="P26" s="46" t="s">
        <v>105</v>
      </c>
      <c r="Q26" s="46" t="s">
        <v>2</v>
      </c>
    </row>
    <row r="27" spans="3:17" x14ac:dyDescent="0.3">
      <c r="C27" s="72" t="s">
        <v>91</v>
      </c>
      <c r="D27" s="43">
        <v>3000</v>
      </c>
      <c r="E27" s="43"/>
      <c r="F27" s="33" t="s">
        <v>88</v>
      </c>
      <c r="I27" s="33" t="s">
        <v>102</v>
      </c>
      <c r="J27">
        <v>25</v>
      </c>
      <c r="K27" s="46"/>
      <c r="M27" s="33" t="s">
        <v>79</v>
      </c>
      <c r="N27" s="43">
        <v>130000</v>
      </c>
      <c r="O27" s="43"/>
      <c r="P27" s="43"/>
      <c r="Q27" s="33" t="s">
        <v>5</v>
      </c>
    </row>
    <row r="28" spans="3:17" x14ac:dyDescent="0.3">
      <c r="C28" s="33"/>
      <c r="D28" s="43"/>
      <c r="E28" s="43">
        <v>25</v>
      </c>
      <c r="F28" s="33"/>
      <c r="I28" s="46" t="s">
        <v>130</v>
      </c>
      <c r="J28" s="46">
        <v>1000</v>
      </c>
      <c r="K28" s="46" t="s">
        <v>88</v>
      </c>
      <c r="M28" s="46" t="s">
        <v>108</v>
      </c>
      <c r="N28" s="46">
        <v>60</v>
      </c>
      <c r="O28" s="46"/>
      <c r="P28" s="46"/>
      <c r="Q28" s="46" t="s">
        <v>109</v>
      </c>
    </row>
    <row r="29" spans="3:17" x14ac:dyDescent="0.3">
      <c r="C29" s="33" t="s">
        <v>92</v>
      </c>
      <c r="D29" s="43">
        <f>D27*D25</f>
        <v>195000</v>
      </c>
      <c r="E29" s="43"/>
      <c r="F29" s="33"/>
      <c r="I29" s="33" t="s">
        <v>132</v>
      </c>
      <c r="J29" s="46"/>
      <c r="K29" s="46"/>
      <c r="M29" s="46" t="s">
        <v>106</v>
      </c>
      <c r="N29" s="46" t="s">
        <v>107</v>
      </c>
      <c r="O29" s="46">
        <v>3</v>
      </c>
      <c r="P29" s="46"/>
      <c r="Q29" s="46" t="s">
        <v>121</v>
      </c>
    </row>
    <row r="30" spans="3:17" x14ac:dyDescent="0.3">
      <c r="C30" s="33" t="s">
        <v>93</v>
      </c>
      <c r="D30" s="33">
        <v>2</v>
      </c>
      <c r="E30" s="33"/>
      <c r="F30" s="33"/>
      <c r="I30" s="33" t="s">
        <v>134</v>
      </c>
      <c r="J30" s="43">
        <v>25000</v>
      </c>
      <c r="K30" s="46" t="s">
        <v>55</v>
      </c>
      <c r="M30" s="46" t="s">
        <v>122</v>
      </c>
      <c r="N30" s="46">
        <v>6500</v>
      </c>
      <c r="O30" s="46"/>
      <c r="P30" s="46"/>
      <c r="Q30" s="46" t="s">
        <v>124</v>
      </c>
    </row>
    <row r="31" spans="3:17" x14ac:dyDescent="0.3">
      <c r="C31" s="33"/>
      <c r="D31" s="43"/>
      <c r="E31" s="43"/>
      <c r="F31" s="33" t="s">
        <v>5</v>
      </c>
      <c r="I31" s="33" t="s">
        <v>133</v>
      </c>
      <c r="J31" s="46">
        <v>2</v>
      </c>
      <c r="K31" s="46"/>
      <c r="M31" s="46" t="s">
        <v>123</v>
      </c>
      <c r="N31" s="46">
        <v>13000</v>
      </c>
      <c r="O31" s="46"/>
      <c r="P31" s="46"/>
      <c r="Q31" s="46" t="s">
        <v>124</v>
      </c>
    </row>
    <row r="32" spans="3:17" ht="57.6" x14ac:dyDescent="0.3">
      <c r="C32" s="33" t="s">
        <v>94</v>
      </c>
      <c r="D32" s="43">
        <f>D6*D30*D31</f>
        <v>0</v>
      </c>
      <c r="E32" s="43"/>
      <c r="F32" s="33"/>
      <c r="I32" s="46" t="s">
        <v>135</v>
      </c>
      <c r="J32" s="74">
        <f>J30*J31*J27</f>
        <v>1250000</v>
      </c>
      <c r="K32" s="46"/>
      <c r="M32" s="73" t="s">
        <v>76</v>
      </c>
      <c r="N32" s="33">
        <v>1</v>
      </c>
      <c r="O32" s="46"/>
      <c r="P32" s="46"/>
      <c r="Q32" s="46"/>
    </row>
    <row r="33" spans="3:17" x14ac:dyDescent="0.3">
      <c r="C33" s="33"/>
      <c r="E33" s="43"/>
      <c r="F33" s="33"/>
      <c r="I33" s="33" t="s">
        <v>136</v>
      </c>
      <c r="J33" s="46">
        <v>50000</v>
      </c>
      <c r="K33" s="46" t="s">
        <v>55</v>
      </c>
      <c r="M33" s="72" t="s">
        <v>77</v>
      </c>
      <c r="N33" s="33">
        <v>5</v>
      </c>
      <c r="O33" s="46"/>
      <c r="P33" s="46"/>
      <c r="Q33" s="46"/>
    </row>
    <row r="34" spans="3:17" x14ac:dyDescent="0.3">
      <c r="C34" s="72" t="s">
        <v>95</v>
      </c>
      <c r="D34" s="43">
        <v>10</v>
      </c>
      <c r="E34" s="43"/>
      <c r="F34" s="33"/>
      <c r="I34" s="46" t="s">
        <v>137</v>
      </c>
      <c r="J34" s="46">
        <v>1</v>
      </c>
      <c r="K34" s="46"/>
      <c r="M34" s="72" t="s">
        <v>78</v>
      </c>
      <c r="N34" s="33">
        <v>5</v>
      </c>
      <c r="O34" s="46"/>
      <c r="P34" s="46"/>
      <c r="Q34" s="46"/>
    </row>
    <row r="35" spans="3:17" x14ac:dyDescent="0.3">
      <c r="C35" s="33"/>
      <c r="D35" s="33"/>
      <c r="E35" s="33"/>
      <c r="F35" s="33"/>
      <c r="I35" s="46" t="s">
        <v>138</v>
      </c>
      <c r="J35" s="46">
        <f>J34*J33*J27</f>
        <v>1250000</v>
      </c>
      <c r="K35" s="46"/>
      <c r="M35" s="46" t="s">
        <v>167</v>
      </c>
      <c r="N35" s="46">
        <v>4</v>
      </c>
      <c r="O35" s="46"/>
      <c r="P35" s="46"/>
      <c r="Q35" s="46"/>
    </row>
    <row r="36" spans="3:17" x14ac:dyDescent="0.3">
      <c r="C36" s="33"/>
      <c r="E36" s="43"/>
      <c r="F36" s="33"/>
      <c r="I36" s="46"/>
      <c r="J36" s="46"/>
      <c r="K36" s="46"/>
      <c r="M36" s="46" t="s">
        <v>143</v>
      </c>
      <c r="N36" s="46"/>
      <c r="O36" s="46"/>
      <c r="P36" s="46"/>
      <c r="Q36" s="46"/>
    </row>
    <row r="37" spans="3:17" x14ac:dyDescent="0.3">
      <c r="C37" s="33"/>
      <c r="D37" s="43"/>
      <c r="E37" s="43"/>
      <c r="F37" s="33"/>
      <c r="M37" s="46" t="s">
        <v>144</v>
      </c>
      <c r="N37" s="46"/>
      <c r="O37" s="46"/>
      <c r="P37" s="46"/>
      <c r="Q37" s="46"/>
    </row>
    <row r="38" spans="3:17" x14ac:dyDescent="0.3">
      <c r="C38" s="33"/>
      <c r="D38" s="33"/>
      <c r="E38" s="33"/>
      <c r="F38" s="33"/>
      <c r="M38" s="46" t="s">
        <v>145</v>
      </c>
      <c r="N38" s="46"/>
      <c r="O38" s="46"/>
      <c r="P38" s="46"/>
      <c r="Q38" s="46"/>
    </row>
    <row r="39" spans="3:17" x14ac:dyDescent="0.3">
      <c r="C39" s="33"/>
      <c r="D39" s="71"/>
      <c r="E39" s="71"/>
      <c r="F39" s="33"/>
      <c r="M39" s="46" t="s">
        <v>146</v>
      </c>
      <c r="N39" s="46"/>
      <c r="O39" s="46"/>
      <c r="P39" s="46"/>
      <c r="Q39" s="46"/>
    </row>
    <row r="40" spans="3:17" x14ac:dyDescent="0.3">
      <c r="C40" s="33"/>
      <c r="D40" s="33"/>
      <c r="E40" s="33"/>
      <c r="F40" s="33"/>
      <c r="M40" s="72" t="s">
        <v>127</v>
      </c>
      <c r="N40" s="43">
        <f>N30+N31/O29</f>
        <v>10833.333333333332</v>
      </c>
      <c r="O40" s="46"/>
      <c r="P40" s="46"/>
      <c r="Q40" s="46"/>
    </row>
    <row r="41" spans="3:17" x14ac:dyDescent="0.3">
      <c r="C41" s="33"/>
      <c r="D41" s="71"/>
      <c r="E41" s="71"/>
      <c r="F41" s="33"/>
      <c r="I41" s="46" t="s">
        <v>131</v>
      </c>
      <c r="J41" s="46" t="s">
        <v>1</v>
      </c>
      <c r="K41" s="46" t="s">
        <v>2</v>
      </c>
      <c r="M41" s="33" t="s">
        <v>126</v>
      </c>
      <c r="N41" s="43"/>
      <c r="O41" s="46"/>
      <c r="P41" s="46"/>
      <c r="Q41" s="46"/>
    </row>
    <row r="42" spans="3:17" x14ac:dyDescent="0.3">
      <c r="C42" s="33"/>
      <c r="D42" s="33"/>
      <c r="E42" s="33"/>
      <c r="F42" s="33"/>
      <c r="I42" s="33" t="s">
        <v>139</v>
      </c>
      <c r="J42" s="46">
        <v>500</v>
      </c>
      <c r="K42" s="46"/>
      <c r="M42" s="46"/>
      <c r="N42" s="46"/>
      <c r="O42" s="46"/>
      <c r="P42" s="46"/>
      <c r="Q42" s="46"/>
    </row>
    <row r="43" spans="3:17" x14ac:dyDescent="0.3">
      <c r="C43" s="33"/>
      <c r="D43" s="33"/>
      <c r="E43" s="33"/>
      <c r="F43" s="33"/>
      <c r="I43" s="46" t="s">
        <v>140</v>
      </c>
      <c r="J43" s="43">
        <v>4000</v>
      </c>
      <c r="K43" s="46" t="s">
        <v>55</v>
      </c>
      <c r="M43" s="46"/>
      <c r="N43" s="46"/>
      <c r="O43" s="46"/>
      <c r="P43" s="46"/>
      <c r="Q43" s="46"/>
    </row>
    <row r="44" spans="3:17" x14ac:dyDescent="0.3">
      <c r="C44" s="33" t="s">
        <v>96</v>
      </c>
      <c r="D44" s="33">
        <f>D40/2</f>
        <v>0</v>
      </c>
      <c r="E44" s="33"/>
      <c r="F44" s="33" t="s">
        <v>3</v>
      </c>
      <c r="I44" s="46" t="s">
        <v>150</v>
      </c>
      <c r="J44" s="46">
        <v>53</v>
      </c>
      <c r="K44" s="46" t="s">
        <v>55</v>
      </c>
      <c r="M44" s="46"/>
      <c r="N44" s="46"/>
      <c r="O44" s="46"/>
      <c r="P44" s="46"/>
      <c r="Q44" s="46"/>
    </row>
    <row r="45" spans="3:17" x14ac:dyDescent="0.3">
      <c r="C45" s="33" t="s">
        <v>97</v>
      </c>
      <c r="D45" s="33">
        <f>$D$10*$D$59</f>
        <v>0</v>
      </c>
      <c r="E45" s="33"/>
      <c r="F45" s="33" t="s">
        <v>73</v>
      </c>
      <c r="I45" s="46" t="s">
        <v>151</v>
      </c>
      <c r="J45" s="46">
        <v>2</v>
      </c>
      <c r="K45" s="46"/>
    </row>
    <row r="46" spans="3:17" x14ac:dyDescent="0.3">
      <c r="C46" s="33"/>
      <c r="D46" s="42"/>
      <c r="E46" s="42"/>
      <c r="F46" s="33"/>
      <c r="I46" s="46"/>
      <c r="J46" s="46"/>
      <c r="K46" s="46"/>
    </row>
    <row r="47" spans="3:17" x14ac:dyDescent="0.3">
      <c r="C47" s="33" t="s">
        <v>98</v>
      </c>
      <c r="D47" s="42" t="e">
        <f>L22/D46</f>
        <v>#DIV/0!</v>
      </c>
      <c r="E47" s="42"/>
      <c r="F47" s="33"/>
      <c r="I47" s="46" t="s">
        <v>142</v>
      </c>
      <c r="J47" s="46"/>
      <c r="K47" s="46"/>
    </row>
    <row r="48" spans="3:17" x14ac:dyDescent="0.3">
      <c r="C48" s="33"/>
      <c r="D48" s="42"/>
      <c r="E48" s="42"/>
      <c r="F48" s="33"/>
      <c r="I48" s="46" t="s">
        <v>147</v>
      </c>
      <c r="J48" s="75">
        <v>25</v>
      </c>
      <c r="K48" s="46"/>
    </row>
    <row r="49" spans="3:12" x14ac:dyDescent="0.3">
      <c r="C49" s="33"/>
      <c r="D49" s="43"/>
      <c r="E49" s="43"/>
      <c r="F49" s="33"/>
      <c r="I49" s="46" t="s">
        <v>148</v>
      </c>
      <c r="J49" s="75">
        <v>25</v>
      </c>
      <c r="K49" s="46"/>
    </row>
    <row r="50" spans="3:12" x14ac:dyDescent="0.3">
      <c r="C50" s="33" t="s">
        <v>99</v>
      </c>
      <c r="D50" s="43" t="e">
        <f>D42*I22</f>
        <v>#VALUE!</v>
      </c>
      <c r="E50" s="43"/>
      <c r="F50" s="33"/>
      <c r="I50" s="46" t="s">
        <v>149</v>
      </c>
      <c r="J50" s="46">
        <f>(J48+J49)*0.8+J44*0.2</f>
        <v>50.6</v>
      </c>
      <c r="K50" s="46"/>
    </row>
    <row r="51" spans="3:12" x14ac:dyDescent="0.3">
      <c r="C51" s="33" t="s">
        <v>100</v>
      </c>
      <c r="D51" s="43" t="e">
        <f>#REF!+D26+D29+D32+#REF!+D49+D50</f>
        <v>#REF!</v>
      </c>
      <c r="E51" s="43"/>
      <c r="F51" s="33"/>
      <c r="I51" s="46" t="s">
        <v>152</v>
      </c>
      <c r="J51" s="75">
        <v>10</v>
      </c>
      <c r="K51" s="46"/>
    </row>
    <row r="52" spans="3:12" x14ac:dyDescent="0.3">
      <c r="J52" s="46"/>
      <c r="K52" s="46"/>
      <c r="L52" s="46"/>
    </row>
    <row r="53" spans="3:12" x14ac:dyDescent="0.3">
      <c r="J53" s="46" t="s">
        <v>141</v>
      </c>
      <c r="K53" s="46"/>
      <c r="L53" s="46"/>
    </row>
    <row r="54" spans="3:12" x14ac:dyDescent="0.3">
      <c r="J54" s="46" t="s">
        <v>153</v>
      </c>
      <c r="K54" s="46"/>
      <c r="L54" s="46"/>
    </row>
    <row r="55" spans="3:12" x14ac:dyDescent="0.3">
      <c r="J55" s="46" t="s">
        <v>154</v>
      </c>
      <c r="K55" s="46"/>
      <c r="L55" s="46"/>
    </row>
    <row r="56" spans="3:12" x14ac:dyDescent="0.3">
      <c r="J56" s="46" t="s">
        <v>155</v>
      </c>
      <c r="K56" s="46"/>
      <c r="L56" s="46"/>
    </row>
    <row r="57" spans="3:12" x14ac:dyDescent="0.3">
      <c r="J57" s="46"/>
      <c r="K57" s="46"/>
      <c r="L57" s="46"/>
    </row>
    <row r="58" spans="3:12" x14ac:dyDescent="0.3">
      <c r="J58" s="46"/>
      <c r="K58" s="46"/>
      <c r="L58" s="46"/>
    </row>
    <row r="59" spans="3:12" x14ac:dyDescent="0.3">
      <c r="J59" s="46"/>
      <c r="K59" s="46"/>
      <c r="L59" s="4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69D7C5-33EF-4FAA-8413-25E102E41E4D}">
  <dimension ref="B1:V64"/>
  <sheetViews>
    <sheetView topLeftCell="A31" zoomScale="92" zoomScaleNormal="92" workbookViewId="0">
      <selection activeCell="E42" sqref="E42"/>
    </sheetView>
  </sheetViews>
  <sheetFormatPr defaultRowHeight="14.4" x14ac:dyDescent="0.3"/>
  <cols>
    <col min="2" max="2" width="23.5546875" bestFit="1" customWidth="1"/>
    <col min="3" max="3" width="12.33203125" bestFit="1" customWidth="1"/>
    <col min="4" max="4" width="19.109375" bestFit="1" customWidth="1"/>
    <col min="5" max="6" width="30.21875" bestFit="1" customWidth="1"/>
    <col min="7" max="7" width="34" bestFit="1" customWidth="1"/>
    <col min="8" max="8" width="22.5546875" bestFit="1" customWidth="1"/>
    <col min="9" max="9" width="20.44140625" bestFit="1" customWidth="1"/>
    <col min="10" max="10" width="20.44140625" customWidth="1"/>
    <col min="11" max="12" width="20.88671875" customWidth="1"/>
    <col min="13" max="13" width="15.6640625" bestFit="1" customWidth="1"/>
    <col min="14" max="14" width="17.44140625" bestFit="1" customWidth="1"/>
    <col min="15" max="15" width="27.21875" customWidth="1"/>
    <col min="16" max="16" width="38" bestFit="1" customWidth="1"/>
    <col min="17" max="17" width="22.44140625" customWidth="1"/>
    <col min="18" max="18" width="24.33203125" customWidth="1"/>
    <col min="19" max="19" width="29" customWidth="1"/>
    <col min="20" max="20" width="28" customWidth="1"/>
    <col min="21" max="22" width="16.33203125" bestFit="1" customWidth="1"/>
  </cols>
  <sheetData>
    <row r="1" spans="2:21" ht="15" thickBot="1" x14ac:dyDescent="0.35"/>
    <row r="2" spans="2:21" ht="15" customHeight="1" thickBot="1" x14ac:dyDescent="0.35">
      <c r="B2" s="47" t="s">
        <v>52</v>
      </c>
      <c r="C2" s="47" t="s">
        <v>1</v>
      </c>
      <c r="D2" s="47" t="s">
        <v>53</v>
      </c>
      <c r="F2" s="47" t="s">
        <v>62</v>
      </c>
      <c r="G2" s="47" t="s">
        <v>67</v>
      </c>
      <c r="J2" s="115" t="s">
        <v>269</v>
      </c>
      <c r="K2" s="115" t="s">
        <v>103</v>
      </c>
      <c r="L2" s="46" t="s">
        <v>104</v>
      </c>
      <c r="M2" s="46" t="s">
        <v>105</v>
      </c>
      <c r="N2" s="46" t="s">
        <v>2</v>
      </c>
      <c r="P2" s="115" t="s">
        <v>270</v>
      </c>
      <c r="Q2" s="115" t="s">
        <v>1</v>
      </c>
      <c r="R2" s="115" t="s">
        <v>2</v>
      </c>
      <c r="S2" s="116" t="s">
        <v>15</v>
      </c>
      <c r="T2" s="116" t="s">
        <v>190</v>
      </c>
      <c r="U2" s="116" t="s">
        <v>191</v>
      </c>
    </row>
    <row r="3" spans="2:21" ht="15" customHeight="1" thickBot="1" x14ac:dyDescent="0.35">
      <c r="B3" s="1" t="s">
        <v>4</v>
      </c>
      <c r="C3" s="47">
        <v>741</v>
      </c>
      <c r="D3" s="47" t="s">
        <v>54</v>
      </c>
      <c r="F3" s="1" t="s">
        <v>64</v>
      </c>
      <c r="G3" s="47">
        <v>35</v>
      </c>
      <c r="J3" s="33" t="s">
        <v>79</v>
      </c>
      <c r="K3" s="43">
        <v>500000</v>
      </c>
      <c r="L3" s="43"/>
      <c r="M3" s="43"/>
      <c r="N3" s="33" t="s">
        <v>5</v>
      </c>
      <c r="P3" s="33" t="s">
        <v>139</v>
      </c>
      <c r="Q3" s="46">
        <v>750</v>
      </c>
      <c r="R3" s="46"/>
      <c r="S3" s="42">
        <v>2023</v>
      </c>
      <c r="T3" s="17">
        <f>G33/$Q$3</f>
        <v>5194.7303620799994</v>
      </c>
      <c r="U3" s="96">
        <f>$Q$12*T3</f>
        <v>217918938.68925598</v>
      </c>
    </row>
    <row r="4" spans="2:21" ht="15" customHeight="1" thickBot="1" x14ac:dyDescent="0.35">
      <c r="B4" s="47" t="s">
        <v>56</v>
      </c>
      <c r="C4" s="47">
        <v>410</v>
      </c>
      <c r="D4" s="47" t="s">
        <v>55</v>
      </c>
      <c r="F4" s="47" t="s">
        <v>65</v>
      </c>
      <c r="G4" s="47">
        <v>25</v>
      </c>
      <c r="J4" s="46" t="s">
        <v>108</v>
      </c>
      <c r="K4" s="46">
        <v>60</v>
      </c>
      <c r="L4" s="46"/>
      <c r="M4" s="46"/>
      <c r="N4" s="46" t="s">
        <v>109</v>
      </c>
      <c r="P4" s="46" t="s">
        <v>140</v>
      </c>
      <c r="Q4" s="43">
        <v>4000</v>
      </c>
      <c r="R4" s="46" t="s">
        <v>55</v>
      </c>
      <c r="S4" s="42">
        <v>2024</v>
      </c>
      <c r="T4" s="17">
        <f t="shared" ref="T4:T8" si="0">G34/$Q$3</f>
        <v>7623.7210760419302</v>
      </c>
      <c r="U4" s="96">
        <f t="shared" ref="U4:U8" si="1">$Q$12*T4</f>
        <v>319815099.13995898</v>
      </c>
    </row>
    <row r="5" spans="2:21" ht="15" customHeight="1" thickBot="1" x14ac:dyDescent="0.35">
      <c r="B5" s="47" t="s">
        <v>57</v>
      </c>
      <c r="C5" s="47" t="s">
        <v>61</v>
      </c>
      <c r="D5" s="53"/>
      <c r="F5" s="47" t="s">
        <v>66</v>
      </c>
      <c r="G5" s="47">
        <v>44</v>
      </c>
      <c r="J5" s="46" t="s">
        <v>106</v>
      </c>
      <c r="K5" s="46" t="s">
        <v>107</v>
      </c>
      <c r="L5" s="46">
        <v>3</v>
      </c>
      <c r="M5" s="46"/>
      <c r="N5" s="46" t="s">
        <v>121</v>
      </c>
      <c r="P5" s="46" t="s">
        <v>150</v>
      </c>
      <c r="Q5" s="46">
        <v>53</v>
      </c>
      <c r="R5" s="46" t="s">
        <v>55</v>
      </c>
      <c r="S5" s="42">
        <v>2025</v>
      </c>
      <c r="T5" s="17">
        <f t="shared" si="0"/>
        <v>9605.8885558128313</v>
      </c>
      <c r="U5" s="96">
        <f t="shared" si="1"/>
        <v>402967024.91634828</v>
      </c>
    </row>
    <row r="6" spans="2:21" ht="15" customHeight="1" thickBot="1" x14ac:dyDescent="0.35">
      <c r="B6" s="47" t="s">
        <v>58</v>
      </c>
      <c r="C6" s="52">
        <v>0.24</v>
      </c>
      <c r="D6" s="47"/>
      <c r="J6" s="46" t="s">
        <v>122</v>
      </c>
      <c r="K6" s="46">
        <v>15000</v>
      </c>
      <c r="L6" s="46"/>
      <c r="M6" s="46"/>
      <c r="N6" s="46" t="s">
        <v>124</v>
      </c>
      <c r="P6" s="46" t="s">
        <v>151</v>
      </c>
      <c r="Q6" s="46">
        <v>2</v>
      </c>
      <c r="R6" s="46"/>
      <c r="S6" s="42">
        <v>2026</v>
      </c>
      <c r="T6" s="17">
        <f t="shared" si="0"/>
        <v>12103.419580324167</v>
      </c>
      <c r="U6" s="96">
        <f t="shared" si="1"/>
        <v>507738451.39459884</v>
      </c>
    </row>
    <row r="7" spans="2:21" ht="15" customHeight="1" thickBot="1" x14ac:dyDescent="0.35">
      <c r="B7" s="45" t="s">
        <v>60</v>
      </c>
      <c r="C7" s="61">
        <v>6.9000000000000006E-2</v>
      </c>
      <c r="D7" s="54"/>
      <c r="F7" s="115" t="s">
        <v>268</v>
      </c>
      <c r="G7" s="115" t="s">
        <v>1</v>
      </c>
      <c r="H7" s="115" t="s">
        <v>2</v>
      </c>
      <c r="J7" s="46" t="s">
        <v>123</v>
      </c>
      <c r="K7" s="46">
        <v>20000</v>
      </c>
      <c r="L7" s="46"/>
      <c r="M7" s="46"/>
      <c r="N7" s="46" t="s">
        <v>124</v>
      </c>
      <c r="P7" s="46" t="s">
        <v>147</v>
      </c>
      <c r="Q7" s="75">
        <v>25</v>
      </c>
      <c r="R7" s="46"/>
      <c r="S7" s="42">
        <v>2027</v>
      </c>
      <c r="T7" s="17">
        <f t="shared" si="0"/>
        <v>14282.035104782517</v>
      </c>
      <c r="U7" s="96">
        <f t="shared" si="1"/>
        <v>599131372.64562654</v>
      </c>
    </row>
    <row r="8" spans="2:21" ht="15" customHeight="1" thickBot="1" x14ac:dyDescent="0.35">
      <c r="B8" s="1"/>
      <c r="C8" s="48"/>
      <c r="D8" s="50"/>
      <c r="F8" s="33" t="s">
        <v>102</v>
      </c>
      <c r="G8">
        <v>25</v>
      </c>
      <c r="H8" s="46"/>
      <c r="J8" s="70" t="s">
        <v>76</v>
      </c>
      <c r="K8" s="33">
        <v>1</v>
      </c>
      <c r="L8" s="46"/>
      <c r="M8" s="46"/>
      <c r="N8" s="46"/>
      <c r="P8" s="46" t="s">
        <v>148</v>
      </c>
      <c r="Q8" s="75">
        <v>25</v>
      </c>
      <c r="R8" s="46"/>
      <c r="S8" s="42">
        <v>2028</v>
      </c>
      <c r="T8" s="17">
        <f t="shared" si="0"/>
        <v>15853.058966308594</v>
      </c>
      <c r="U8" s="96">
        <f t="shared" si="1"/>
        <v>665035823.63664556</v>
      </c>
    </row>
    <row r="9" spans="2:21" ht="15" customHeight="1" thickBot="1" x14ac:dyDescent="0.35">
      <c r="B9" s="1"/>
      <c r="C9" s="49"/>
      <c r="D9" s="51"/>
      <c r="F9" s="46" t="s">
        <v>130</v>
      </c>
      <c r="G9" s="46">
        <v>1500</v>
      </c>
      <c r="H9" s="46" t="s">
        <v>88</v>
      </c>
      <c r="J9" s="33" t="s">
        <v>77</v>
      </c>
      <c r="K9" s="33">
        <v>5</v>
      </c>
      <c r="L9" s="46"/>
      <c r="M9" s="46"/>
      <c r="N9" s="46"/>
      <c r="P9" s="46" t="s">
        <v>149</v>
      </c>
      <c r="Q9" s="46">
        <f>(Q7+Q8)*0.8+Q5*0.2</f>
        <v>50.6</v>
      </c>
      <c r="R9" s="46"/>
    </row>
    <row r="10" spans="2:21" x14ac:dyDescent="0.3">
      <c r="F10" s="46" t="s">
        <v>177</v>
      </c>
      <c r="G10" s="46">
        <v>62</v>
      </c>
      <c r="H10" s="46"/>
      <c r="J10" s="33" t="s">
        <v>78</v>
      </c>
      <c r="K10" s="33">
        <v>5</v>
      </c>
      <c r="L10" s="46"/>
      <c r="M10" s="46"/>
      <c r="N10" s="46"/>
      <c r="P10" s="46" t="s">
        <v>152</v>
      </c>
      <c r="Q10" s="75">
        <v>10</v>
      </c>
      <c r="R10" s="46"/>
    </row>
    <row r="11" spans="2:21" x14ac:dyDescent="0.3">
      <c r="B11" s="115" t="s">
        <v>267</v>
      </c>
      <c r="C11" s="115" t="s">
        <v>1</v>
      </c>
      <c r="D11" s="115" t="s">
        <v>2</v>
      </c>
      <c r="F11" s="46" t="s">
        <v>178</v>
      </c>
      <c r="G11" s="46">
        <f>G9*G10</f>
        <v>93000</v>
      </c>
      <c r="H11" s="46"/>
      <c r="J11" s="46" t="s">
        <v>167</v>
      </c>
      <c r="K11" s="46">
        <v>4</v>
      </c>
      <c r="L11" s="46"/>
      <c r="M11" s="46"/>
      <c r="N11" s="46"/>
      <c r="P11" s="46" t="s">
        <v>141</v>
      </c>
      <c r="Q11" s="46"/>
      <c r="R11" s="46"/>
    </row>
    <row r="12" spans="2:21" x14ac:dyDescent="0.3">
      <c r="B12" s="46" t="s">
        <v>173</v>
      </c>
      <c r="C12" s="46">
        <v>3000</v>
      </c>
      <c r="D12" s="46" t="s">
        <v>174</v>
      </c>
      <c r="F12" s="33" t="s">
        <v>132</v>
      </c>
      <c r="G12" s="46">
        <f>G9*G8*G10</f>
        <v>2325000</v>
      </c>
      <c r="H12" s="46"/>
      <c r="J12" s="46" t="s">
        <v>143</v>
      </c>
      <c r="K12" s="81">
        <f>H49*G8</f>
        <v>823.85176836112487</v>
      </c>
      <c r="L12" s="46"/>
      <c r="M12" s="46"/>
      <c r="N12" s="46"/>
      <c r="P12" s="46" t="s">
        <v>155</v>
      </c>
      <c r="Q12" s="74">
        <f>Q4+Q9*Q3</f>
        <v>41950</v>
      </c>
      <c r="R12" s="46"/>
    </row>
    <row r="13" spans="2:21" x14ac:dyDescent="0.3">
      <c r="B13" s="46" t="s">
        <v>175</v>
      </c>
      <c r="C13" s="46">
        <v>65</v>
      </c>
      <c r="D13" s="46" t="s">
        <v>55</v>
      </c>
      <c r="F13" s="33" t="s">
        <v>134</v>
      </c>
      <c r="G13" s="43">
        <v>35000</v>
      </c>
      <c r="H13" s="46" t="s">
        <v>55</v>
      </c>
      <c r="J13" s="46" t="s">
        <v>144</v>
      </c>
      <c r="K13" s="46">
        <f>2*G8</f>
        <v>50</v>
      </c>
      <c r="L13" s="46"/>
      <c r="M13" s="46"/>
      <c r="N13" s="46"/>
    </row>
    <row r="14" spans="2:21" x14ac:dyDescent="0.3">
      <c r="B14" s="46" t="s">
        <v>176</v>
      </c>
      <c r="C14" s="46">
        <f>C12*C13</f>
        <v>195000</v>
      </c>
      <c r="D14" s="46"/>
      <c r="F14" s="33" t="s">
        <v>133</v>
      </c>
      <c r="G14" s="46">
        <v>1</v>
      </c>
      <c r="H14" s="46"/>
      <c r="J14" s="46" t="s">
        <v>145</v>
      </c>
      <c r="K14" s="81">
        <f>K12+K13</f>
        <v>873.85176836112487</v>
      </c>
      <c r="L14" s="46"/>
      <c r="M14" s="46"/>
      <c r="N14" s="46"/>
    </row>
    <row r="15" spans="2:21" x14ac:dyDescent="0.3">
      <c r="B15" s="46" t="s">
        <v>181</v>
      </c>
      <c r="C15" s="46">
        <v>25</v>
      </c>
      <c r="D15" s="46"/>
      <c r="F15" s="46" t="s">
        <v>135</v>
      </c>
      <c r="G15" s="74">
        <f>G13*G14*G8</f>
        <v>875000</v>
      </c>
      <c r="H15" s="46"/>
      <c r="J15" s="46" t="s">
        <v>146</v>
      </c>
      <c r="K15" s="82">
        <f>K14*K3</f>
        <v>436925884.18056244</v>
      </c>
      <c r="L15" s="46"/>
      <c r="M15" s="46"/>
      <c r="N15" s="46"/>
      <c r="P15" s="115" t="s">
        <v>197</v>
      </c>
      <c r="Q15" s="115" t="s">
        <v>1</v>
      </c>
      <c r="R15" s="115" t="s">
        <v>2</v>
      </c>
    </row>
    <row r="16" spans="2:21" x14ac:dyDescent="0.3">
      <c r="B16" s="46" t="s">
        <v>182</v>
      </c>
      <c r="C16" s="84">
        <v>100000</v>
      </c>
      <c r="D16" s="46" t="s">
        <v>55</v>
      </c>
      <c r="F16" s="33" t="s">
        <v>136</v>
      </c>
      <c r="G16" s="46">
        <v>50000</v>
      </c>
      <c r="H16" s="46" t="s">
        <v>55</v>
      </c>
      <c r="J16" s="33" t="s">
        <v>127</v>
      </c>
      <c r="K16" s="43">
        <f>K6+K7/L5</f>
        <v>21666.666666666668</v>
      </c>
      <c r="L16" s="46"/>
      <c r="M16" s="46"/>
      <c r="N16" s="46"/>
      <c r="P16" s="46" t="s">
        <v>239</v>
      </c>
      <c r="Q16" s="97">
        <v>10000000</v>
      </c>
      <c r="R16" s="46" t="s">
        <v>198</v>
      </c>
    </row>
    <row r="17" spans="2:22" x14ac:dyDescent="0.3">
      <c r="B17" s="46" t="s">
        <v>183</v>
      </c>
      <c r="C17" s="46">
        <v>5</v>
      </c>
      <c r="D17" s="46"/>
      <c r="F17" s="46" t="s">
        <v>180</v>
      </c>
      <c r="G17" s="46">
        <v>1</v>
      </c>
      <c r="H17" s="46"/>
      <c r="J17" s="33" t="s">
        <v>126</v>
      </c>
      <c r="K17" s="43">
        <f>K14*K16</f>
        <v>18933454.981157705</v>
      </c>
      <c r="L17" s="46"/>
      <c r="M17" s="46"/>
      <c r="N17" s="46"/>
    </row>
    <row r="18" spans="2:22" x14ac:dyDescent="0.3">
      <c r="B18" s="46" t="s">
        <v>184</v>
      </c>
      <c r="C18" s="84">
        <v>200000</v>
      </c>
      <c r="D18" s="46"/>
      <c r="F18" s="46" t="s">
        <v>138</v>
      </c>
      <c r="G18" s="46">
        <f>G17*G16*G8</f>
        <v>1250000</v>
      </c>
      <c r="H18" s="46"/>
      <c r="J18" s="46"/>
      <c r="K18" s="46"/>
      <c r="L18" s="46"/>
      <c r="M18" s="46"/>
      <c r="N18" s="46"/>
      <c r="P18" s="115" t="s">
        <v>250</v>
      </c>
      <c r="Q18" s="106">
        <v>200000</v>
      </c>
    </row>
    <row r="19" spans="2:22" x14ac:dyDescent="0.3">
      <c r="B19" s="46" t="s">
        <v>185</v>
      </c>
      <c r="C19" s="82">
        <f>C18*C17+C16*C15+C14</f>
        <v>3695000</v>
      </c>
      <c r="D19" s="46"/>
      <c r="F19" s="46" t="s">
        <v>179</v>
      </c>
      <c r="G19" s="74">
        <f>G18+G15+G12</f>
        <v>4450000</v>
      </c>
      <c r="H19" s="46"/>
      <c r="J19" s="46"/>
      <c r="K19" s="46"/>
      <c r="L19" s="46"/>
      <c r="M19" s="46"/>
      <c r="N19" s="46"/>
    </row>
    <row r="20" spans="2:22" x14ac:dyDescent="0.3">
      <c r="B20" s="46"/>
      <c r="C20" s="46"/>
      <c r="D20" s="46"/>
      <c r="J20" s="46"/>
      <c r="K20" s="46"/>
      <c r="L20" s="46"/>
      <c r="M20" s="46"/>
      <c r="N20" s="46"/>
    </row>
    <row r="22" spans="2:22" ht="15" thickBot="1" x14ac:dyDescent="0.35">
      <c r="H22" s="2">
        <v>0.05</v>
      </c>
    </row>
    <row r="23" spans="2:22" ht="45" customHeight="1" thickBot="1" x14ac:dyDescent="0.35">
      <c r="B23" s="108" t="s">
        <v>39</v>
      </c>
      <c r="C23" s="109" t="s">
        <v>259</v>
      </c>
      <c r="D23" s="110" t="s">
        <v>8</v>
      </c>
      <c r="E23" s="67" t="s">
        <v>258</v>
      </c>
      <c r="F23" s="109" t="s">
        <v>260</v>
      </c>
      <c r="G23" s="68" t="s">
        <v>59</v>
      </c>
      <c r="H23" s="111" t="s">
        <v>214</v>
      </c>
      <c r="I23" s="111" t="s">
        <v>271</v>
      </c>
      <c r="J23" s="65" t="s">
        <v>255</v>
      </c>
      <c r="K23" s="66" t="s">
        <v>70</v>
      </c>
      <c r="L23" s="65" t="s">
        <v>256</v>
      </c>
      <c r="M23" s="66" t="s">
        <v>257</v>
      </c>
      <c r="N23" s="65" t="s">
        <v>252</v>
      </c>
      <c r="O23" s="66" t="s">
        <v>251</v>
      </c>
      <c r="P23" s="65" t="s">
        <v>253</v>
      </c>
      <c r="Q23" s="66" t="s">
        <v>254</v>
      </c>
      <c r="R23" s="111" t="s">
        <v>261</v>
      </c>
      <c r="S23" s="111" t="s">
        <v>192</v>
      </c>
      <c r="T23" s="111" t="s">
        <v>262</v>
      </c>
      <c r="U23" s="111" t="s">
        <v>50</v>
      </c>
      <c r="V23" s="111" t="s">
        <v>51</v>
      </c>
    </row>
    <row r="24" spans="2:22" ht="15" customHeight="1" thickBot="1" x14ac:dyDescent="0.35">
      <c r="B24" s="42" t="s">
        <v>199</v>
      </c>
      <c r="C24" s="89">
        <f>drone_final!D5</f>
        <v>200000</v>
      </c>
      <c r="D24" s="35"/>
      <c r="E24" s="43">
        <f>C24*$C$6</f>
        <v>48000</v>
      </c>
      <c r="F24" s="112">
        <f>drone_final!D42</f>
        <v>200000</v>
      </c>
      <c r="G24" s="44" t="s">
        <v>12</v>
      </c>
      <c r="H24" s="63">
        <f t="shared" ref="H24:H30" si="2">H25*(1-$H$22)</f>
        <v>265.36817251562491</v>
      </c>
      <c r="I24" s="64">
        <f>H24*0.2</f>
        <v>53.073634503124985</v>
      </c>
      <c r="J24" s="62">
        <f t="shared" ref="J24:K30" si="3">J25*(1-$C$7)</f>
        <v>24.834197140103772</v>
      </c>
      <c r="K24" s="62">
        <f t="shared" si="3"/>
        <v>22.012129283273804</v>
      </c>
      <c r="L24" s="42">
        <f t="shared" ref="L24:L38" si="4">I24+J24</f>
        <v>77.907831643228761</v>
      </c>
      <c r="M24" s="44" t="s">
        <v>12</v>
      </c>
      <c r="N24" s="95">
        <f t="shared" ref="N24:N38" si="5">E24*L24</f>
        <v>3739575.9188749804</v>
      </c>
      <c r="O24" s="92" t="s">
        <v>12</v>
      </c>
      <c r="P24" s="92">
        <f t="shared" ref="P24:Q38" si="6">N24*12</f>
        <v>44874911.026499763</v>
      </c>
      <c r="Q24" s="44" t="s">
        <v>12</v>
      </c>
      <c r="R24" s="33"/>
      <c r="S24" s="33"/>
      <c r="T24" s="33"/>
      <c r="U24" s="33" t="s">
        <v>12</v>
      </c>
      <c r="V24" s="33" t="s">
        <v>12</v>
      </c>
    </row>
    <row r="25" spans="2:22" ht="15" customHeight="1" thickBot="1" x14ac:dyDescent="0.35">
      <c r="B25" s="42" t="s">
        <v>200</v>
      </c>
      <c r="C25" s="89">
        <f>drone_final!D6</f>
        <v>500000</v>
      </c>
      <c r="D25" s="35">
        <f t="shared" ref="D25:D33" si="7">(C25-C24)/C24</f>
        <v>1.5</v>
      </c>
      <c r="E25" s="43">
        <f t="shared" ref="E25:E38" si="8">C25*$C$6</f>
        <v>120000</v>
      </c>
      <c r="F25" s="112">
        <f>drone_final!D43</f>
        <v>500000</v>
      </c>
      <c r="G25" s="44" t="s">
        <v>12</v>
      </c>
      <c r="H25" s="63">
        <f t="shared" si="2"/>
        <v>279.33491843749994</v>
      </c>
      <c r="I25" s="64">
        <f>H25*0.2</f>
        <v>55.866983687499989</v>
      </c>
      <c r="J25" s="62">
        <f t="shared" si="3"/>
        <v>26.674755252528218</v>
      </c>
      <c r="K25" s="62">
        <f t="shared" si="3"/>
        <v>23.643533064740929</v>
      </c>
      <c r="L25" s="42">
        <f t="shared" si="4"/>
        <v>82.54173894002821</v>
      </c>
      <c r="M25" s="44" t="s">
        <v>12</v>
      </c>
      <c r="N25" s="95">
        <f t="shared" si="5"/>
        <v>9905008.6728033852</v>
      </c>
      <c r="O25" s="92" t="s">
        <v>12</v>
      </c>
      <c r="P25" s="92">
        <f t="shared" si="6"/>
        <v>118860104.07364061</v>
      </c>
      <c r="Q25" s="44" t="s">
        <v>12</v>
      </c>
      <c r="R25" s="33"/>
      <c r="S25" s="33"/>
      <c r="T25" s="33"/>
      <c r="U25" s="33" t="s">
        <v>12</v>
      </c>
      <c r="V25" s="33" t="s">
        <v>12</v>
      </c>
    </row>
    <row r="26" spans="2:22" ht="15" customHeight="1" thickBot="1" x14ac:dyDescent="0.35">
      <c r="B26" s="42" t="s">
        <v>201</v>
      </c>
      <c r="C26" s="89">
        <f>drone_final!D7</f>
        <v>1000000</v>
      </c>
      <c r="D26" s="35">
        <f t="shared" si="7"/>
        <v>1</v>
      </c>
      <c r="E26" s="43">
        <f t="shared" si="8"/>
        <v>240000</v>
      </c>
      <c r="F26" s="112">
        <f>drone_final!D44</f>
        <v>1000000</v>
      </c>
      <c r="G26" s="44" t="s">
        <v>12</v>
      </c>
      <c r="H26" s="63">
        <f t="shared" si="2"/>
        <v>294.03675624999994</v>
      </c>
      <c r="I26" s="64">
        <f>H26*0.2</f>
        <v>58.807351249999989</v>
      </c>
      <c r="J26" s="62">
        <f t="shared" si="3"/>
        <v>28.651724223983049</v>
      </c>
      <c r="K26" s="62">
        <f t="shared" si="3"/>
        <v>25.395846471257709</v>
      </c>
      <c r="L26" s="42">
        <f t="shared" si="4"/>
        <v>87.459075473983034</v>
      </c>
      <c r="M26" s="44" t="s">
        <v>12</v>
      </c>
      <c r="N26" s="95">
        <f t="shared" si="5"/>
        <v>20990178.113755926</v>
      </c>
      <c r="O26" s="92" t="s">
        <v>12</v>
      </c>
      <c r="P26" s="92">
        <f t="shared" si="6"/>
        <v>251882137.36507112</v>
      </c>
      <c r="Q26" s="44" t="s">
        <v>12</v>
      </c>
      <c r="R26" s="33"/>
      <c r="S26" s="33"/>
      <c r="T26" s="33"/>
      <c r="U26" s="33" t="s">
        <v>12</v>
      </c>
      <c r="V26" s="33" t="s">
        <v>12</v>
      </c>
    </row>
    <row r="27" spans="2:22" ht="15" customHeight="1" thickBot="1" x14ac:dyDescent="0.35">
      <c r="B27" s="42" t="s">
        <v>202</v>
      </c>
      <c r="C27" s="89">
        <f>drone_final!D8</f>
        <v>2000000</v>
      </c>
      <c r="D27" s="35">
        <f t="shared" si="7"/>
        <v>1</v>
      </c>
      <c r="E27" s="43">
        <f t="shared" si="8"/>
        <v>480000</v>
      </c>
      <c r="F27" s="112">
        <f>drone_final!D45</f>
        <v>2000000</v>
      </c>
      <c r="G27" s="44" t="s">
        <v>12</v>
      </c>
      <c r="H27" s="63">
        <f t="shared" si="2"/>
        <v>309.51237499999996</v>
      </c>
      <c r="I27" s="64">
        <f>H27*0.2</f>
        <v>61.902474999999995</v>
      </c>
      <c r="J27" s="62">
        <f t="shared" si="3"/>
        <v>30.775213989240651</v>
      </c>
      <c r="K27" s="62">
        <f t="shared" si="3"/>
        <v>27.278030581372402</v>
      </c>
      <c r="L27" s="42">
        <f t="shared" si="4"/>
        <v>92.67768898924065</v>
      </c>
      <c r="M27" s="44" t="s">
        <v>12</v>
      </c>
      <c r="N27" s="95">
        <f t="shared" si="5"/>
        <v>44485290.71483551</v>
      </c>
      <c r="O27" s="92" t="s">
        <v>12</v>
      </c>
      <c r="P27" s="92">
        <f t="shared" si="6"/>
        <v>533823488.57802612</v>
      </c>
      <c r="Q27" s="44" t="s">
        <v>12</v>
      </c>
      <c r="R27" s="33"/>
      <c r="S27" s="33"/>
      <c r="T27" s="33"/>
      <c r="U27" s="33" t="s">
        <v>12</v>
      </c>
      <c r="V27" s="33" t="s">
        <v>12</v>
      </c>
    </row>
    <row r="28" spans="2:22" ht="15" customHeight="1" thickBot="1" x14ac:dyDescent="0.35">
      <c r="B28" s="42" t="s">
        <v>203</v>
      </c>
      <c r="C28" s="89">
        <f>drone_final!D9</f>
        <v>2523333.3333333302</v>
      </c>
      <c r="D28" s="35">
        <f t="shared" si="7"/>
        <v>0.2616666666666651</v>
      </c>
      <c r="E28" s="43">
        <f t="shared" si="8"/>
        <v>605599.99999999919</v>
      </c>
      <c r="F28" s="112">
        <f>drone_final!D46</f>
        <v>2523333.3333333302</v>
      </c>
      <c r="G28" s="44" t="s">
        <v>12</v>
      </c>
      <c r="H28" s="63">
        <f t="shared" si="2"/>
        <v>325.80249999999995</v>
      </c>
      <c r="I28" s="64">
        <f>H28*0.21</f>
        <v>68.418524999999988</v>
      </c>
      <c r="J28" s="62">
        <f t="shared" si="3"/>
        <v>33.056083769324005</v>
      </c>
      <c r="K28" s="62">
        <f t="shared" si="3"/>
        <v>29.299710613719011</v>
      </c>
      <c r="L28" s="42">
        <f t="shared" si="4"/>
        <v>101.47460876932399</v>
      </c>
      <c r="M28" s="44" t="s">
        <v>12</v>
      </c>
      <c r="N28" s="95">
        <f t="shared" si="5"/>
        <v>61453023.07070253</v>
      </c>
      <c r="O28" s="92" t="s">
        <v>12</v>
      </c>
      <c r="P28" s="92">
        <f t="shared" si="6"/>
        <v>737436276.8484304</v>
      </c>
      <c r="Q28" s="44" t="s">
        <v>12</v>
      </c>
      <c r="R28" s="33"/>
      <c r="S28" s="33"/>
      <c r="T28" s="33"/>
      <c r="U28" s="33" t="s">
        <v>12</v>
      </c>
      <c r="V28" s="33" t="s">
        <v>12</v>
      </c>
    </row>
    <row r="29" spans="2:22" ht="15" customHeight="1" thickBot="1" x14ac:dyDescent="0.35">
      <c r="B29" s="42" t="s">
        <v>204</v>
      </c>
      <c r="C29" s="89">
        <f>drone_final!D10</f>
        <v>5000000</v>
      </c>
      <c r="D29" s="35">
        <f t="shared" si="7"/>
        <v>0.98150594451783602</v>
      </c>
      <c r="E29" s="43">
        <f t="shared" si="8"/>
        <v>1200000</v>
      </c>
      <c r="F29" s="112">
        <f>drone_final!D47</f>
        <v>5000000</v>
      </c>
      <c r="G29" s="44" t="s">
        <v>12</v>
      </c>
      <c r="H29" s="63">
        <f t="shared" si="2"/>
        <v>342.95</v>
      </c>
      <c r="I29" s="64">
        <f t="shared" ref="I29" si="9">H29*0.23</f>
        <v>78.878500000000003</v>
      </c>
      <c r="J29" s="62">
        <f t="shared" si="3"/>
        <v>35.505997604000001</v>
      </c>
      <c r="K29" s="62">
        <f t="shared" si="3"/>
        <v>31.471225149000009</v>
      </c>
      <c r="L29" s="42">
        <f t="shared" si="4"/>
        <v>114.384497604</v>
      </c>
      <c r="M29" s="44" t="s">
        <v>12</v>
      </c>
      <c r="N29" s="95">
        <f t="shared" si="5"/>
        <v>137261397.1248</v>
      </c>
      <c r="O29" s="92" t="s">
        <v>12</v>
      </c>
      <c r="P29" s="92">
        <f t="shared" si="6"/>
        <v>1647136765.4976001</v>
      </c>
      <c r="Q29" s="44" t="s">
        <v>12</v>
      </c>
      <c r="R29" s="33"/>
      <c r="S29" s="33"/>
      <c r="T29" s="33"/>
      <c r="U29" s="33" t="s">
        <v>12</v>
      </c>
      <c r="V29" s="33" t="s">
        <v>12</v>
      </c>
    </row>
    <row r="30" spans="2:22" ht="15" customHeight="1" thickBot="1" x14ac:dyDescent="0.35">
      <c r="B30" s="42" t="s">
        <v>205</v>
      </c>
      <c r="C30" s="89">
        <f>drone_final!D11</f>
        <v>7000000</v>
      </c>
      <c r="D30" s="35">
        <f t="shared" si="7"/>
        <v>0.4</v>
      </c>
      <c r="E30" s="43">
        <f t="shared" si="8"/>
        <v>1680000</v>
      </c>
      <c r="F30" s="112">
        <f>drone_final!D48</f>
        <v>7000000</v>
      </c>
      <c r="G30" s="44" t="s">
        <v>12</v>
      </c>
      <c r="H30" s="63">
        <f t="shared" si="2"/>
        <v>361</v>
      </c>
      <c r="I30" s="64">
        <f>H30*0.21</f>
        <v>75.81</v>
      </c>
      <c r="J30" s="62">
        <f t="shared" si="3"/>
        <v>38.137484000000001</v>
      </c>
      <c r="K30" s="62">
        <f t="shared" si="3"/>
        <v>33.80367900000001</v>
      </c>
      <c r="L30" s="42">
        <f t="shared" si="4"/>
        <v>113.947484</v>
      </c>
      <c r="M30" s="44" t="s">
        <v>12</v>
      </c>
      <c r="N30" s="95">
        <f t="shared" si="5"/>
        <v>191431773.12</v>
      </c>
      <c r="O30" s="92" t="s">
        <v>12</v>
      </c>
      <c r="P30" s="92">
        <f t="shared" si="6"/>
        <v>2297181277.4400001</v>
      </c>
      <c r="Q30" s="44" t="s">
        <v>12</v>
      </c>
      <c r="R30" s="33"/>
      <c r="S30" s="33"/>
      <c r="T30" s="33"/>
      <c r="U30" s="33" t="s">
        <v>12</v>
      </c>
      <c r="V30" s="33" t="s">
        <v>12</v>
      </c>
    </row>
    <row r="31" spans="2:22" ht="15" customHeight="1" thickBot="1" x14ac:dyDescent="0.35">
      <c r="B31" s="42" t="s">
        <v>206</v>
      </c>
      <c r="C31" s="89">
        <f>drone_final!D12</f>
        <v>9000000</v>
      </c>
      <c r="D31" s="35">
        <f t="shared" si="7"/>
        <v>0.2857142857142857</v>
      </c>
      <c r="E31" s="43">
        <f t="shared" si="8"/>
        <v>2160000</v>
      </c>
      <c r="F31" s="112">
        <f>drone_final!D49</f>
        <v>9000000</v>
      </c>
      <c r="G31" s="44" t="s">
        <v>12</v>
      </c>
      <c r="H31" s="63">
        <f>H32*(1-$H$22)</f>
        <v>380</v>
      </c>
      <c r="I31" s="64">
        <f>H31*0.22</f>
        <v>83.6</v>
      </c>
      <c r="J31" s="62">
        <f>J32*(1-$C$7)</f>
        <v>40.963999999999999</v>
      </c>
      <c r="K31" s="62">
        <f>K32*(1-$C$7)</f>
        <v>36.309000000000005</v>
      </c>
      <c r="L31" s="42">
        <f t="shared" si="4"/>
        <v>124.56399999999999</v>
      </c>
      <c r="M31" s="44" t="s">
        <v>12</v>
      </c>
      <c r="N31" s="95">
        <f t="shared" si="5"/>
        <v>269058240</v>
      </c>
      <c r="O31" s="92" t="s">
        <v>12</v>
      </c>
      <c r="P31" s="92">
        <f t="shared" si="6"/>
        <v>3228698880</v>
      </c>
      <c r="Q31" s="44" t="s">
        <v>12</v>
      </c>
      <c r="R31" s="33"/>
      <c r="S31" s="33"/>
      <c r="T31" s="33"/>
      <c r="U31" s="33" t="s">
        <v>12</v>
      </c>
      <c r="V31" s="33" t="s">
        <v>12</v>
      </c>
    </row>
    <row r="32" spans="2:22" ht="15" customHeight="1" thickBot="1" x14ac:dyDescent="0.35">
      <c r="B32" s="42" t="s">
        <v>207</v>
      </c>
      <c r="C32" s="98">
        <f>drone_final!D13</f>
        <v>10000000</v>
      </c>
      <c r="D32" s="35">
        <f t="shared" si="7"/>
        <v>0.1111111111111111</v>
      </c>
      <c r="E32" s="43">
        <f t="shared" si="8"/>
        <v>2400000</v>
      </c>
      <c r="F32" s="93">
        <f>drone_final!D50</f>
        <v>10000000</v>
      </c>
      <c r="G32" s="60" t="s">
        <v>12</v>
      </c>
      <c r="H32" s="63">
        <v>400</v>
      </c>
      <c r="I32" s="64">
        <f>H32*0.22</f>
        <v>88</v>
      </c>
      <c r="J32" s="64">
        <v>44</v>
      </c>
      <c r="K32" s="62">
        <v>39</v>
      </c>
      <c r="L32" s="42">
        <f t="shared" si="4"/>
        <v>132</v>
      </c>
      <c r="M32" s="42">
        <f t="shared" ref="M32:M38" si="10">I32+K32</f>
        <v>127</v>
      </c>
      <c r="N32" s="95">
        <f t="shared" si="5"/>
        <v>316800000</v>
      </c>
      <c r="O32" s="92" t="s">
        <v>12</v>
      </c>
      <c r="P32" s="92">
        <f t="shared" si="6"/>
        <v>3801600000</v>
      </c>
      <c r="Q32" s="43" t="s">
        <v>12</v>
      </c>
      <c r="R32" s="43"/>
      <c r="S32" s="43"/>
      <c r="T32" s="43"/>
      <c r="U32" s="42" t="s">
        <v>12</v>
      </c>
      <c r="V32" s="35" t="s">
        <v>12</v>
      </c>
    </row>
    <row r="33" spans="2:22" ht="15" customHeight="1" thickBot="1" x14ac:dyDescent="0.35">
      <c r="B33" s="42" t="s">
        <v>208</v>
      </c>
      <c r="C33" s="98">
        <f>drone_final!D14</f>
        <v>15010201</v>
      </c>
      <c r="D33" s="35">
        <f t="shared" si="7"/>
        <v>0.50102009999999997</v>
      </c>
      <c r="E33" s="43">
        <f t="shared" si="8"/>
        <v>3602448.2399999998</v>
      </c>
      <c r="F33" s="93">
        <f>drone_final!D51</f>
        <v>15303800.53156</v>
      </c>
      <c r="G33" s="43">
        <f>drone_final!F51</f>
        <v>3896047.7715599998</v>
      </c>
      <c r="H33" s="63">
        <v>410</v>
      </c>
      <c r="I33" s="64">
        <f>H33*0.22</f>
        <v>90.2</v>
      </c>
      <c r="J33" s="62">
        <f>J32*(1+$C$7)</f>
        <v>47.036000000000001</v>
      </c>
      <c r="K33" s="62">
        <f>K32*(1+$C$7)</f>
        <v>41.690999999999995</v>
      </c>
      <c r="L33" s="42">
        <f t="shared" si="4"/>
        <v>137.23599999999999</v>
      </c>
      <c r="M33" s="42">
        <f t="shared" si="10"/>
        <v>131.89099999999999</v>
      </c>
      <c r="N33" s="95">
        <f t="shared" si="5"/>
        <v>494385586.66463995</v>
      </c>
      <c r="O33" s="92">
        <f>G33*M33</f>
        <v>513853636.63881987</v>
      </c>
      <c r="P33" s="92">
        <f t="shared" si="6"/>
        <v>5932627039.9756794</v>
      </c>
      <c r="Q33" s="93">
        <f>O33*12</f>
        <v>6166243639.6658382</v>
      </c>
      <c r="R33" s="93">
        <f>($C$19+$Q$16+$G$15+$G$18+P49+M49+U3+$Q$18)</f>
        <v>255197393.67041367</v>
      </c>
      <c r="S33" s="93">
        <f>K49+L56</f>
        <v>436925884.18056244</v>
      </c>
      <c r="T33" s="93">
        <f>R33+S33</f>
        <v>692123277.85097611</v>
      </c>
      <c r="U33" s="94">
        <f t="shared" ref="U33:U38" si="11">O33-T33</f>
        <v>-178269641.21215624</v>
      </c>
      <c r="V33" s="35">
        <f>(O33-T33)/T33</f>
        <v>-0.25756920322876381</v>
      </c>
    </row>
    <row r="34" spans="2:22" ht="15" customHeight="1" thickBot="1" x14ac:dyDescent="0.35">
      <c r="B34" s="42" t="s">
        <v>209</v>
      </c>
      <c r="C34" s="98">
        <f>drone_final!D15</f>
        <v>22028782.582183104</v>
      </c>
      <c r="D34" s="35">
        <v>0.48</v>
      </c>
      <c r="E34" s="43">
        <f t="shared" si="8"/>
        <v>5286907.8197239451</v>
      </c>
      <c r="F34" s="93">
        <f>drone_final!D52</f>
        <v>22459665.569490604</v>
      </c>
      <c r="G34" s="43">
        <f>drone_final!F52</f>
        <v>5717790.807031448</v>
      </c>
      <c r="H34" s="63">
        <v>415</v>
      </c>
      <c r="I34" s="64">
        <f>H34*0.22</f>
        <v>91.3</v>
      </c>
      <c r="J34" s="62">
        <f t="shared" ref="J34:K38" si="12">J33*(1+$C$7)</f>
        <v>50.281483999999999</v>
      </c>
      <c r="K34" s="62">
        <f t="shared" si="12"/>
        <v>44.567678999999991</v>
      </c>
      <c r="L34" s="42">
        <f t="shared" si="4"/>
        <v>141.58148399999999</v>
      </c>
      <c r="M34" s="42">
        <f t="shared" si="10"/>
        <v>135.86767899999998</v>
      </c>
      <c r="N34" s="95">
        <f t="shared" si="5"/>
        <v>748528254.88772058</v>
      </c>
      <c r="O34" s="92">
        <f t="shared" ref="O34:O38" si="13">G34*M34</f>
        <v>776862965.95889962</v>
      </c>
      <c r="P34" s="92">
        <f t="shared" si="6"/>
        <v>8982339058.652647</v>
      </c>
      <c r="Q34" s="93">
        <f>O34*12</f>
        <v>9322355591.5067959</v>
      </c>
      <c r="R34" s="93">
        <f>($C$19+$Q$16+$G$15+$G$18+P50+M50+U4+$Q$18)*(1+$C$7)</f>
        <v>391817563.725106</v>
      </c>
      <c r="S34" s="93">
        <f>K50*(1+$C$7)</f>
        <v>205901557.75966284</v>
      </c>
      <c r="T34" s="93">
        <f t="shared" ref="T34:T38" si="14">R34+S34</f>
        <v>597719121.48476887</v>
      </c>
      <c r="U34" s="94">
        <f t="shared" si="11"/>
        <v>179143844.47413075</v>
      </c>
      <c r="V34" s="35">
        <f t="shared" ref="V34:V38" si="15">(O34-T34)/T34</f>
        <v>0.29971242015669014</v>
      </c>
    </row>
    <row r="35" spans="2:22" ht="15" customHeight="1" thickBot="1" x14ac:dyDescent="0.35">
      <c r="B35" s="42" t="s">
        <v>210</v>
      </c>
      <c r="C35" s="98">
        <f>drone_final!D16</f>
        <v>27756266.053550713</v>
      </c>
      <c r="D35" s="35">
        <v>0.26</v>
      </c>
      <c r="E35" s="43">
        <f t="shared" si="8"/>
        <v>6661503.8528521704</v>
      </c>
      <c r="F35" s="93">
        <f>drone_final!D53</f>
        <v>28299178.617558163</v>
      </c>
      <c r="G35" s="43">
        <f>drone_final!F53</f>
        <v>7204416.416859624</v>
      </c>
      <c r="H35" s="63">
        <v>420</v>
      </c>
      <c r="I35" s="64">
        <f>H35*0.23</f>
        <v>96.600000000000009</v>
      </c>
      <c r="J35" s="62">
        <f t="shared" si="12"/>
        <v>53.750906395999998</v>
      </c>
      <c r="K35" s="62">
        <f t="shared" si="12"/>
        <v>47.642848850999989</v>
      </c>
      <c r="L35" s="42">
        <f t="shared" si="4"/>
        <v>150.350906396</v>
      </c>
      <c r="M35" s="42">
        <f t="shared" si="10"/>
        <v>144.24284885099999</v>
      </c>
      <c r="N35" s="95">
        <f t="shared" si="5"/>
        <v>1001563142.23677</v>
      </c>
      <c r="O35" s="92">
        <f t="shared" si="13"/>
        <v>1039185548.2767457</v>
      </c>
      <c r="P35" s="92">
        <f t="shared" si="6"/>
        <v>12018757706.84124</v>
      </c>
      <c r="Q35" s="93">
        <f>O35*12</f>
        <v>12470226579.320948</v>
      </c>
      <c r="R35" s="93">
        <f>($C$19+$G$15+$Q$16+$G$18+P51+M51+U5+$Q$18)*(1+$C$7)</f>
        <v>488936429.82696688</v>
      </c>
      <c r="S35" s="93">
        <f>K51*(1+$C$7)</f>
        <v>168025085.26665789</v>
      </c>
      <c r="T35" s="93">
        <f t="shared" si="14"/>
        <v>656961515.09362483</v>
      </c>
      <c r="U35" s="94">
        <f t="shared" si="11"/>
        <v>382224033.18312085</v>
      </c>
      <c r="V35" s="35">
        <f t="shared" si="15"/>
        <v>0.58180582028256156</v>
      </c>
    </row>
    <row r="36" spans="2:22" ht="15" customHeight="1" thickBot="1" x14ac:dyDescent="0.35">
      <c r="B36" s="42" t="s">
        <v>211</v>
      </c>
      <c r="C36" s="98">
        <f>drone_final!D17</f>
        <v>34972895.2274739</v>
      </c>
      <c r="D36" s="35">
        <v>0.26</v>
      </c>
      <c r="E36" s="43">
        <f t="shared" si="8"/>
        <v>8393494.8545937352</v>
      </c>
      <c r="F36" s="93">
        <f>drone_final!D54</f>
        <v>35656965.058123283</v>
      </c>
      <c r="G36" s="43">
        <f>drone_final!F54</f>
        <v>9077564.685243126</v>
      </c>
      <c r="H36" s="63">
        <v>425</v>
      </c>
      <c r="I36" s="64">
        <f>H36*0.23</f>
        <v>97.75</v>
      </c>
      <c r="J36" s="62">
        <f t="shared" si="12"/>
        <v>57.459718937323991</v>
      </c>
      <c r="K36" s="62">
        <f t="shared" si="12"/>
        <v>50.930205421718988</v>
      </c>
      <c r="L36" s="42">
        <f t="shared" si="4"/>
        <v>155.209718937324</v>
      </c>
      <c r="M36" s="42">
        <f t="shared" si="10"/>
        <v>148.68020542171899</v>
      </c>
      <c r="N36" s="95">
        <f t="shared" si="5"/>
        <v>1302751977.2833688</v>
      </c>
      <c r="O36" s="92">
        <f t="shared" si="13"/>
        <v>1349654182.1308899</v>
      </c>
      <c r="P36" s="92">
        <f t="shared" si="6"/>
        <v>15633023727.400425</v>
      </c>
      <c r="Q36" s="93">
        <f>O36*12</f>
        <v>16195850185.570679</v>
      </c>
      <c r="R36" s="93">
        <f>($C$19+$G$15+$Q$16+$G$18+P52+M52+U6+$Q$18)*(1+$C$7)</f>
        <v>611306201.11531162</v>
      </c>
      <c r="S36" s="93">
        <f>K52*(1+$C$7)</f>
        <v>211711607.43598863</v>
      </c>
      <c r="T36" s="93">
        <f t="shared" si="14"/>
        <v>823017808.55130029</v>
      </c>
      <c r="U36" s="94">
        <f t="shared" si="11"/>
        <v>526636373.57958961</v>
      </c>
      <c r="V36" s="35">
        <f t="shared" si="15"/>
        <v>0.63988454211773393</v>
      </c>
    </row>
    <row r="37" spans="2:22" ht="15" customHeight="1" thickBot="1" x14ac:dyDescent="0.35">
      <c r="B37" s="42" t="s">
        <v>212</v>
      </c>
      <c r="C37" s="98">
        <f>drone_final!D18</f>
        <v>41268016.3684192</v>
      </c>
      <c r="D37" s="35">
        <v>0.18</v>
      </c>
      <c r="E37" s="43">
        <f t="shared" si="8"/>
        <v>9904323.928420607</v>
      </c>
      <c r="F37" s="93">
        <f>drone_final!D55</f>
        <v>42075218.768585473</v>
      </c>
      <c r="G37" s="43">
        <f>drone_final!F55</f>
        <v>10711526.328586888</v>
      </c>
      <c r="H37" s="63">
        <v>430</v>
      </c>
      <c r="I37" s="64">
        <f>H37*0.23</f>
        <v>98.9</v>
      </c>
      <c r="J37" s="62">
        <f t="shared" si="12"/>
        <v>61.424439543999341</v>
      </c>
      <c r="K37" s="62">
        <f t="shared" si="12"/>
        <v>54.444389595817597</v>
      </c>
      <c r="L37" s="42">
        <f t="shared" si="4"/>
        <v>160.32443954399935</v>
      </c>
      <c r="M37" s="42">
        <f t="shared" si="10"/>
        <v>153.3443895958176</v>
      </c>
      <c r="N37" s="95">
        <f t="shared" si="5"/>
        <v>1587905182.8862557</v>
      </c>
      <c r="O37" s="92">
        <f t="shared" si="13"/>
        <v>1642552466.4966855</v>
      </c>
      <c r="P37" s="92">
        <f t="shared" si="6"/>
        <v>19054862194.635071</v>
      </c>
      <c r="Q37" s="93">
        <f>O37*12</f>
        <v>19710629597.960228</v>
      </c>
      <c r="R37" s="93">
        <f>($C$19+$G$15+$Q$16+$G$18+P53+M53+U7+$Q$18)*(1+$C$7)</f>
        <v>718050293.9160676</v>
      </c>
      <c r="S37" s="93">
        <f>K53*(1+$C$7)</f>
        <v>184677663.71723926</v>
      </c>
      <c r="T37" s="93">
        <f t="shared" si="14"/>
        <v>902727957.63330686</v>
      </c>
      <c r="U37" s="94">
        <f t="shared" si="11"/>
        <v>739824508.86337864</v>
      </c>
      <c r="V37" s="35">
        <f t="shared" si="15"/>
        <v>0.81954314431889952</v>
      </c>
    </row>
    <row r="38" spans="2:22" ht="15" customHeight="1" thickBot="1" x14ac:dyDescent="0.35">
      <c r="B38" s="42" t="s">
        <v>213</v>
      </c>
      <c r="C38" s="98">
        <f>drone_final!D19</f>
        <v>45807498.168945313</v>
      </c>
      <c r="D38" s="35">
        <v>0.11</v>
      </c>
      <c r="E38" s="43">
        <f t="shared" si="8"/>
        <v>10993799.560546875</v>
      </c>
      <c r="F38" s="93">
        <f>drone_final!D56</f>
        <v>46703492.833129883</v>
      </c>
      <c r="G38" s="43">
        <f>drone_final!F56</f>
        <v>11889794.224731445</v>
      </c>
      <c r="H38" s="63">
        <v>435</v>
      </c>
      <c r="I38" s="64">
        <f>H38*0.24</f>
        <v>104.39999999999999</v>
      </c>
      <c r="J38" s="62">
        <f t="shared" si="12"/>
        <v>65.66272587253529</v>
      </c>
      <c r="K38" s="62">
        <f t="shared" si="12"/>
        <v>58.201052477929011</v>
      </c>
      <c r="L38" s="42">
        <f t="shared" si="4"/>
        <v>170.06272587253528</v>
      </c>
      <c r="M38" s="42">
        <f t="shared" si="10"/>
        <v>162.60105247792899</v>
      </c>
      <c r="N38" s="95">
        <f t="shared" si="5"/>
        <v>1869635520.962882</v>
      </c>
      <c r="O38" s="92">
        <f t="shared" si="13"/>
        <v>1933293054.6873348</v>
      </c>
      <c r="P38" s="92">
        <f t="shared" si="6"/>
        <v>22435626251.554585</v>
      </c>
      <c r="Q38" s="93">
        <f t="shared" si="6"/>
        <v>23199516656.248016</v>
      </c>
      <c r="R38" s="93">
        <f>($C$19+$G$15+$Q$16+$G$18+P54+M54+U8+$Q$18)*(1+$C$7)</f>
        <v>795024645.28016853</v>
      </c>
      <c r="S38" s="93">
        <f>K54*(1+$C$7)</f>
        <v>133173115.28054301</v>
      </c>
      <c r="T38" s="93">
        <f t="shared" si="14"/>
        <v>928197760.5607115</v>
      </c>
      <c r="U38" s="94">
        <f t="shared" si="11"/>
        <v>1005095294.1266233</v>
      </c>
      <c r="V38" s="35">
        <f t="shared" si="15"/>
        <v>1.0828460666824482</v>
      </c>
    </row>
    <row r="41" spans="2:22" x14ac:dyDescent="0.3">
      <c r="G41" s="18"/>
      <c r="O41" s="18"/>
      <c r="Q41" s="99"/>
      <c r="U41" s="18"/>
    </row>
    <row r="44" spans="2:22" ht="15.6" x14ac:dyDescent="0.3">
      <c r="C44" s="113" t="s">
        <v>156</v>
      </c>
      <c r="D44" s="114"/>
      <c r="E44" s="114"/>
      <c r="F44" s="114"/>
      <c r="J44" s="76" t="s">
        <v>157</v>
      </c>
      <c r="L44" t="s">
        <v>144</v>
      </c>
      <c r="M44">
        <f>K13</f>
        <v>50</v>
      </c>
      <c r="O44" t="s">
        <v>194</v>
      </c>
      <c r="P44">
        <v>22</v>
      </c>
    </row>
    <row r="46" spans="2:22" x14ac:dyDescent="0.3">
      <c r="G46" s="33" t="s">
        <v>158</v>
      </c>
      <c r="I46" s="33" t="s">
        <v>159</v>
      </c>
    </row>
    <row r="47" spans="2:22" x14ac:dyDescent="0.3">
      <c r="G47" s="33">
        <v>25</v>
      </c>
      <c r="I47" s="33">
        <f>K10*K11</f>
        <v>20</v>
      </c>
      <c r="K47" t="s">
        <v>265</v>
      </c>
      <c r="L47" t="s">
        <v>169</v>
      </c>
      <c r="M47" t="s">
        <v>266</v>
      </c>
      <c r="N47">
        <f>G9/H49</f>
        <v>45.517897078254926</v>
      </c>
    </row>
    <row r="48" spans="2:22" x14ac:dyDescent="0.3">
      <c r="B48" s="33" t="s">
        <v>39</v>
      </c>
      <c r="C48" s="33" t="s">
        <v>160</v>
      </c>
      <c r="D48" s="33" t="s">
        <v>161</v>
      </c>
      <c r="E48" s="33" t="s">
        <v>162</v>
      </c>
      <c r="F48" s="33" t="s">
        <v>163</v>
      </c>
      <c r="G48" s="33" t="s">
        <v>165</v>
      </c>
      <c r="H48" s="33" t="s">
        <v>170</v>
      </c>
      <c r="I48" s="80" t="s">
        <v>171</v>
      </c>
      <c r="L48" t="s">
        <v>186</v>
      </c>
      <c r="M48" t="s">
        <v>189</v>
      </c>
      <c r="N48" t="s">
        <v>193</v>
      </c>
      <c r="O48" t="s">
        <v>195</v>
      </c>
      <c r="P48" t="s">
        <v>196</v>
      </c>
    </row>
    <row r="49" spans="2:16" x14ac:dyDescent="0.3">
      <c r="B49" s="77" t="s">
        <v>208</v>
      </c>
      <c r="C49" s="43">
        <f>drone_final!N51</f>
        <v>1129853.8537524</v>
      </c>
      <c r="D49" s="42">
        <f t="shared" ref="D49:D54" si="16">C49/30</f>
        <v>37661.795125080003</v>
      </c>
      <c r="E49" s="42">
        <f t="shared" ref="E49:E54" si="17">(D49*0.7)</f>
        <v>26363.256587555999</v>
      </c>
      <c r="F49" s="42">
        <f t="shared" ref="F49:F54" si="18">E49/4</f>
        <v>6590.8141468889999</v>
      </c>
      <c r="G49" s="42">
        <f t="shared" ref="G49:G54" si="19">(F49/$G$47)</f>
        <v>263.63256587555998</v>
      </c>
      <c r="H49" s="42">
        <f>(G49/$I$47)*2.5</f>
        <v>32.954070734444997</v>
      </c>
      <c r="I49" s="78">
        <v>0</v>
      </c>
      <c r="J49" s="20">
        <f>H49*$G$8</f>
        <v>823.85176836112487</v>
      </c>
      <c r="K49" s="17">
        <f>J49*$K$3</f>
        <v>411925884.18056244</v>
      </c>
      <c r="L49" s="20">
        <f t="shared" ref="L49:L53" si="20">H49*25+$M$44</f>
        <v>873.85176836112487</v>
      </c>
      <c r="M49" s="17">
        <f>L49*$K$16</f>
        <v>18933454.981157705</v>
      </c>
      <c r="N49" s="16">
        <f>H49*$N$47</f>
        <v>1500</v>
      </c>
      <c r="O49" s="16">
        <f t="shared" ref="O49:O54" si="21">N49*$G$10</f>
        <v>93000</v>
      </c>
      <c r="P49" s="16">
        <f>O49*25</f>
        <v>2325000</v>
      </c>
    </row>
    <row r="50" spans="2:16" x14ac:dyDescent="0.3">
      <c r="B50" s="77" t="s">
        <v>209</v>
      </c>
      <c r="C50" s="43">
        <f>drone_final!N52</f>
        <v>1658159.33403912</v>
      </c>
      <c r="D50" s="42">
        <f t="shared" si="16"/>
        <v>55271.977801303998</v>
      </c>
      <c r="E50" s="42">
        <f t="shared" si="17"/>
        <v>38690.384460912799</v>
      </c>
      <c r="F50" s="42">
        <f t="shared" si="18"/>
        <v>9672.5961152281998</v>
      </c>
      <c r="G50" s="42">
        <f t="shared" si="19"/>
        <v>386.90384460912799</v>
      </c>
      <c r="H50" s="42">
        <f t="shared" ref="H50:H54" si="22">(G50/$I$47)*2.5</f>
        <v>48.362980576140998</v>
      </c>
      <c r="I50" s="78">
        <f>H50-H49</f>
        <v>15.408909841696001</v>
      </c>
      <c r="J50" s="20">
        <f>I50*$G$8</f>
        <v>385.22274604240005</v>
      </c>
      <c r="K50" s="17">
        <f t="shared" ref="K50:K54" si="23">J50*$K$3</f>
        <v>192611373.02120003</v>
      </c>
      <c r="L50" s="20">
        <f t="shared" si="20"/>
        <v>1259.074514403525</v>
      </c>
      <c r="M50" s="17">
        <f t="shared" ref="M50:M54" si="24">L50*$K$16</f>
        <v>27279947.812076375</v>
      </c>
      <c r="N50" s="16">
        <f t="shared" ref="N50:N54" si="25">H50*$N$47</f>
        <v>2201.3811722624282</v>
      </c>
      <c r="O50" s="16">
        <f t="shared" si="21"/>
        <v>136485.63268027056</v>
      </c>
      <c r="P50" s="16">
        <f t="shared" ref="P50:P54" si="26">O50*25</f>
        <v>3412140.817006764</v>
      </c>
    </row>
    <row r="51" spans="2:16" x14ac:dyDescent="0.3">
      <c r="B51" s="77" t="s">
        <v>210</v>
      </c>
      <c r="C51" s="43">
        <f>drone_final!N53</f>
        <v>2089280.7608892913</v>
      </c>
      <c r="D51" s="42">
        <f t="shared" si="16"/>
        <v>69642.692029643047</v>
      </c>
      <c r="E51" s="42">
        <f t="shared" si="17"/>
        <v>48749.884420750132</v>
      </c>
      <c r="F51" s="42">
        <f t="shared" si="18"/>
        <v>12187.471105187533</v>
      </c>
      <c r="G51" s="42">
        <f t="shared" si="19"/>
        <v>487.49884420750129</v>
      </c>
      <c r="H51" s="42">
        <f t="shared" si="22"/>
        <v>60.937355525937662</v>
      </c>
      <c r="I51" s="78">
        <f t="shared" ref="I51:I54" si="27">H51-H50</f>
        <v>12.574374949796663</v>
      </c>
      <c r="J51" s="20">
        <f>I51*$G$8</f>
        <v>314.35937374491658</v>
      </c>
      <c r="K51" s="17">
        <f t="shared" si="23"/>
        <v>157179686.87245828</v>
      </c>
      <c r="L51" s="20">
        <f t="shared" si="20"/>
        <v>1573.4338881484416</v>
      </c>
      <c r="M51" s="17">
        <f t="shared" si="24"/>
        <v>34091067.576549567</v>
      </c>
      <c r="N51" s="16">
        <f t="shared" si="25"/>
        <v>2773.7402770506596</v>
      </c>
      <c r="O51" s="16">
        <f t="shared" si="21"/>
        <v>171971.8971771409</v>
      </c>
      <c r="P51" s="16">
        <f t="shared" si="26"/>
        <v>4299297.4294285225</v>
      </c>
    </row>
    <row r="52" spans="2:16" x14ac:dyDescent="0.3">
      <c r="B52" s="77" t="s">
        <v>211</v>
      </c>
      <c r="C52" s="43">
        <f>drone_final!N54</f>
        <v>2632493.7587205064</v>
      </c>
      <c r="D52" s="42">
        <f t="shared" si="16"/>
        <v>87749.791957350215</v>
      </c>
      <c r="E52" s="42">
        <f t="shared" si="17"/>
        <v>61424.854370145149</v>
      </c>
      <c r="F52" s="42">
        <f t="shared" si="18"/>
        <v>15356.213592536287</v>
      </c>
      <c r="G52" s="42">
        <f t="shared" si="19"/>
        <v>614.24854370145147</v>
      </c>
      <c r="H52" s="42">
        <f t="shared" si="22"/>
        <v>76.781067962681433</v>
      </c>
      <c r="I52" s="78">
        <f t="shared" si="27"/>
        <v>15.843712436743772</v>
      </c>
      <c r="J52" s="20">
        <f>I52*$G$8</f>
        <v>396.0928109185943</v>
      </c>
      <c r="K52" s="17">
        <f t="shared" si="23"/>
        <v>198046405.45929715</v>
      </c>
      <c r="L52" s="20">
        <f t="shared" si="20"/>
        <v>1969.5266990670359</v>
      </c>
      <c r="M52" s="17">
        <f t="shared" si="24"/>
        <v>42673078.479785778</v>
      </c>
      <c r="N52" s="16">
        <f t="shared" si="25"/>
        <v>3494.91274908383</v>
      </c>
      <c r="O52" s="16">
        <f t="shared" si="21"/>
        <v>216684.59044319746</v>
      </c>
      <c r="P52" s="16">
        <f t="shared" si="26"/>
        <v>5417114.7610799363</v>
      </c>
    </row>
    <row r="53" spans="2:16" x14ac:dyDescent="0.3">
      <c r="B53" s="77" t="s">
        <v>212</v>
      </c>
      <c r="C53" s="43">
        <f>drone_final!N55</f>
        <v>3106342.6352901971</v>
      </c>
      <c r="D53" s="42">
        <f t="shared" si="16"/>
        <v>103544.75450967324</v>
      </c>
      <c r="E53" s="42">
        <f t="shared" si="17"/>
        <v>72481.328156771255</v>
      </c>
      <c r="F53" s="42">
        <f t="shared" si="18"/>
        <v>18120.332039192814</v>
      </c>
      <c r="G53" s="42">
        <f t="shared" si="19"/>
        <v>724.81328156771258</v>
      </c>
      <c r="H53" s="42">
        <f t="shared" si="22"/>
        <v>90.601660195964072</v>
      </c>
      <c r="I53" s="78">
        <f t="shared" si="27"/>
        <v>13.820592233282639</v>
      </c>
      <c r="J53" s="20">
        <f>I53*$G$8</f>
        <v>345.51480583206597</v>
      </c>
      <c r="K53" s="17">
        <f t="shared" si="23"/>
        <v>172757402.916033</v>
      </c>
      <c r="L53" s="20">
        <f t="shared" si="20"/>
        <v>2315.0415048991017</v>
      </c>
      <c r="M53" s="17">
        <f t="shared" si="24"/>
        <v>50159232.606147207</v>
      </c>
      <c r="N53" s="16">
        <f t="shared" si="25"/>
        <v>4123.9970439189183</v>
      </c>
      <c r="O53" s="16">
        <f t="shared" si="21"/>
        <v>255687.81672297293</v>
      </c>
      <c r="P53" s="16">
        <f t="shared" si="26"/>
        <v>6392195.4180743229</v>
      </c>
    </row>
    <row r="54" spans="2:16" x14ac:dyDescent="0.3">
      <c r="B54" s="77" t="s">
        <v>213</v>
      </c>
      <c r="C54" s="43">
        <f>drone_final!N56</f>
        <v>3448040.3251721188</v>
      </c>
      <c r="D54" s="42">
        <f t="shared" si="16"/>
        <v>114934.6775057373</v>
      </c>
      <c r="E54" s="42">
        <f t="shared" si="17"/>
        <v>80454.274254016113</v>
      </c>
      <c r="F54" s="42">
        <f t="shared" si="18"/>
        <v>20113.568563504028</v>
      </c>
      <c r="G54" s="42">
        <f t="shared" si="19"/>
        <v>804.54274254016116</v>
      </c>
      <c r="H54" s="42">
        <f t="shared" si="22"/>
        <v>100.56784281752014</v>
      </c>
      <c r="I54" s="78">
        <f t="shared" si="27"/>
        <v>9.9661826215560723</v>
      </c>
      <c r="J54" s="20">
        <f>I54*$G$8</f>
        <v>249.15456553890181</v>
      </c>
      <c r="K54" s="17">
        <f t="shared" si="23"/>
        <v>124577282.7694509</v>
      </c>
      <c r="L54" s="20">
        <f>H54*25+$M$44</f>
        <v>2564.1960704380035</v>
      </c>
      <c r="M54" s="17">
        <f t="shared" si="24"/>
        <v>55557581.526156746</v>
      </c>
      <c r="N54" s="16">
        <f t="shared" si="25"/>
        <v>4577.6367187500009</v>
      </c>
      <c r="O54" s="16">
        <f t="shared" si="21"/>
        <v>283813.47656250006</v>
      </c>
      <c r="P54" s="16">
        <f t="shared" si="26"/>
        <v>7095336.9140625019</v>
      </c>
    </row>
    <row r="55" spans="2:16" x14ac:dyDescent="0.3">
      <c r="L55" s="17">
        <f>SUM(K49:K54)</f>
        <v>1257098035.2190018</v>
      </c>
    </row>
    <row r="56" spans="2:16" x14ac:dyDescent="0.3">
      <c r="K56" t="s">
        <v>187</v>
      </c>
      <c r="L56" s="83">
        <f>K3*K13</f>
        <v>25000000</v>
      </c>
    </row>
    <row r="57" spans="2:16" x14ac:dyDescent="0.3">
      <c r="K57" t="s">
        <v>172</v>
      </c>
      <c r="L57" s="18">
        <f>L55+L56</f>
        <v>1282098035.2190018</v>
      </c>
    </row>
    <row r="60" spans="2:16" x14ac:dyDescent="0.3">
      <c r="J60" t="s">
        <v>188</v>
      </c>
      <c r="L60" s="18">
        <f>L57/5</f>
        <v>256419607.04380035</v>
      </c>
    </row>
    <row r="64" spans="2:16" x14ac:dyDescent="0.3">
      <c r="L64" s="18"/>
    </row>
  </sheetData>
  <mergeCells count="1">
    <mergeCell ref="C44:F44"/>
  </mergeCells>
  <phoneticPr fontId="5" type="noConversion"/>
  <conditionalFormatting sqref="V33:V38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{67406BA0-D7A1-4F46-B6D4-B1B0E838D6AF}</x14:id>
        </ext>
      </extLst>
    </cfRule>
  </conditionalFormatting>
  <pageMargins left="0.7" right="0.7" top="0.75" bottom="0.75" header="0.3" footer="0.3"/>
  <ignoredErrors>
    <ignoredError sqref="I24:I38" formula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7406BA0-D7A1-4F46-B6D4-B1B0E838D6A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V33:V38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35121-DB4F-4FEA-AEA0-7FF136247E72}">
  <dimension ref="A1"/>
  <sheetViews>
    <sheetView topLeftCell="C10" workbookViewId="0">
      <selection activeCell="M26" sqref="M26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24F90-1A50-4B4C-AAC5-AD4C2CAB3503}">
  <dimension ref="C5:M43"/>
  <sheetViews>
    <sheetView topLeftCell="A24" workbookViewId="0">
      <selection activeCell="S34" sqref="S34"/>
    </sheetView>
  </sheetViews>
  <sheetFormatPr defaultRowHeight="14.4" x14ac:dyDescent="0.3"/>
  <cols>
    <col min="3" max="3" width="32.44140625" bestFit="1" customWidth="1"/>
    <col min="4" max="4" width="11.6640625" customWidth="1"/>
    <col min="5" max="5" width="14.109375" customWidth="1"/>
  </cols>
  <sheetData>
    <row r="5" spans="3:9" x14ac:dyDescent="0.3">
      <c r="C5" s="46" t="s">
        <v>52</v>
      </c>
      <c r="D5" s="46" t="s">
        <v>216</v>
      </c>
      <c r="E5" s="46" t="s">
        <v>53</v>
      </c>
    </row>
    <row r="6" spans="3:9" x14ac:dyDescent="0.3">
      <c r="C6" s="46" t="s">
        <v>235</v>
      </c>
      <c r="D6" s="46">
        <v>15</v>
      </c>
      <c r="E6" s="46" t="s">
        <v>221</v>
      </c>
    </row>
    <row r="7" spans="3:9" x14ac:dyDescent="0.3">
      <c r="C7" s="46" t="s">
        <v>217</v>
      </c>
      <c r="D7" s="46">
        <v>4</v>
      </c>
      <c r="E7" s="46" t="s">
        <v>218</v>
      </c>
    </row>
    <row r="8" spans="3:9" x14ac:dyDescent="0.3">
      <c r="C8" s="46" t="s">
        <v>219</v>
      </c>
      <c r="D8" s="46">
        <v>18</v>
      </c>
      <c r="E8" s="46" t="s">
        <v>220</v>
      </c>
    </row>
    <row r="9" spans="3:9" x14ac:dyDescent="0.3">
      <c r="C9" s="46" t="s">
        <v>222</v>
      </c>
      <c r="D9" s="46">
        <v>40</v>
      </c>
      <c r="E9" s="46" t="s">
        <v>221</v>
      </c>
    </row>
    <row r="10" spans="3:9" x14ac:dyDescent="0.3">
      <c r="C10" s="46" t="s">
        <v>223</v>
      </c>
      <c r="D10" s="46">
        <v>1.5</v>
      </c>
      <c r="E10" s="46" t="s">
        <v>218</v>
      </c>
    </row>
    <row r="15" spans="3:9" x14ac:dyDescent="0.3">
      <c r="C15" t="s">
        <v>233</v>
      </c>
      <c r="I15" t="s">
        <v>234</v>
      </c>
    </row>
    <row r="17" spans="3:13" ht="57.6" x14ac:dyDescent="0.3">
      <c r="C17" s="100" t="s">
        <v>224</v>
      </c>
      <c r="D17" s="41" t="s">
        <v>225</v>
      </c>
      <c r="E17" s="100" t="s">
        <v>226</v>
      </c>
      <c r="H17" s="101" t="s">
        <v>230</v>
      </c>
      <c r="I17" s="101" t="s">
        <v>231</v>
      </c>
      <c r="J17" s="101" t="s">
        <v>227</v>
      </c>
      <c r="K17" s="101" t="s">
        <v>228</v>
      </c>
      <c r="L17" s="101" t="s">
        <v>232</v>
      </c>
      <c r="M17" s="101" t="s">
        <v>229</v>
      </c>
    </row>
    <row r="18" spans="3:13" x14ac:dyDescent="0.3">
      <c r="C18" s="44">
        <v>3</v>
      </c>
      <c r="D18" s="35">
        <v>0.4</v>
      </c>
      <c r="E18">
        <f>$D$8+C18*$D$7</f>
        <v>30</v>
      </c>
      <c r="H18" s="46">
        <v>1</v>
      </c>
      <c r="I18" s="46">
        <v>0</v>
      </c>
      <c r="J18" s="46">
        <v>1</v>
      </c>
      <c r="K18" s="46">
        <f>$D$8+H18*$D$7</f>
        <v>22</v>
      </c>
      <c r="L18" s="46">
        <v>0</v>
      </c>
      <c r="M18" s="46">
        <f>K18+L18</f>
        <v>22</v>
      </c>
    </row>
    <row r="19" spans="3:13" x14ac:dyDescent="0.3">
      <c r="C19" s="44">
        <v>4</v>
      </c>
      <c r="D19" s="35">
        <v>0.35</v>
      </c>
      <c r="E19">
        <f t="shared" ref="E19:E24" si="0">$D$8+C19*$D$7</f>
        <v>34</v>
      </c>
      <c r="H19" s="46">
        <v>2</v>
      </c>
      <c r="I19" s="46">
        <v>0</v>
      </c>
      <c r="J19" s="46">
        <v>2</v>
      </c>
      <c r="K19" s="46">
        <f t="shared" ref="K19:K21" si="1">$D$8+H19*$D$7</f>
        <v>26</v>
      </c>
      <c r="L19" s="46">
        <v>0</v>
      </c>
      <c r="M19" s="46">
        <f t="shared" ref="M19:M29" si="2">K19+L19</f>
        <v>26</v>
      </c>
    </row>
    <row r="20" spans="3:13" x14ac:dyDescent="0.3">
      <c r="C20" s="44">
        <v>5</v>
      </c>
      <c r="D20" s="35">
        <v>0.2</v>
      </c>
      <c r="E20">
        <f t="shared" si="0"/>
        <v>38</v>
      </c>
      <c r="H20" s="46">
        <v>3</v>
      </c>
      <c r="I20" s="46">
        <v>0</v>
      </c>
      <c r="J20" s="46">
        <v>3</v>
      </c>
      <c r="K20" s="46">
        <f t="shared" si="1"/>
        <v>30</v>
      </c>
      <c r="L20" s="46">
        <v>0</v>
      </c>
      <c r="M20" s="46">
        <f t="shared" si="2"/>
        <v>30</v>
      </c>
    </row>
    <row r="21" spans="3:13" x14ac:dyDescent="0.3">
      <c r="C21" s="44">
        <v>6</v>
      </c>
      <c r="D21" s="35">
        <v>0.05</v>
      </c>
      <c r="E21">
        <f t="shared" si="0"/>
        <v>42</v>
      </c>
      <c r="H21" s="46">
        <v>4</v>
      </c>
      <c r="I21" s="46">
        <v>0</v>
      </c>
      <c r="J21" s="46">
        <v>4</v>
      </c>
      <c r="K21" s="46">
        <f t="shared" si="1"/>
        <v>34</v>
      </c>
      <c r="L21" s="46">
        <v>0</v>
      </c>
      <c r="M21" s="46">
        <f t="shared" si="2"/>
        <v>34</v>
      </c>
    </row>
    <row r="22" spans="3:13" x14ac:dyDescent="0.3">
      <c r="C22" s="44">
        <v>7</v>
      </c>
      <c r="D22" s="35">
        <v>0</v>
      </c>
      <c r="E22">
        <f t="shared" si="0"/>
        <v>46</v>
      </c>
      <c r="H22" s="102">
        <v>1</v>
      </c>
      <c r="I22" s="102">
        <v>4</v>
      </c>
      <c r="J22" s="102">
        <f t="shared" ref="J22:J29" si="3">H22+I22</f>
        <v>5</v>
      </c>
      <c r="K22" s="102">
        <f>$D$8+H22*$D$7+I22*$D$10</f>
        <v>28</v>
      </c>
      <c r="L22" s="103">
        <v>2</v>
      </c>
      <c r="M22" s="46">
        <f t="shared" si="2"/>
        <v>30</v>
      </c>
    </row>
    <row r="23" spans="3:13" x14ac:dyDescent="0.3">
      <c r="C23" s="44">
        <v>8</v>
      </c>
      <c r="D23" s="35">
        <v>0</v>
      </c>
      <c r="E23">
        <f t="shared" si="0"/>
        <v>50</v>
      </c>
      <c r="H23" s="33">
        <v>1</v>
      </c>
      <c r="I23" s="33">
        <v>6</v>
      </c>
      <c r="J23" s="33">
        <f t="shared" si="3"/>
        <v>7</v>
      </c>
      <c r="K23" s="33">
        <f t="shared" ref="K23:K29" si="4">$D$8+H23*$D$7+I23*$D$10</f>
        <v>31</v>
      </c>
      <c r="L23" s="104">
        <v>2</v>
      </c>
      <c r="M23" s="46">
        <f t="shared" si="2"/>
        <v>33</v>
      </c>
    </row>
    <row r="24" spans="3:13" x14ac:dyDescent="0.3">
      <c r="C24" s="44">
        <v>9</v>
      </c>
      <c r="D24" s="35">
        <v>0</v>
      </c>
      <c r="E24">
        <f t="shared" si="0"/>
        <v>54</v>
      </c>
      <c r="H24" s="33">
        <v>2</v>
      </c>
      <c r="I24" s="33">
        <v>4</v>
      </c>
      <c r="J24" s="33">
        <f t="shared" si="3"/>
        <v>6</v>
      </c>
      <c r="K24" s="33">
        <f t="shared" si="4"/>
        <v>32</v>
      </c>
      <c r="L24" s="104">
        <v>2</v>
      </c>
      <c r="M24" s="46">
        <f t="shared" si="2"/>
        <v>34</v>
      </c>
    </row>
    <row r="25" spans="3:13" x14ac:dyDescent="0.3">
      <c r="H25" s="33">
        <v>2</v>
      </c>
      <c r="I25" s="33">
        <v>6</v>
      </c>
      <c r="J25" s="33">
        <f t="shared" si="3"/>
        <v>8</v>
      </c>
      <c r="K25" s="33">
        <f t="shared" si="4"/>
        <v>35</v>
      </c>
      <c r="L25" s="104">
        <v>2</v>
      </c>
      <c r="M25" s="46">
        <f t="shared" si="2"/>
        <v>37</v>
      </c>
    </row>
    <row r="26" spans="3:13" x14ac:dyDescent="0.3">
      <c r="H26" s="33">
        <v>3</v>
      </c>
      <c r="I26" s="33">
        <v>4</v>
      </c>
      <c r="J26" s="33">
        <f t="shared" si="3"/>
        <v>7</v>
      </c>
      <c r="K26" s="33">
        <f t="shared" si="4"/>
        <v>36</v>
      </c>
      <c r="L26" s="104">
        <v>2</v>
      </c>
      <c r="M26" s="46">
        <f t="shared" si="2"/>
        <v>38</v>
      </c>
    </row>
    <row r="27" spans="3:13" x14ac:dyDescent="0.3">
      <c r="H27" s="33">
        <v>3</v>
      </c>
      <c r="I27" s="33">
        <v>6</v>
      </c>
      <c r="J27" s="33">
        <f t="shared" si="3"/>
        <v>9</v>
      </c>
      <c r="K27" s="33">
        <f t="shared" si="4"/>
        <v>39</v>
      </c>
      <c r="L27" s="104">
        <v>2</v>
      </c>
      <c r="M27" s="46">
        <f t="shared" si="2"/>
        <v>41</v>
      </c>
    </row>
    <row r="28" spans="3:13" x14ac:dyDescent="0.3">
      <c r="H28" s="33">
        <v>4</v>
      </c>
      <c r="I28" s="33">
        <v>4</v>
      </c>
      <c r="J28" s="33">
        <f t="shared" si="3"/>
        <v>8</v>
      </c>
      <c r="K28" s="33">
        <f t="shared" si="4"/>
        <v>40</v>
      </c>
      <c r="L28" s="104">
        <v>2</v>
      </c>
      <c r="M28" s="46">
        <f t="shared" si="2"/>
        <v>42</v>
      </c>
    </row>
    <row r="29" spans="3:13" x14ac:dyDescent="0.3">
      <c r="H29" s="33">
        <v>4</v>
      </c>
      <c r="I29" s="33">
        <v>6</v>
      </c>
      <c r="J29" s="33">
        <f t="shared" si="3"/>
        <v>10</v>
      </c>
      <c r="K29" s="33">
        <f t="shared" si="4"/>
        <v>43</v>
      </c>
      <c r="L29" s="104">
        <v>2</v>
      </c>
      <c r="M29" s="46">
        <f t="shared" si="2"/>
        <v>45</v>
      </c>
    </row>
    <row r="30" spans="3:13" x14ac:dyDescent="0.3">
      <c r="H30" s="33"/>
      <c r="I30" s="33"/>
      <c r="J30" s="33"/>
      <c r="K30" s="33"/>
      <c r="L30" s="33"/>
      <c r="M30" s="102"/>
    </row>
    <row r="34" spans="3:5" x14ac:dyDescent="0.3">
      <c r="C34" t="s">
        <v>236</v>
      </c>
    </row>
    <row r="36" spans="3:5" ht="43.2" x14ac:dyDescent="0.3">
      <c r="C36" s="100" t="s">
        <v>224</v>
      </c>
      <c r="D36" s="100" t="s">
        <v>237</v>
      </c>
      <c r="E36" s="101" t="s">
        <v>238</v>
      </c>
    </row>
    <row r="37" spans="3:5" x14ac:dyDescent="0.3">
      <c r="C37" s="44">
        <v>3</v>
      </c>
      <c r="D37">
        <v>30</v>
      </c>
      <c r="E37" s="46">
        <v>30</v>
      </c>
    </row>
    <row r="38" spans="3:5" x14ac:dyDescent="0.3">
      <c r="C38" s="44">
        <v>4</v>
      </c>
      <c r="D38">
        <v>34</v>
      </c>
      <c r="E38" s="46">
        <v>34</v>
      </c>
    </row>
    <row r="39" spans="3:5" x14ac:dyDescent="0.3">
      <c r="C39" s="44">
        <v>5</v>
      </c>
      <c r="D39">
        <v>38</v>
      </c>
      <c r="E39" s="46">
        <v>30</v>
      </c>
    </row>
    <row r="40" spans="3:5" x14ac:dyDescent="0.3">
      <c r="C40" s="44">
        <v>6</v>
      </c>
      <c r="D40">
        <v>42</v>
      </c>
      <c r="E40" s="46">
        <v>33</v>
      </c>
    </row>
    <row r="41" spans="3:5" x14ac:dyDescent="0.3">
      <c r="C41" s="44">
        <v>7</v>
      </c>
      <c r="D41">
        <v>46</v>
      </c>
      <c r="E41" s="46">
        <v>33</v>
      </c>
    </row>
    <row r="42" spans="3:5" x14ac:dyDescent="0.3">
      <c r="C42" s="44">
        <v>8</v>
      </c>
      <c r="D42">
        <v>50</v>
      </c>
      <c r="E42" s="46">
        <v>37</v>
      </c>
    </row>
    <row r="43" spans="3:5" x14ac:dyDescent="0.3">
      <c r="C43" s="44">
        <v>9</v>
      </c>
      <c r="D43">
        <v>54</v>
      </c>
      <c r="E43" s="46">
        <v>41</v>
      </c>
    </row>
  </sheetData>
  <conditionalFormatting sqref="E18:E24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{18AF25D8-31C5-4129-8316-68CC4D37AA60}</x14:id>
        </ext>
      </extLst>
    </cfRule>
  </conditionalFormatting>
  <conditionalFormatting sqref="M18:M26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{6CAB4622-EFBE-49CE-BCC7-2BCF2B226CAD}</x14:id>
        </ext>
      </extLst>
    </cfRule>
  </conditionalFormatting>
  <conditionalFormatting sqref="D37:D43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{895313BD-1146-462A-895E-DCACB32453C4}</x14:id>
        </ext>
      </extLst>
    </cfRule>
  </conditionalFormatting>
  <conditionalFormatting sqref="E37:E43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{3FED358F-E71E-477B-A76C-84F6B7A2DFC2}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8AF25D8-31C5-4129-8316-68CC4D37AA6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E18:E24</xm:sqref>
        </x14:conditionalFormatting>
        <x14:conditionalFormatting xmlns:xm="http://schemas.microsoft.com/office/excel/2006/main">
          <x14:cfRule type="dataBar" id="{6CAB4622-EFBE-49CE-BCC7-2BCF2B226CA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M18:M26</xm:sqref>
        </x14:conditionalFormatting>
        <x14:conditionalFormatting xmlns:xm="http://schemas.microsoft.com/office/excel/2006/main">
          <x14:cfRule type="dataBar" id="{895313BD-1146-462A-895E-DCACB32453C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D37:D43</xm:sqref>
        </x14:conditionalFormatting>
        <x14:conditionalFormatting xmlns:xm="http://schemas.microsoft.com/office/excel/2006/main">
          <x14:cfRule type="dataBar" id="{3FED358F-E71E-477B-A76C-84F6B7A2DFC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E37:E43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original</vt:lpstr>
      <vt:lpstr>drone</vt:lpstr>
      <vt:lpstr>delivery_executive_impact</vt:lpstr>
      <vt:lpstr>drone_final</vt:lpstr>
      <vt:lpstr>final_Cal</vt:lpstr>
      <vt:lpstr>drone system cost</vt:lpstr>
      <vt:lpstr>main_table</vt:lpstr>
      <vt:lpstr>Charts</vt:lpstr>
      <vt:lpstr>time_analysis</vt:lpstr>
      <vt:lpstr>detractors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Krishna Jaiswal</dc:creator>
  <cp:lastModifiedBy>Krishna Jaiswal</cp:lastModifiedBy>
  <dcterms:created xsi:type="dcterms:W3CDTF">2015-06-05T18:17:20Z</dcterms:created>
  <dcterms:modified xsi:type="dcterms:W3CDTF">2023-03-12T07:54:12Z</dcterms:modified>
</cp:coreProperties>
</file>