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81928\Desktop\Kristal\"/>
    </mc:Choice>
  </mc:AlternateContent>
  <xr:revisionPtr revIDLastSave="0" documentId="13_ncr:1_{2206B63C-BAD3-4B44-9D05-2F2E65782C20}" xr6:coauthVersionLast="36" xr6:coauthVersionMax="36" xr10:uidLastSave="{00000000-0000-0000-0000-000000000000}"/>
  <bookViews>
    <workbookView xWindow="0" yWindow="0" windowWidth="19200" windowHeight="6960" activeTab="1" xr2:uid="{019C372F-EB16-4268-8A15-F184E7ECA832}"/>
  </bookViews>
  <sheets>
    <sheet name="INPUTS" sheetId="3" r:id="rId1"/>
    <sheet name="CALCULATIONS" sheetId="4" r:id="rId2"/>
    <sheet name="SUMMARY" sheetId="5" r:id="rId3"/>
    <sheet name="Plots" sheetId="6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4" i="6" l="1"/>
  <c r="G5" i="6"/>
  <c r="G6" i="6"/>
  <c r="G7" i="6"/>
  <c r="G8" i="6"/>
  <c r="G9" i="6"/>
  <c r="G10" i="6"/>
  <c r="G11" i="6"/>
  <c r="G12" i="6"/>
  <c r="G13" i="6"/>
  <c r="G4" i="6"/>
  <c r="E10" i="6"/>
  <c r="Q12" i="5"/>
  <c r="B57" i="4" l="1"/>
  <c r="M6" i="5" l="1"/>
  <c r="N6" i="5"/>
  <c r="O6" i="5"/>
  <c r="L3" i="5"/>
  <c r="M3" i="5"/>
  <c r="N3" i="5"/>
  <c r="O3" i="5"/>
  <c r="D3" i="5"/>
  <c r="E3" i="5"/>
  <c r="F3" i="5"/>
  <c r="G3" i="5"/>
  <c r="H3" i="5"/>
  <c r="I3" i="5"/>
  <c r="J3" i="5"/>
  <c r="K3" i="5"/>
  <c r="C3" i="5"/>
  <c r="E38" i="4"/>
  <c r="F38" i="4"/>
  <c r="G38" i="4"/>
  <c r="H38" i="4"/>
  <c r="I38" i="4"/>
  <c r="J38" i="4"/>
  <c r="K38" i="4"/>
  <c r="L38" i="4"/>
  <c r="M38" i="4"/>
  <c r="N38" i="4"/>
  <c r="O38" i="4"/>
  <c r="P38" i="4"/>
  <c r="D38" i="4"/>
  <c r="E39" i="4"/>
  <c r="F39" i="4"/>
  <c r="G39" i="4"/>
  <c r="H39" i="4"/>
  <c r="I39" i="4"/>
  <c r="J39" i="4"/>
  <c r="K39" i="4"/>
  <c r="L39" i="4"/>
  <c r="M39" i="4"/>
  <c r="N39" i="4"/>
  <c r="O39" i="4"/>
  <c r="P39" i="4"/>
  <c r="D39" i="4"/>
  <c r="Q39" i="4" s="1"/>
  <c r="E40" i="4"/>
  <c r="F40" i="4"/>
  <c r="G40" i="4"/>
  <c r="H40" i="4"/>
  <c r="I40" i="4"/>
  <c r="J40" i="4"/>
  <c r="K40" i="4"/>
  <c r="L40" i="4"/>
  <c r="M40" i="4"/>
  <c r="N40" i="4"/>
  <c r="O40" i="4"/>
  <c r="P40" i="4"/>
  <c r="D40" i="4"/>
  <c r="Q38" i="4" l="1"/>
  <c r="Q40" i="4"/>
  <c r="C41" i="4"/>
  <c r="C44" i="4"/>
  <c r="K41" i="4"/>
  <c r="E44" i="4"/>
  <c r="M43" i="4"/>
  <c r="C43" i="4" s="1"/>
  <c r="L42" i="4"/>
  <c r="C42" i="4" s="1"/>
  <c r="C60" i="4"/>
  <c r="C61" i="4"/>
  <c r="C62" i="4"/>
  <c r="C63" i="4"/>
  <c r="C59" i="4"/>
  <c r="B62" i="4"/>
  <c r="B63" i="4"/>
  <c r="B45" i="4"/>
  <c r="B41" i="4"/>
  <c r="B42" i="4"/>
  <c r="B43" i="4"/>
  <c r="B44" i="4"/>
  <c r="B58" i="4"/>
  <c r="B59" i="4"/>
  <c r="B60" i="4"/>
  <c r="B61" i="4"/>
  <c r="E55" i="4"/>
  <c r="J55" i="4"/>
  <c r="K55" i="4"/>
  <c r="L55" i="4"/>
  <c r="M55" i="4"/>
  <c r="N55" i="4"/>
  <c r="O55" i="4"/>
  <c r="P55" i="4"/>
  <c r="E52" i="4"/>
  <c r="F52" i="4"/>
  <c r="G52" i="4"/>
  <c r="H52" i="4"/>
  <c r="I52" i="4"/>
  <c r="J52" i="4"/>
  <c r="K52" i="4"/>
  <c r="L52" i="4"/>
  <c r="M52" i="4"/>
  <c r="N52" i="4"/>
  <c r="O52" i="4"/>
  <c r="P52" i="4"/>
  <c r="D52" i="4"/>
  <c r="Q53" i="4"/>
  <c r="F54" i="4" s="1"/>
  <c r="F63" i="4" s="1"/>
  <c r="P51" i="4"/>
  <c r="O51" i="4"/>
  <c r="N51" i="4"/>
  <c r="M51" i="4"/>
  <c r="L51" i="4"/>
  <c r="K51" i="4"/>
  <c r="I51" i="4"/>
  <c r="H51" i="4"/>
  <c r="G51" i="4"/>
  <c r="F51" i="4"/>
  <c r="E51" i="4"/>
  <c r="D51" i="4"/>
  <c r="L46" i="4"/>
  <c r="M46" i="4"/>
  <c r="K46" i="4"/>
  <c r="C46" i="4" s="1"/>
  <c r="C40" i="4"/>
  <c r="C39" i="4"/>
  <c r="C38" i="4"/>
  <c r="C11" i="4"/>
  <c r="C15" i="4"/>
  <c r="B34" i="4"/>
  <c r="B32" i="4"/>
  <c r="B33" i="4"/>
  <c r="B25" i="4"/>
  <c r="B26" i="4"/>
  <c r="B27" i="4"/>
  <c r="B28" i="4"/>
  <c r="B29" i="4"/>
  <c r="B30" i="4"/>
  <c r="B31" i="4"/>
  <c r="B24" i="4"/>
  <c r="F60" i="4" l="1"/>
  <c r="F62" i="4"/>
  <c r="F61" i="4"/>
  <c r="C47" i="4"/>
  <c r="E54" i="4"/>
  <c r="F59" i="4"/>
  <c r="M54" i="4"/>
  <c r="I54" i="4"/>
  <c r="L54" i="4"/>
  <c r="H54" i="4"/>
  <c r="K54" i="4"/>
  <c r="G54" i="4"/>
  <c r="D54" i="4"/>
  <c r="D59" i="4" s="1"/>
  <c r="J54" i="4"/>
  <c r="O45" i="4"/>
  <c r="O47" i="4" s="1"/>
  <c r="O48" i="4" s="1"/>
  <c r="N5" i="5" s="1"/>
  <c r="P45" i="4"/>
  <c r="P47" i="4" s="1"/>
  <c r="P48" i="4" s="1"/>
  <c r="O5" i="5" s="1"/>
  <c r="Q51" i="4"/>
  <c r="C7" i="4"/>
  <c r="G7" i="4" s="1"/>
  <c r="G55" i="4" s="1"/>
  <c r="P12" i="4"/>
  <c r="O12" i="4"/>
  <c r="N12" i="4"/>
  <c r="P9" i="4"/>
  <c r="O9" i="4"/>
  <c r="N9" i="4"/>
  <c r="C14" i="4"/>
  <c r="C10" i="4"/>
  <c r="O47" i="3"/>
  <c r="O41" i="3"/>
  <c r="C58" i="4" s="1"/>
  <c r="F58" i="4" s="1"/>
  <c r="O36" i="3"/>
  <c r="C45" i="4" s="1"/>
  <c r="K45" i="4" s="1"/>
  <c r="K47" i="4" s="1"/>
  <c r="K48" i="4" s="1"/>
  <c r="J5" i="5" s="1"/>
  <c r="O37" i="3"/>
  <c r="O38" i="3"/>
  <c r="O39" i="3"/>
  <c r="O40" i="3"/>
  <c r="O35" i="3"/>
  <c r="C57" i="4" s="1"/>
  <c r="C65" i="4" s="1"/>
  <c r="F33" i="3"/>
  <c r="O26" i="3"/>
  <c r="P6" i="4"/>
  <c r="O6" i="4"/>
  <c r="N6" i="4"/>
  <c r="L6" i="4"/>
  <c r="K6" i="4"/>
  <c r="H6" i="4"/>
  <c r="F6" i="4"/>
  <c r="D6" i="4"/>
  <c r="Q3" i="4"/>
  <c r="I57" i="4" l="1"/>
  <c r="G45" i="4"/>
  <c r="G47" i="4" s="1"/>
  <c r="G48" i="4" s="1"/>
  <c r="F5" i="5" s="1"/>
  <c r="J45" i="4"/>
  <c r="J47" i="4" s="1"/>
  <c r="J48" i="4" s="1"/>
  <c r="I5" i="5" s="1"/>
  <c r="E57" i="4"/>
  <c r="F57" i="4"/>
  <c r="F65" i="4" s="1"/>
  <c r="F66" i="4" s="1"/>
  <c r="E6" i="5" s="1"/>
  <c r="E45" i="4"/>
  <c r="E47" i="4" s="1"/>
  <c r="E48" i="4" s="1"/>
  <c r="D5" i="5" s="1"/>
  <c r="N45" i="4"/>
  <c r="N47" i="4" s="1"/>
  <c r="N48" i="4" s="1"/>
  <c r="M5" i="5" s="1"/>
  <c r="L45" i="4"/>
  <c r="L47" i="4" s="1"/>
  <c r="L48" i="4" s="1"/>
  <c r="K5" i="5" s="1"/>
  <c r="M45" i="4"/>
  <c r="M47" i="4" s="1"/>
  <c r="M48" i="4" s="1"/>
  <c r="L5" i="5" s="1"/>
  <c r="G57" i="4"/>
  <c r="G63" i="4"/>
  <c r="G61" i="4"/>
  <c r="G62" i="4"/>
  <c r="G60" i="4"/>
  <c r="L58" i="4"/>
  <c r="L62" i="4"/>
  <c r="L60" i="4"/>
  <c r="L63" i="4"/>
  <c r="L61" i="4"/>
  <c r="K63" i="4"/>
  <c r="K61" i="4"/>
  <c r="K60" i="4"/>
  <c r="K62" i="4"/>
  <c r="I58" i="4"/>
  <c r="I62" i="4"/>
  <c r="I60" i="4"/>
  <c r="I63" i="4"/>
  <c r="I61" i="4"/>
  <c r="J57" i="4"/>
  <c r="J63" i="4"/>
  <c r="J61" i="4"/>
  <c r="J60" i="4"/>
  <c r="J62" i="4"/>
  <c r="M58" i="4"/>
  <c r="M62" i="4"/>
  <c r="M60" i="4"/>
  <c r="M63" i="4"/>
  <c r="M61" i="4"/>
  <c r="E58" i="4"/>
  <c r="E62" i="4"/>
  <c r="E60" i="4"/>
  <c r="E63" i="4"/>
  <c r="E61" i="4"/>
  <c r="L57" i="4"/>
  <c r="D57" i="4"/>
  <c r="D63" i="4"/>
  <c r="D61" i="4"/>
  <c r="D62" i="4"/>
  <c r="H57" i="4"/>
  <c r="H62" i="4"/>
  <c r="H60" i="4"/>
  <c r="H61" i="4"/>
  <c r="H63" i="4"/>
  <c r="L59" i="4"/>
  <c r="G59" i="4"/>
  <c r="E59" i="4"/>
  <c r="G58" i="4"/>
  <c r="J59" i="4"/>
  <c r="D60" i="4"/>
  <c r="M59" i="4"/>
  <c r="D58" i="4"/>
  <c r="H58" i="4"/>
  <c r="M57" i="4"/>
  <c r="K57" i="4"/>
  <c r="K59" i="4"/>
  <c r="J58" i="4"/>
  <c r="I59" i="4"/>
  <c r="K58" i="4"/>
  <c r="H59" i="4"/>
  <c r="E4" i="4"/>
  <c r="E25" i="4" s="1"/>
  <c r="Q52" i="4"/>
  <c r="Q6" i="4"/>
  <c r="O4" i="4"/>
  <c r="O26" i="4" s="1"/>
  <c r="F5" i="4"/>
  <c r="F9" i="4" s="1"/>
  <c r="G4" i="4"/>
  <c r="G26" i="4" s="1"/>
  <c r="F7" i="4"/>
  <c r="F55" i="4" s="1"/>
  <c r="F45" i="4" s="1"/>
  <c r="F47" i="4" s="1"/>
  <c r="F48" i="4" s="1"/>
  <c r="E24" i="4"/>
  <c r="E28" i="4"/>
  <c r="E32" i="4"/>
  <c r="F12" i="4"/>
  <c r="M4" i="4"/>
  <c r="I7" i="4"/>
  <c r="I55" i="4" s="1"/>
  <c r="I45" i="4" s="1"/>
  <c r="I47" i="4" s="1"/>
  <c r="I48" i="4" s="1"/>
  <c r="H5" i="5" s="1"/>
  <c r="H7" i="4"/>
  <c r="H55" i="4" s="1"/>
  <c r="H45" i="4" s="1"/>
  <c r="H47" i="4" s="1"/>
  <c r="H48" i="4" s="1"/>
  <c r="G5" i="5" s="1"/>
  <c r="O33" i="4"/>
  <c r="O30" i="4"/>
  <c r="M5" i="4"/>
  <c r="K4" i="4"/>
  <c r="D5" i="4"/>
  <c r="D12" i="4" s="1"/>
  <c r="L5" i="4"/>
  <c r="D4" i="4"/>
  <c r="D13" i="4" s="1"/>
  <c r="I4" i="4"/>
  <c r="D7" i="4"/>
  <c r="D55" i="4" s="1"/>
  <c r="D45" i="4" s="1"/>
  <c r="D47" i="4" s="1"/>
  <c r="D48" i="4" s="1"/>
  <c r="C5" i="5" s="1"/>
  <c r="P4" i="4"/>
  <c r="P54" i="4" s="1"/>
  <c r="L4" i="4"/>
  <c r="H4" i="4"/>
  <c r="K5" i="4"/>
  <c r="N4" i="4"/>
  <c r="N54" i="4" s="1"/>
  <c r="J4" i="4"/>
  <c r="F4" i="4"/>
  <c r="O42" i="3"/>
  <c r="H5" i="4"/>
  <c r="I5" i="4"/>
  <c r="E65" i="4" l="1"/>
  <c r="E66" i="4" s="1"/>
  <c r="N60" i="4"/>
  <c r="N62" i="4"/>
  <c r="N63" i="4"/>
  <c r="N61" i="4"/>
  <c r="G24" i="4"/>
  <c r="E5" i="5"/>
  <c r="P63" i="4"/>
  <c r="P60" i="4"/>
  <c r="P61" i="4"/>
  <c r="P62" i="4"/>
  <c r="I65" i="4"/>
  <c r="I66" i="4" s="1"/>
  <c r="H6" i="5" s="1"/>
  <c r="D6" i="5"/>
  <c r="G65" i="4"/>
  <c r="G66" i="4" s="1"/>
  <c r="K65" i="4"/>
  <c r="K66" i="4" s="1"/>
  <c r="J65" i="4"/>
  <c r="J66" i="4" s="1"/>
  <c r="M65" i="4"/>
  <c r="M66" i="4" s="1"/>
  <c r="H65" i="4"/>
  <c r="H66" i="4" s="1"/>
  <c r="G6" i="5" s="1"/>
  <c r="D65" i="4"/>
  <c r="D66" i="4" s="1"/>
  <c r="C6" i="5" s="1"/>
  <c r="L65" i="4"/>
  <c r="L66" i="4" s="1"/>
  <c r="E27" i="4"/>
  <c r="E34" i="4"/>
  <c r="N57" i="4"/>
  <c r="N59" i="4"/>
  <c r="N58" i="4"/>
  <c r="P57" i="4"/>
  <c r="P58" i="4"/>
  <c r="P59" i="4"/>
  <c r="E31" i="4"/>
  <c r="O34" i="4"/>
  <c r="E13" i="4"/>
  <c r="E21" i="4" s="1"/>
  <c r="E30" i="4"/>
  <c r="E26" i="4"/>
  <c r="O24" i="4"/>
  <c r="E33" i="4"/>
  <c r="E29" i="4"/>
  <c r="O29" i="4"/>
  <c r="O32" i="4"/>
  <c r="O31" i="4"/>
  <c r="O25" i="4"/>
  <c r="O28" i="4"/>
  <c r="O27" i="4"/>
  <c r="O13" i="4"/>
  <c r="O21" i="4" s="1"/>
  <c r="O54" i="4"/>
  <c r="D9" i="4"/>
  <c r="G33" i="4"/>
  <c r="G27" i="4"/>
  <c r="G30" i="4"/>
  <c r="G32" i="4"/>
  <c r="G29" i="4"/>
  <c r="G25" i="4"/>
  <c r="G34" i="4"/>
  <c r="G28" i="4"/>
  <c r="G13" i="4"/>
  <c r="G21" i="4" s="1"/>
  <c r="G31" i="4"/>
  <c r="N24" i="4"/>
  <c r="N25" i="4"/>
  <c r="N26" i="4"/>
  <c r="N27" i="4"/>
  <c r="N28" i="4"/>
  <c r="N29" i="4"/>
  <c r="N30" i="4"/>
  <c r="N31" i="4"/>
  <c r="N32" i="4"/>
  <c r="N33" i="4"/>
  <c r="N34" i="4"/>
  <c r="N13" i="4"/>
  <c r="N21" i="4" s="1"/>
  <c r="P24" i="4"/>
  <c r="P25" i="4"/>
  <c r="P26" i="4"/>
  <c r="P27" i="4"/>
  <c r="P28" i="4"/>
  <c r="P29" i="4"/>
  <c r="P30" i="4"/>
  <c r="P31" i="4"/>
  <c r="P32" i="4"/>
  <c r="P33" i="4"/>
  <c r="P34" i="4"/>
  <c r="P13" i="4"/>
  <c r="P21" i="4" s="1"/>
  <c r="L9" i="4"/>
  <c r="L12" i="4"/>
  <c r="M24" i="4"/>
  <c r="M25" i="4"/>
  <c r="M26" i="4"/>
  <c r="M27" i="4"/>
  <c r="M28" i="4"/>
  <c r="M29" i="4"/>
  <c r="M30" i="4"/>
  <c r="M31" i="4"/>
  <c r="M32" i="4"/>
  <c r="M33" i="4"/>
  <c r="M34" i="4"/>
  <c r="M13" i="4"/>
  <c r="M21" i="4" s="1"/>
  <c r="J24" i="4"/>
  <c r="J25" i="4"/>
  <c r="J26" i="4"/>
  <c r="J27" i="4"/>
  <c r="J28" i="4"/>
  <c r="J29" i="4"/>
  <c r="J30" i="4"/>
  <c r="J31" i="4"/>
  <c r="J32" i="4"/>
  <c r="J33" i="4"/>
  <c r="J34" i="4"/>
  <c r="J13" i="4"/>
  <c r="J21" i="4" s="1"/>
  <c r="H9" i="4"/>
  <c r="H12" i="4"/>
  <c r="L24" i="4"/>
  <c r="L25" i="4"/>
  <c r="L26" i="4"/>
  <c r="L27" i="4"/>
  <c r="L28" i="4"/>
  <c r="L29" i="4"/>
  <c r="L30" i="4"/>
  <c r="L31" i="4"/>
  <c r="L32" i="4"/>
  <c r="L33" i="4"/>
  <c r="L34" i="4"/>
  <c r="L13" i="4"/>
  <c r="L21" i="4" s="1"/>
  <c r="D31" i="4"/>
  <c r="D27" i="4"/>
  <c r="D24" i="4"/>
  <c r="D34" i="4"/>
  <c r="D30" i="4"/>
  <c r="D26" i="4"/>
  <c r="D28" i="4"/>
  <c r="D33" i="4"/>
  <c r="D29" i="4"/>
  <c r="D25" i="4"/>
  <c r="D32" i="4"/>
  <c r="D21" i="4"/>
  <c r="K12" i="4"/>
  <c r="K9" i="4"/>
  <c r="Q7" i="4"/>
  <c r="Q55" i="4" s="1"/>
  <c r="Q45" i="4" s="1"/>
  <c r="Q47" i="4" s="1"/>
  <c r="Q48" i="4" s="1"/>
  <c r="Q5" i="4"/>
  <c r="I12" i="4"/>
  <c r="I9" i="4"/>
  <c r="Q4" i="4"/>
  <c r="Q54" i="4" s="1"/>
  <c r="F24" i="4"/>
  <c r="F25" i="4"/>
  <c r="F26" i="4"/>
  <c r="F27" i="4"/>
  <c r="F28" i="4"/>
  <c r="F29" i="4"/>
  <c r="F30" i="4"/>
  <c r="F31" i="4"/>
  <c r="F32" i="4"/>
  <c r="F33" i="4"/>
  <c r="F34" i="4"/>
  <c r="F13" i="4"/>
  <c r="F21" i="4" s="1"/>
  <c r="H24" i="4"/>
  <c r="H25" i="4"/>
  <c r="H26" i="4"/>
  <c r="H27" i="4"/>
  <c r="H28" i="4"/>
  <c r="H29" i="4"/>
  <c r="H30" i="4"/>
  <c r="H31" i="4"/>
  <c r="H32" i="4"/>
  <c r="H33" i="4"/>
  <c r="H34" i="4"/>
  <c r="H13" i="4"/>
  <c r="H21" i="4" s="1"/>
  <c r="I24" i="4"/>
  <c r="I25" i="4"/>
  <c r="I26" i="4"/>
  <c r="I27" i="4"/>
  <c r="I28" i="4"/>
  <c r="I29" i="4"/>
  <c r="I30" i="4"/>
  <c r="I31" i="4"/>
  <c r="I32" i="4"/>
  <c r="I33" i="4"/>
  <c r="I34" i="4"/>
  <c r="I13" i="4"/>
  <c r="I21" i="4" s="1"/>
  <c r="K25" i="4"/>
  <c r="K32" i="4"/>
  <c r="K33" i="4"/>
  <c r="K30" i="4"/>
  <c r="K31" i="4"/>
  <c r="K24" i="4"/>
  <c r="K26" i="4"/>
  <c r="K27" i="4"/>
  <c r="K28" i="4"/>
  <c r="K29" i="4"/>
  <c r="K34" i="4"/>
  <c r="K13" i="4"/>
  <c r="K21" i="4" s="1"/>
  <c r="M9" i="4"/>
  <c r="M12" i="4"/>
  <c r="P65" i="4" l="1"/>
  <c r="O63" i="4"/>
  <c r="O62" i="4"/>
  <c r="O61" i="4"/>
  <c r="O60" i="4"/>
  <c r="Q63" i="4"/>
  <c r="Q61" i="4"/>
  <c r="Q60" i="4"/>
  <c r="Q62" i="4"/>
  <c r="N65" i="4"/>
  <c r="I6" i="5"/>
  <c r="J6" i="5"/>
  <c r="K6" i="5"/>
  <c r="F6" i="5"/>
  <c r="L6" i="5"/>
  <c r="O57" i="4"/>
  <c r="O59" i="4"/>
  <c r="O58" i="4"/>
  <c r="Q58" i="4"/>
  <c r="Q59" i="4"/>
  <c r="C13" i="4"/>
  <c r="C9" i="4"/>
  <c r="L20" i="4" s="1"/>
  <c r="Q29" i="4"/>
  <c r="Q27" i="4"/>
  <c r="Q33" i="4"/>
  <c r="Q34" i="4"/>
  <c r="Q31" i="4"/>
  <c r="Q21" i="4"/>
  <c r="Q32" i="4"/>
  <c r="Q28" i="4"/>
  <c r="Q24" i="4"/>
  <c r="C12" i="4"/>
  <c r="Q30" i="4"/>
  <c r="Q25" i="4"/>
  <c r="Q26" i="4"/>
  <c r="I20" i="4"/>
  <c r="D16" i="3"/>
  <c r="F11" i="3"/>
  <c r="F12" i="3"/>
  <c r="F13" i="3"/>
  <c r="F14" i="3"/>
  <c r="F10" i="3"/>
  <c r="D8" i="3"/>
  <c r="F5" i="3"/>
  <c r="F6" i="3"/>
  <c r="E4" i="3"/>
  <c r="F4" i="3" s="1"/>
  <c r="K20" i="4" l="1"/>
  <c r="E20" i="4"/>
  <c r="D20" i="4"/>
  <c r="E23" i="4"/>
  <c r="O23" i="4"/>
  <c r="M23" i="4"/>
  <c r="J23" i="4"/>
  <c r="K23" i="4"/>
  <c r="P23" i="4"/>
  <c r="F23" i="4"/>
  <c r="H23" i="4"/>
  <c r="G23" i="4"/>
  <c r="N23" i="4"/>
  <c r="L23" i="4"/>
  <c r="D23" i="4"/>
  <c r="I23" i="4"/>
  <c r="E19" i="4"/>
  <c r="N19" i="4"/>
  <c r="P19" i="4"/>
  <c r="K19" i="4"/>
  <c r="M19" i="4"/>
  <c r="L19" i="4"/>
  <c r="I19" i="4"/>
  <c r="F19" i="4"/>
  <c r="H19" i="4"/>
  <c r="O19" i="4"/>
  <c r="J19" i="4"/>
  <c r="G19" i="4"/>
  <c r="D19" i="4"/>
  <c r="G22" i="4"/>
  <c r="M22" i="4"/>
  <c r="D22" i="4"/>
  <c r="H22" i="4"/>
  <c r="J22" i="4"/>
  <c r="L22" i="4"/>
  <c r="I22" i="4"/>
  <c r="O22" i="4"/>
  <c r="K22" i="4"/>
  <c r="E22" i="4"/>
  <c r="P22" i="4"/>
  <c r="F22" i="4"/>
  <c r="N22" i="4"/>
  <c r="M20" i="4"/>
  <c r="M35" i="4" s="1"/>
  <c r="M36" i="4" s="1"/>
  <c r="N20" i="4"/>
  <c r="P20" i="4"/>
  <c r="E18" i="4"/>
  <c r="E35" i="4" s="1"/>
  <c r="E36" i="4" s="1"/>
  <c r="G18" i="4"/>
  <c r="D18" i="4"/>
  <c r="F18" i="4"/>
  <c r="N18" i="4"/>
  <c r="K18" i="4"/>
  <c r="P18" i="4"/>
  <c r="J18" i="4"/>
  <c r="L18" i="4"/>
  <c r="L35" i="4" s="1"/>
  <c r="L36" i="4" s="1"/>
  <c r="O18" i="4"/>
  <c r="M18" i="4"/>
  <c r="H18" i="4"/>
  <c r="I18" i="4"/>
  <c r="I35" i="4" s="1"/>
  <c r="I36" i="4" s="1"/>
  <c r="K35" i="4"/>
  <c r="K36" i="4" s="1"/>
  <c r="O20" i="4"/>
  <c r="J20" i="4"/>
  <c r="J35" i="4" s="1"/>
  <c r="J36" i="4" s="1"/>
  <c r="H20" i="4"/>
  <c r="H35" i="4" s="1"/>
  <c r="H36" i="4" s="1"/>
  <c r="Q57" i="4"/>
  <c r="O65" i="4"/>
  <c r="G20" i="4"/>
  <c r="G35" i="4" s="1"/>
  <c r="G36" i="4" s="1"/>
  <c r="F20" i="4"/>
  <c r="F35" i="4" s="1"/>
  <c r="F36" i="4" s="1"/>
  <c r="D35" i="4"/>
  <c r="F8" i="3"/>
  <c r="F16" i="3"/>
  <c r="H4" i="5" l="1"/>
  <c r="H8" i="5" s="1"/>
  <c r="I68" i="4"/>
  <c r="K4" i="5"/>
  <c r="K8" i="5" s="1"/>
  <c r="L68" i="4"/>
  <c r="D4" i="5"/>
  <c r="D8" i="5" s="1"/>
  <c r="E68" i="4"/>
  <c r="J4" i="5"/>
  <c r="J8" i="5" s="1"/>
  <c r="K68" i="4"/>
  <c r="O35" i="4"/>
  <c r="O36" i="4" s="1"/>
  <c r="N4" i="5" s="1"/>
  <c r="Q23" i="4"/>
  <c r="F4" i="5"/>
  <c r="F8" i="5" s="1"/>
  <c r="G68" i="4"/>
  <c r="L4" i="5"/>
  <c r="L8" i="5" s="1"/>
  <c r="M68" i="4"/>
  <c r="J2" i="3"/>
  <c r="D36" i="4"/>
  <c r="P35" i="4"/>
  <c r="P36" i="4" s="1"/>
  <c r="O4" i="5" s="1"/>
  <c r="Q19" i="4"/>
  <c r="I4" i="5"/>
  <c r="I8" i="5" s="1"/>
  <c r="J68" i="4"/>
  <c r="E4" i="5"/>
  <c r="E8" i="5" s="1"/>
  <c r="F68" i="4"/>
  <c r="G4" i="5"/>
  <c r="G8" i="5" s="1"/>
  <c r="H68" i="4"/>
  <c r="Q18" i="4"/>
  <c r="N35" i="4"/>
  <c r="N36" i="4" s="1"/>
  <c r="M4" i="5" s="1"/>
  <c r="Q22" i="4"/>
  <c r="Q20" i="4"/>
  <c r="C4" i="5" l="1"/>
  <c r="C8" i="5" s="1"/>
  <c r="D68" i="4"/>
  <c r="Q35" i="4"/>
  <c r="Q36" i="4" s="1"/>
  <c r="C35" i="4"/>
  <c r="C68" i="4" s="1"/>
  <c r="Q68" i="4" s="1"/>
  <c r="P8" i="5" s="1"/>
  <c r="P11" i="5" s="1"/>
  <c r="F11" i="5" l="1"/>
  <c r="P10" i="5"/>
  <c r="P9" i="5"/>
  <c r="E69" i="4"/>
  <c r="D9" i="5"/>
  <c r="L9" i="5"/>
  <c r="I9" i="5"/>
  <c r="H11" i="5"/>
  <c r="J9" i="5"/>
  <c r="F69" i="4"/>
  <c r="D11" i="5"/>
  <c r="J69" i="4"/>
  <c r="L69" i="4"/>
  <c r="H9" i="5"/>
  <c r="L11" i="5"/>
  <c r="H69" i="4"/>
  <c r="M69" i="4"/>
  <c r="K69" i="4"/>
  <c r="I11" i="5"/>
  <c r="J11" i="5"/>
  <c r="G69" i="4"/>
  <c r="E11" i="5"/>
  <c r="D69" i="4"/>
  <c r="K9" i="5"/>
  <c r="F9" i="5"/>
  <c r="G11" i="5"/>
  <c r="I69" i="4"/>
  <c r="E9" i="5"/>
  <c r="C11" i="5"/>
  <c r="C9" i="5"/>
  <c r="K11" i="5"/>
  <c r="G9" i="5"/>
  <c r="F9" i="6"/>
  <c r="F8" i="6"/>
  <c r="F5" i="6"/>
  <c r="F4" i="6"/>
  <c r="F6" i="6"/>
  <c r="F11" i="6"/>
  <c r="F10" i="6"/>
  <c r="F7" i="6"/>
  <c r="F13" i="6"/>
  <c r="F12" i="6"/>
  <c r="E14" i="6"/>
</calcChain>
</file>

<file path=xl/sharedStrings.xml><?xml version="1.0" encoding="utf-8"?>
<sst xmlns="http://schemas.openxmlformats.org/spreadsheetml/2006/main" count="130" uniqueCount="121">
  <si>
    <t>Security Supervisors for the Campus</t>
  </si>
  <si>
    <t>Facility Manager</t>
  </si>
  <si>
    <t xml:space="preserve">Electrician </t>
  </si>
  <si>
    <t>Plumber</t>
  </si>
  <si>
    <t xml:space="preserve">House Keeping </t>
  </si>
  <si>
    <t>Security Staff (common)</t>
  </si>
  <si>
    <t>Nos</t>
  </si>
  <si>
    <t>Rate</t>
  </si>
  <si>
    <t>Total</t>
  </si>
  <si>
    <t xml:space="preserve">Common Transformer &amp; Electrical </t>
  </si>
  <si>
    <t>Q1</t>
  </si>
  <si>
    <t>Q2</t>
  </si>
  <si>
    <t>Q3</t>
  </si>
  <si>
    <t>GBM Expenses</t>
  </si>
  <si>
    <t>Auditor Fees</t>
  </si>
  <si>
    <t>Q4</t>
  </si>
  <si>
    <t>Number</t>
  </si>
  <si>
    <t>C1</t>
  </si>
  <si>
    <t>C2</t>
  </si>
  <si>
    <t>C4</t>
  </si>
  <si>
    <t>C-2X</t>
  </si>
  <si>
    <t>C3</t>
  </si>
  <si>
    <t>No. of UNITS in each zone</t>
  </si>
  <si>
    <t>C3-Plots</t>
  </si>
  <si>
    <t xml:space="preserve">Minimum guards for Security deployement </t>
  </si>
  <si>
    <t xml:space="preserve">House Keeping Staff Zone Specific </t>
  </si>
  <si>
    <t xml:space="preserve">Staff Proportion </t>
  </si>
  <si>
    <t>Gardening Staff Zone Specific</t>
  </si>
  <si>
    <t xml:space="preserve">Merged Units </t>
  </si>
  <si>
    <t>Total Units</t>
  </si>
  <si>
    <t>No. of Dwellings in each zone for computation (minus empty dwellings)</t>
  </si>
  <si>
    <t>Water consumption per Unit (in litre)</t>
  </si>
  <si>
    <t>Water  Consumption FACTOR for the Zone</t>
  </si>
  <si>
    <t>X1</t>
  </si>
  <si>
    <t>X2</t>
  </si>
  <si>
    <t>X3</t>
  </si>
  <si>
    <t>Security Guard at the Main Gate (Lady included) + Clubhouse</t>
  </si>
  <si>
    <t>Security Supervisor Zone Specific</t>
  </si>
  <si>
    <t>Factor for Villas Only</t>
  </si>
  <si>
    <t>SECURITY</t>
  </si>
  <si>
    <t xml:space="preserve">One lady Guard </t>
  </si>
  <si>
    <t>FACILITY</t>
  </si>
  <si>
    <t>COMMENTS</t>
  </si>
  <si>
    <t>Maintenance</t>
  </si>
  <si>
    <t>Common Villa</t>
  </si>
  <si>
    <t>Quartz1</t>
  </si>
  <si>
    <t>Quartz2</t>
  </si>
  <si>
    <t>Quartz3</t>
  </si>
  <si>
    <t>Quartz4</t>
  </si>
  <si>
    <t>Common Apartments</t>
  </si>
  <si>
    <t>Garbage</t>
  </si>
  <si>
    <t>Diesel (Generator)</t>
  </si>
  <si>
    <t>Generator AMC</t>
  </si>
  <si>
    <t>Portal - Common Floor/ ADDA Maintenance</t>
  </si>
  <si>
    <t>Telephone Bill</t>
  </si>
  <si>
    <t>Maintenance Expenses</t>
  </si>
  <si>
    <t>Maint/ Repair/ Consumables/New Infra</t>
  </si>
  <si>
    <t xml:space="preserve">All - Common </t>
  </si>
  <si>
    <t>LIFT AMC</t>
  </si>
  <si>
    <t>Road Maintenance</t>
  </si>
  <si>
    <t>Accountant</t>
  </si>
  <si>
    <t xml:space="preserve">Total </t>
  </si>
  <si>
    <t>BESCOM</t>
  </si>
  <si>
    <t>Quartz1 - Corridor lights, water pumping, Lift</t>
  </si>
  <si>
    <t>Quartz2 - Corridor lights, water pumping, Lift</t>
  </si>
  <si>
    <t>Quartz3 - Corridor lights, water pumping, Lift</t>
  </si>
  <si>
    <t>Quartz4 - Corridor lights, water pumping</t>
  </si>
  <si>
    <t>STP - Maintenance</t>
  </si>
  <si>
    <t>STP - AMC</t>
  </si>
  <si>
    <t>Pool - AMC</t>
  </si>
  <si>
    <t>Pool - Material</t>
  </si>
  <si>
    <t>STP &amp; Pool</t>
  </si>
  <si>
    <t>Proportion Zones</t>
  </si>
  <si>
    <t>Proportion Merged</t>
  </si>
  <si>
    <t>ALLOCATIONS</t>
  </si>
  <si>
    <t>Villas - Plots - Apartments</t>
  </si>
  <si>
    <t xml:space="preserve">Common Charges </t>
  </si>
  <si>
    <t xml:space="preserve">Security Guard at Gate </t>
  </si>
  <si>
    <t xml:space="preserve">Security Supervisors </t>
  </si>
  <si>
    <t xml:space="preserve">Security Overall </t>
  </si>
  <si>
    <t>Staff Salaries</t>
  </si>
  <si>
    <t>Zone Specific</t>
  </si>
  <si>
    <t>Security Per Zone</t>
  </si>
  <si>
    <t>Additional guards per Split Zone</t>
  </si>
  <si>
    <t>Lift AMC</t>
  </si>
  <si>
    <t>Variable Component as per BESCOM &amp; STP</t>
  </si>
  <si>
    <r>
      <rPr>
        <b/>
        <sz val="24"/>
        <color rgb="FFFF0000"/>
        <rFont val="Calibri"/>
        <family val="2"/>
        <scheme val="minor"/>
      </rPr>
      <t xml:space="preserve"> </t>
    </r>
    <r>
      <rPr>
        <b/>
        <sz val="24"/>
        <color rgb="FFFF0000"/>
        <rFont val="Calibri"/>
        <family val="2"/>
      </rPr>
      <t xml:space="preserve">↓ ↓ ↓ </t>
    </r>
    <r>
      <rPr>
        <b/>
        <sz val="20"/>
        <color rgb="FFFF0000"/>
        <rFont val="Calibri"/>
        <family val="2"/>
      </rPr>
      <t xml:space="preserve"> </t>
    </r>
    <r>
      <rPr>
        <b/>
        <sz val="11.2"/>
        <color rgb="FFFF0000"/>
        <rFont val="Calibri"/>
        <family val="2"/>
      </rPr>
      <t xml:space="preserve">    </t>
    </r>
    <r>
      <rPr>
        <b/>
        <sz val="18"/>
        <color rgb="FFFFFF00"/>
        <rFont val="Calibri"/>
        <family val="2"/>
      </rPr>
      <t xml:space="preserve"> </t>
    </r>
    <r>
      <rPr>
        <b/>
        <sz val="16"/>
        <color rgb="FFFFFF00"/>
        <rFont val="Calibri"/>
        <family val="2"/>
        <scheme val="minor"/>
      </rPr>
      <t xml:space="preserve">The water consumption data </t>
    </r>
  </si>
  <si>
    <t>Water consumption reading for the Zone (in litre/ month)</t>
  </si>
  <si>
    <t>Zonal charges per Unit</t>
  </si>
  <si>
    <t>Variable charges per Unit</t>
  </si>
  <si>
    <t xml:space="preserve">Total Charges Per Zone </t>
  </si>
  <si>
    <t>Fixed Cost</t>
  </si>
  <si>
    <t xml:space="preserve">Variable </t>
  </si>
  <si>
    <t>Variance</t>
  </si>
  <si>
    <t>AVERAGE</t>
  </si>
  <si>
    <t>Monthly Spend</t>
  </si>
  <si>
    <t xml:space="preserve">Equal Water Consumption </t>
  </si>
  <si>
    <t>Apartments have Lift &amp; Water Power</t>
  </si>
  <si>
    <t>Same for All</t>
  </si>
  <si>
    <t>Updated monthly</t>
  </si>
  <si>
    <t xml:space="preserve">Security - Adder for Zone </t>
  </si>
  <si>
    <t>House Keeping - Adder for Zone</t>
  </si>
  <si>
    <t>Gardener - Adder for Zone</t>
  </si>
  <si>
    <t>Gardener for Campus Parks</t>
  </si>
  <si>
    <t>Club House, Park, Bore Water pumping - POWER</t>
  </si>
  <si>
    <t>OHT water pumping, Villas Only - POWER</t>
  </si>
  <si>
    <t>Water Tanker for Campus</t>
  </si>
  <si>
    <t>STP - POWER</t>
  </si>
  <si>
    <t>10% defaulters &amp; Plots</t>
  </si>
  <si>
    <t>Overall 10% defaulters</t>
  </si>
  <si>
    <t>90% Permanent payers</t>
  </si>
  <si>
    <t>MAINTENANCE - LABOUR</t>
  </si>
  <si>
    <t>MAINTENANCE - MATERIAL</t>
  </si>
  <si>
    <t>GARBAGE</t>
  </si>
  <si>
    <t>MAINTENANCE - ADMIN</t>
  </si>
  <si>
    <t>WATER</t>
  </si>
  <si>
    <t>BESCOM - BALANCE</t>
  </si>
  <si>
    <t>STP</t>
  </si>
  <si>
    <t>SWIMMING POOL</t>
  </si>
  <si>
    <t>LIFT &amp; DG AMC</t>
  </si>
  <si>
    <t>Spend/Dwelling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</si>
</sst>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_ * #,##0.00_ ;_ * \-#,##0.00_ ;_ * &quot;-&quot;?_ ;_ @_ "/>
    <numFmt numFmtId="167" formatCode="0.0"/>
    <numFmt numFmtId="168" formatCode="0.000"/>
    <numFmt numFmtId="170" formatCode="_(* #,##0.0000_);_(* \(#,##0.00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sz val="10"/>
      <color rgb="FFFF0000"/>
      <name val="Arial"/>
      <family val="2"/>
    </font>
    <font>
      <b/>
      <sz val="10"/>
      <color rgb="FF222222"/>
      <name val="Arial"/>
      <family val="2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24"/>
      <color rgb="FFFF0000"/>
      <name val="Calibri"/>
      <family val="2"/>
    </font>
    <font>
      <b/>
      <sz val="20"/>
      <color rgb="FFFF0000"/>
      <name val="Calibri"/>
      <family val="2"/>
    </font>
    <font>
      <b/>
      <sz val="11.2"/>
      <color rgb="FFFF0000"/>
      <name val="Calibri"/>
      <family val="2"/>
    </font>
    <font>
      <b/>
      <sz val="18"/>
      <color rgb="FFFFFF00"/>
      <name val="Calibri"/>
      <family val="2"/>
    </font>
    <font>
      <b/>
      <sz val="16"/>
      <color rgb="FFFFFF00"/>
      <name val="Calibri"/>
      <family val="2"/>
      <scheme val="minor"/>
    </font>
    <font>
      <i/>
      <sz val="10"/>
      <color rgb="FFFF0000"/>
      <name val="Arial"/>
      <family val="2"/>
    </font>
    <font>
      <i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7">
    <xf numFmtId="0" fontId="0" fillId="0" borderId="0" xfId="0"/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vertical="center"/>
    </xf>
    <xf numFmtId="0" fontId="3" fillId="0" borderId="0" xfId="0" applyFont="1" applyAlignment="1">
      <alignment horizontal="center"/>
    </xf>
    <xf numFmtId="0" fontId="0" fillId="0" borderId="1" xfId="0" applyBorder="1"/>
    <xf numFmtId="1" fontId="0" fillId="0" borderId="1" xfId="2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0" fillId="0" borderId="1" xfId="0" applyFill="1" applyBorder="1"/>
    <xf numFmtId="1" fontId="0" fillId="0" borderId="0" xfId="0" applyNumberFormat="1" applyAlignment="1">
      <alignment horizontal="center"/>
    </xf>
    <xf numFmtId="0" fontId="6" fillId="0" borderId="1" xfId="0" applyFont="1" applyBorder="1" applyAlignment="1">
      <alignment vertical="center"/>
    </xf>
    <xf numFmtId="165" fontId="2" fillId="0" borderId="1" xfId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5" fontId="16" fillId="0" borderId="1" xfId="1" applyNumberFormat="1" applyFont="1" applyBorder="1" applyAlignment="1">
      <alignment horizontal="center" vertical="center"/>
    </xf>
    <xf numFmtId="166" fontId="16" fillId="0" borderId="1" xfId="0" applyNumberFormat="1" applyFont="1" applyBorder="1" applyAlignment="1">
      <alignment horizontal="center" vertical="center"/>
    </xf>
    <xf numFmtId="0" fontId="8" fillId="6" borderId="0" xfId="0" applyFont="1" applyFill="1" applyBorder="1" applyAlignment="1">
      <alignment vertical="center"/>
    </xf>
    <xf numFmtId="0" fontId="0" fillId="6" borderId="0" xfId="0" applyFill="1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3" fillId="7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15" fillId="0" borderId="2" xfId="0" applyFont="1" applyBorder="1" applyAlignment="1">
      <alignment vertical="center"/>
    </xf>
    <xf numFmtId="164" fontId="7" fillId="0" borderId="3" xfId="1" applyNumberFormat="1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5" fillId="9" borderId="0" xfId="0" applyFont="1" applyFill="1" applyBorder="1" applyAlignment="1">
      <alignment vertical="center"/>
    </xf>
    <xf numFmtId="1" fontId="0" fillId="0" borderId="0" xfId="0" applyNumberFormat="1"/>
    <xf numFmtId="0" fontId="0" fillId="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0" fillId="8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7" fillId="11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7" borderId="1" xfId="0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vertical="center"/>
    </xf>
    <xf numFmtId="0" fontId="17" fillId="0" borderId="1" xfId="0" applyFont="1" applyBorder="1"/>
    <xf numFmtId="0" fontId="3" fillId="12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2" fontId="0" fillId="2" borderId="1" xfId="0" applyNumberFormat="1" applyFont="1" applyFill="1" applyBorder="1" applyAlignment="1">
      <alignment horizontal="center" vertical="center"/>
    </xf>
    <xf numFmtId="167" fontId="0" fillId="2" borderId="1" xfId="0" applyNumberFormat="1" applyFont="1" applyFill="1" applyBorder="1" applyAlignment="1">
      <alignment horizontal="center" vertical="center"/>
    </xf>
    <xf numFmtId="0" fontId="0" fillId="0" borderId="0" xfId="0" applyFont="1"/>
    <xf numFmtId="0" fontId="0" fillId="10" borderId="0" xfId="0" applyFill="1"/>
    <xf numFmtId="2" fontId="0" fillId="8" borderId="1" xfId="0" applyNumberFormat="1" applyFill="1" applyBorder="1" applyAlignment="1">
      <alignment horizontal="center"/>
    </xf>
    <xf numFmtId="0" fontId="3" fillId="13" borderId="0" xfId="0" applyFont="1" applyFill="1"/>
    <xf numFmtId="168" fontId="0" fillId="0" borderId="1" xfId="0" applyNumberFormat="1" applyBorder="1" applyAlignment="1">
      <alignment horizontal="center"/>
    </xf>
    <xf numFmtId="1" fontId="0" fillId="3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vertical="center"/>
    </xf>
    <xf numFmtId="164" fontId="3" fillId="4" borderId="1" xfId="1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164" fontId="3" fillId="2" borderId="1" xfId="1" applyNumberFormat="1" applyFon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/>
    </xf>
    <xf numFmtId="164" fontId="1" fillId="2" borderId="1" xfId="1" applyNumberFormat="1" applyFont="1" applyFill="1" applyBorder="1" applyAlignment="1">
      <alignment horizontal="center" vertical="center"/>
    </xf>
    <xf numFmtId="1" fontId="0" fillId="7" borderId="0" xfId="0" applyNumberFormat="1" applyFill="1" applyAlignment="1">
      <alignment horizontal="center"/>
    </xf>
    <xf numFmtId="0" fontId="3" fillId="0" borderId="0" xfId="0" applyFont="1"/>
    <xf numFmtId="164" fontId="0" fillId="0" borderId="0" xfId="0" applyNumberFormat="1"/>
    <xf numFmtId="164" fontId="0" fillId="0" borderId="0" xfId="0" applyNumberFormat="1" applyAlignment="1">
      <alignment horizontal="center"/>
    </xf>
    <xf numFmtId="164" fontId="0" fillId="0" borderId="0" xfId="0" applyNumberFormat="1" applyAlignment="1"/>
    <xf numFmtId="1" fontId="3" fillId="7" borderId="1" xfId="0" applyNumberFormat="1" applyFont="1" applyFill="1" applyBorder="1" applyAlignment="1">
      <alignment horizontal="center"/>
    </xf>
    <xf numFmtId="0" fontId="17" fillId="0" borderId="0" xfId="0" applyFont="1"/>
    <xf numFmtId="1" fontId="3" fillId="7" borderId="0" xfId="0" applyNumberFormat="1" applyFont="1" applyFill="1" applyAlignment="1">
      <alignment horizontal="center"/>
    </xf>
    <xf numFmtId="1" fontId="18" fillId="7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2" fontId="0" fillId="8" borderId="1" xfId="0" applyNumberFormat="1" applyFill="1" applyBorder="1" applyAlignment="1">
      <alignment horizontal="center"/>
    </xf>
    <xf numFmtId="1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2" fontId="0" fillId="2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4" borderId="0" xfId="0" applyFill="1"/>
    <xf numFmtId="9" fontId="0" fillId="0" borderId="0" xfId="2" applyFont="1" applyAlignment="1">
      <alignment horizontal="center"/>
    </xf>
    <xf numFmtId="170" fontId="0" fillId="0" borderId="0" xfId="1" applyNumberFormat="1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Plots!$D$4:$D$13</c:f>
              <c:strCache>
                <c:ptCount val="10"/>
                <c:pt idx="0">
                  <c:v>SECURITY</c:v>
                </c:pt>
                <c:pt idx="1">
                  <c:v>MAINTENANCE - LABOUR</c:v>
                </c:pt>
                <c:pt idx="2">
                  <c:v>WATER</c:v>
                </c:pt>
                <c:pt idx="3">
                  <c:v>MAINTENANCE - MATERIAL</c:v>
                </c:pt>
                <c:pt idx="4">
                  <c:v>STP</c:v>
                </c:pt>
                <c:pt idx="5">
                  <c:v>GARBAGE</c:v>
                </c:pt>
                <c:pt idx="6">
                  <c:v>LIFT &amp; DG AMC</c:v>
                </c:pt>
                <c:pt idx="7">
                  <c:v>BESCOM - BALANCE</c:v>
                </c:pt>
                <c:pt idx="8">
                  <c:v>MAINTENANCE - ADMIN</c:v>
                </c:pt>
                <c:pt idx="9">
                  <c:v>SWIMMING POOL</c:v>
                </c:pt>
              </c:strCache>
            </c:strRef>
          </c:cat>
          <c:val>
            <c:numRef>
              <c:f>Plots!$F$4:$F$13</c:f>
              <c:numCache>
                <c:formatCode>0%</c:formatCode>
                <c:ptCount val="10"/>
                <c:pt idx="0">
                  <c:v>0.30448222402571706</c:v>
                </c:pt>
                <c:pt idx="1">
                  <c:v>0.17044081376781844</c:v>
                </c:pt>
                <c:pt idx="2">
                  <c:v>0.140537157680443</c:v>
                </c:pt>
                <c:pt idx="3">
                  <c:v>0.10863464771519604</c:v>
                </c:pt>
                <c:pt idx="4">
                  <c:v>0.10685530894112458</c:v>
                </c:pt>
                <c:pt idx="5">
                  <c:v>5.8448007108912209E-2</c:v>
                </c:pt>
                <c:pt idx="6">
                  <c:v>4.416686102899816E-2</c:v>
                </c:pt>
                <c:pt idx="7">
                  <c:v>3.1239743209542998E-2</c:v>
                </c:pt>
                <c:pt idx="8">
                  <c:v>1.7773335880271395E-2</c:v>
                </c:pt>
                <c:pt idx="9">
                  <c:v>1.7421900641976143E-2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25-4C2C-9C61-8616AC7CE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136525</xdr:colOff>
      <xdr:row>1</xdr:row>
      <xdr:rowOff>85725</xdr:rowOff>
    </xdr:from>
    <xdr:to>
      <xdr:col>14</xdr:col>
      <xdr:colOff>441325</xdr:colOff>
      <xdr:row>16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31287E-2937-42C2-9371-D8BF1AA5AE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M_Final_2018OCT_MMRC2_Manoj_-01Feb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CALCULATIONS"/>
      <sheetName val="SUMMARY"/>
    </sheetNames>
    <sheetDataSet>
      <sheetData sheetId="0" refreshError="1"/>
      <sheetData sheetId="1">
        <row r="3">
          <cell r="J3">
            <v>24</v>
          </cell>
          <cell r="Q3">
            <v>356</v>
          </cell>
        </row>
        <row r="6">
          <cell r="Q6">
            <v>356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20239-1AF2-43C5-8134-557F04028108}">
  <dimension ref="B2:O106"/>
  <sheetViews>
    <sheetView topLeftCell="A15" zoomScale="70" zoomScaleNormal="70" workbookViewId="0">
      <selection activeCell="D46" sqref="D46:D47"/>
    </sheetView>
  </sheetViews>
  <sheetFormatPr defaultRowHeight="14.5" x14ac:dyDescent="0.35"/>
  <cols>
    <col min="2" max="2" width="12.453125" customWidth="1"/>
    <col min="3" max="3" width="51.90625" customWidth="1"/>
    <col min="4" max="4" width="12.36328125" customWidth="1"/>
    <col min="5" max="5" width="12.36328125" bestFit="1" customWidth="1"/>
    <col min="6" max="6" width="18.90625" bestFit="1" customWidth="1"/>
    <col min="7" max="7" width="34.36328125" bestFit="1" customWidth="1"/>
  </cols>
  <sheetData>
    <row r="2" spans="2:10" x14ac:dyDescent="0.35">
      <c r="B2" s="3" t="s">
        <v>39</v>
      </c>
      <c r="G2" s="1" t="s">
        <v>42</v>
      </c>
      <c r="I2" s="40" t="s">
        <v>61</v>
      </c>
      <c r="J2" s="41">
        <f>F8+F16+F33+O26+O42+O47</f>
        <v>915683</v>
      </c>
    </row>
    <row r="3" spans="2:10" x14ac:dyDescent="0.35">
      <c r="D3" s="34" t="s">
        <v>6</v>
      </c>
      <c r="E3" s="34" t="s">
        <v>7</v>
      </c>
      <c r="F3" s="34" t="s">
        <v>8</v>
      </c>
    </row>
    <row r="4" spans="2:10" x14ac:dyDescent="0.35">
      <c r="C4" s="2" t="s">
        <v>36</v>
      </c>
      <c r="D4" s="31">
        <v>2</v>
      </c>
      <c r="E4" s="31">
        <f>(15930+14160)/2</f>
        <v>15045</v>
      </c>
      <c r="F4" s="18">
        <f>D4*E4</f>
        <v>30090</v>
      </c>
      <c r="G4" t="s">
        <v>40</v>
      </c>
    </row>
    <row r="5" spans="2:10" x14ac:dyDescent="0.35">
      <c r="C5" s="2" t="s">
        <v>0</v>
      </c>
      <c r="D5" s="31">
        <v>2</v>
      </c>
      <c r="E5" s="31">
        <v>17700</v>
      </c>
      <c r="F5" s="18">
        <f t="shared" ref="F5:F6" si="0">D5*E5</f>
        <v>35400</v>
      </c>
    </row>
    <row r="6" spans="2:10" x14ac:dyDescent="0.35">
      <c r="C6" s="2" t="s">
        <v>5</v>
      </c>
      <c r="D6" s="31">
        <v>12</v>
      </c>
      <c r="E6" s="31">
        <v>15930</v>
      </c>
      <c r="F6" s="18">
        <f t="shared" si="0"/>
        <v>191160</v>
      </c>
    </row>
    <row r="8" spans="2:10" x14ac:dyDescent="0.35">
      <c r="D8" s="33">
        <f>SUM(D4:D7)</f>
        <v>16</v>
      </c>
      <c r="F8" s="35">
        <f>SUM(F4:F7)</f>
        <v>256650</v>
      </c>
    </row>
    <row r="9" spans="2:10" x14ac:dyDescent="0.35">
      <c r="B9" s="3" t="s">
        <v>41</v>
      </c>
    </row>
    <row r="10" spans="2:10" x14ac:dyDescent="0.35">
      <c r="C10" s="2" t="s">
        <v>1</v>
      </c>
      <c r="D10" s="31">
        <v>1</v>
      </c>
      <c r="E10" s="31">
        <v>32000</v>
      </c>
      <c r="F10" s="18">
        <f>D10*E10</f>
        <v>32000</v>
      </c>
    </row>
    <row r="11" spans="2:10" x14ac:dyDescent="0.35">
      <c r="C11" s="2" t="s">
        <v>2</v>
      </c>
      <c r="D11" s="31">
        <v>1</v>
      </c>
      <c r="E11" s="31">
        <v>19000</v>
      </c>
      <c r="F11" s="18">
        <f t="shared" ref="F11:F14" si="1">D11*E11</f>
        <v>19000</v>
      </c>
    </row>
    <row r="12" spans="2:10" x14ac:dyDescent="0.35">
      <c r="C12" s="2" t="s">
        <v>3</v>
      </c>
      <c r="D12" s="31">
        <v>1</v>
      </c>
      <c r="E12" s="31">
        <v>17000</v>
      </c>
      <c r="F12" s="18">
        <f t="shared" si="1"/>
        <v>17000</v>
      </c>
    </row>
    <row r="13" spans="2:10" x14ac:dyDescent="0.35">
      <c r="C13" s="2" t="s">
        <v>103</v>
      </c>
      <c r="D13" s="31">
        <v>3</v>
      </c>
      <c r="E13" s="31">
        <v>10500</v>
      </c>
      <c r="F13" s="18">
        <f t="shared" si="1"/>
        <v>31500</v>
      </c>
    </row>
    <row r="14" spans="2:10" x14ac:dyDescent="0.35">
      <c r="C14" s="2" t="s">
        <v>4</v>
      </c>
      <c r="D14" s="31">
        <v>8</v>
      </c>
      <c r="E14" s="31">
        <v>7750</v>
      </c>
      <c r="F14" s="18">
        <f t="shared" si="1"/>
        <v>62000</v>
      </c>
    </row>
    <row r="16" spans="2:10" x14ac:dyDescent="0.35">
      <c r="D16" s="3">
        <f>SUM(D10:D15)</f>
        <v>14</v>
      </c>
      <c r="F16" s="35">
        <f>SUM(F10:F14)</f>
        <v>161500</v>
      </c>
    </row>
    <row r="18" spans="2:15" x14ac:dyDescent="0.35">
      <c r="B18" s="3" t="s">
        <v>43</v>
      </c>
      <c r="D18" s="37" t="s">
        <v>57</v>
      </c>
      <c r="E18" s="37" t="s">
        <v>44</v>
      </c>
      <c r="F18" s="37" t="s">
        <v>49</v>
      </c>
      <c r="G18" s="4"/>
      <c r="H18" s="38" t="s">
        <v>45</v>
      </c>
      <c r="I18" s="38" t="s">
        <v>46</v>
      </c>
      <c r="J18" s="38" t="s">
        <v>47</v>
      </c>
      <c r="K18" s="38" t="s">
        <v>48</v>
      </c>
      <c r="L18" s="38" t="s">
        <v>33</v>
      </c>
      <c r="M18" s="38" t="s">
        <v>34</v>
      </c>
      <c r="N18" s="38" t="s">
        <v>35</v>
      </c>
    </row>
    <row r="19" spans="2:15" x14ac:dyDescent="0.35">
      <c r="C19" t="s">
        <v>50</v>
      </c>
      <c r="D19" s="36">
        <v>55382</v>
      </c>
      <c r="E19" s="1"/>
      <c r="F19" s="1"/>
      <c r="G19" s="1"/>
      <c r="H19" s="1"/>
      <c r="I19" s="1"/>
      <c r="J19" s="1"/>
      <c r="K19" s="1"/>
      <c r="L19" s="1"/>
    </row>
    <row r="20" spans="2:15" x14ac:dyDescent="0.35">
      <c r="C20" t="s">
        <v>51</v>
      </c>
      <c r="D20" s="36">
        <v>16857</v>
      </c>
      <c r="E20" s="1"/>
      <c r="F20" s="1"/>
      <c r="G20" s="1"/>
      <c r="H20" s="1"/>
      <c r="I20" s="1"/>
      <c r="J20" s="1"/>
      <c r="K20" s="1"/>
      <c r="L20" s="1"/>
    </row>
    <row r="21" spans="2:15" x14ac:dyDescent="0.35">
      <c r="C21" t="s">
        <v>52</v>
      </c>
      <c r="D21" s="36">
        <v>17191</v>
      </c>
      <c r="E21" s="1"/>
      <c r="F21" s="1"/>
      <c r="G21" s="1"/>
      <c r="H21" s="1"/>
      <c r="I21" s="1"/>
      <c r="J21" s="1"/>
      <c r="K21" s="1"/>
      <c r="L21" s="1"/>
    </row>
    <row r="22" spans="2:15" x14ac:dyDescent="0.35">
      <c r="C22" t="s">
        <v>53</v>
      </c>
      <c r="D22" s="36">
        <v>9558</v>
      </c>
      <c r="E22" s="1"/>
      <c r="F22" s="1"/>
      <c r="G22" s="1"/>
      <c r="H22" s="1"/>
      <c r="I22" s="1"/>
      <c r="J22" s="1"/>
      <c r="K22" s="1"/>
      <c r="L22" s="1"/>
    </row>
    <row r="23" spans="2:15" x14ac:dyDescent="0.35">
      <c r="C23" t="s">
        <v>14</v>
      </c>
      <c r="D23" s="36">
        <v>5917</v>
      </c>
      <c r="E23" s="1"/>
      <c r="F23" s="1"/>
      <c r="G23" s="1"/>
      <c r="H23" s="1"/>
      <c r="I23" s="1"/>
      <c r="J23" s="1"/>
      <c r="K23" s="1"/>
      <c r="L23" s="1"/>
    </row>
    <row r="24" spans="2:15" x14ac:dyDescent="0.35">
      <c r="C24" t="s">
        <v>54</v>
      </c>
      <c r="D24" s="36">
        <v>1366</v>
      </c>
      <c r="E24" s="1"/>
      <c r="F24" s="1"/>
      <c r="G24" s="1"/>
      <c r="H24" s="1"/>
      <c r="I24" s="1"/>
      <c r="J24" s="1"/>
      <c r="K24" s="1"/>
      <c r="L24" s="1"/>
    </row>
    <row r="25" spans="2:15" x14ac:dyDescent="0.35">
      <c r="C25" t="s">
        <v>55</v>
      </c>
      <c r="D25" s="36">
        <v>86079</v>
      </c>
      <c r="E25" s="1"/>
      <c r="F25" s="1"/>
      <c r="G25" s="1" t="s">
        <v>56</v>
      </c>
      <c r="H25" s="1"/>
      <c r="I25" s="1"/>
      <c r="J25" s="1"/>
      <c r="K25" s="1"/>
      <c r="L25" s="1"/>
    </row>
    <row r="26" spans="2:15" x14ac:dyDescent="0.35">
      <c r="C26" t="s">
        <v>58</v>
      </c>
      <c r="D26" s="36"/>
      <c r="E26" s="1"/>
      <c r="F26" s="1"/>
      <c r="G26" s="1"/>
      <c r="H26" s="31">
        <v>6038</v>
      </c>
      <c r="I26" s="31">
        <v>12414</v>
      </c>
      <c r="J26" s="31">
        <v>6207</v>
      </c>
      <c r="K26" s="1"/>
      <c r="L26" s="1"/>
      <c r="O26" s="35">
        <f>SUM(H26:N26)</f>
        <v>24659</v>
      </c>
    </row>
    <row r="27" spans="2:15" x14ac:dyDescent="0.35">
      <c r="C27" t="s">
        <v>9</v>
      </c>
      <c r="D27" s="36">
        <v>0</v>
      </c>
      <c r="E27" s="1"/>
      <c r="F27" s="1"/>
      <c r="G27" s="1"/>
      <c r="H27" s="1"/>
      <c r="I27" s="1"/>
      <c r="J27" s="1"/>
      <c r="K27" s="1"/>
      <c r="L27" s="1"/>
    </row>
    <row r="28" spans="2:15" x14ac:dyDescent="0.35">
      <c r="C28" t="s">
        <v>59</v>
      </c>
      <c r="D28" s="36">
        <v>0</v>
      </c>
      <c r="E28" s="1"/>
      <c r="F28" s="1"/>
      <c r="G28" s="1"/>
      <c r="H28" s="1"/>
      <c r="I28" s="1"/>
      <c r="J28" s="1"/>
      <c r="K28" s="1"/>
      <c r="L28" s="1"/>
    </row>
    <row r="29" spans="2:15" x14ac:dyDescent="0.35">
      <c r="C29" t="s">
        <v>13</v>
      </c>
      <c r="D29" s="36">
        <v>0</v>
      </c>
      <c r="E29" s="1"/>
      <c r="F29" s="1"/>
      <c r="G29" s="1"/>
      <c r="H29" s="1"/>
      <c r="I29" s="1"/>
      <c r="J29" s="1"/>
      <c r="K29" s="1"/>
      <c r="L29" s="1"/>
    </row>
    <row r="30" spans="2:15" x14ac:dyDescent="0.35">
      <c r="C30" t="s">
        <v>60</v>
      </c>
      <c r="D30" s="36">
        <v>0</v>
      </c>
      <c r="E30" s="1"/>
      <c r="F30" s="1"/>
      <c r="G30" s="1"/>
      <c r="H30" s="1"/>
      <c r="I30" s="1"/>
      <c r="J30" s="1"/>
      <c r="K30" s="1"/>
      <c r="L30" s="1"/>
    </row>
    <row r="31" spans="2:15" x14ac:dyDescent="0.35">
      <c r="D31" s="36"/>
      <c r="E31" s="1"/>
      <c r="F31" s="1"/>
      <c r="G31" s="1"/>
      <c r="H31" s="1"/>
      <c r="I31" s="1"/>
      <c r="J31" s="1"/>
      <c r="K31" s="1"/>
      <c r="L31" s="1"/>
    </row>
    <row r="32" spans="2:15" x14ac:dyDescent="0.35">
      <c r="D32" s="36"/>
      <c r="E32" s="1"/>
      <c r="F32" s="1"/>
      <c r="G32" s="1"/>
      <c r="H32" s="1"/>
      <c r="I32" s="1"/>
      <c r="J32" s="1"/>
      <c r="K32" s="1"/>
      <c r="L32" s="1"/>
    </row>
    <row r="33" spans="2:15" x14ac:dyDescent="0.35">
      <c r="D33" s="47"/>
      <c r="E33" s="1"/>
      <c r="F33" s="35">
        <f>SUM(D19:D32)</f>
        <v>192350</v>
      </c>
      <c r="G33" s="1"/>
      <c r="H33" s="1"/>
      <c r="I33" s="1"/>
      <c r="J33" s="1"/>
      <c r="K33" s="1"/>
      <c r="L33" s="1"/>
    </row>
    <row r="34" spans="2:15" x14ac:dyDescent="0.35">
      <c r="B34" s="3" t="s">
        <v>62</v>
      </c>
      <c r="D34" s="47"/>
      <c r="E34" s="1"/>
      <c r="F34" s="1"/>
      <c r="G34" s="1"/>
      <c r="H34" s="1"/>
      <c r="I34" s="1"/>
      <c r="J34" s="1"/>
      <c r="K34" s="1"/>
      <c r="L34" s="1"/>
    </row>
    <row r="35" spans="2:15" x14ac:dyDescent="0.35">
      <c r="C35" t="s">
        <v>104</v>
      </c>
      <c r="D35" s="36">
        <v>41175</v>
      </c>
      <c r="E35" s="1"/>
      <c r="F35" s="1"/>
      <c r="G35" s="1"/>
      <c r="H35" s="1"/>
      <c r="I35" s="1"/>
      <c r="J35" s="1"/>
      <c r="K35" s="1"/>
      <c r="L35" s="1"/>
      <c r="O35" s="1">
        <f>SUM(D35:N35)</f>
        <v>41175</v>
      </c>
    </row>
    <row r="36" spans="2:15" x14ac:dyDescent="0.35">
      <c r="C36" t="s">
        <v>105</v>
      </c>
      <c r="D36" s="36"/>
      <c r="E36" s="1">
        <v>27120</v>
      </c>
      <c r="F36" s="1"/>
      <c r="G36" s="1"/>
      <c r="L36" s="1"/>
      <c r="O36" s="1">
        <f t="shared" ref="O36:O41" si="2">SUM(D36:N36)</f>
        <v>27120</v>
      </c>
    </row>
    <row r="37" spans="2:15" x14ac:dyDescent="0.35">
      <c r="C37" t="s">
        <v>63</v>
      </c>
      <c r="D37" s="36"/>
      <c r="E37" s="1"/>
      <c r="F37" s="1"/>
      <c r="G37" s="1"/>
      <c r="H37" s="42">
        <v>7540</v>
      </c>
      <c r="I37" s="43"/>
      <c r="J37" s="43"/>
      <c r="K37" s="43"/>
      <c r="L37" s="1"/>
      <c r="O37" s="1">
        <f t="shared" si="2"/>
        <v>7540</v>
      </c>
    </row>
    <row r="38" spans="2:15" x14ac:dyDescent="0.35">
      <c r="C38" t="s">
        <v>64</v>
      </c>
      <c r="D38" s="36"/>
      <c r="E38" s="1"/>
      <c r="F38" s="1"/>
      <c r="G38" s="1"/>
      <c r="H38" s="42"/>
      <c r="I38" s="42">
        <v>12276</v>
      </c>
      <c r="J38" s="42"/>
      <c r="K38" s="42"/>
      <c r="L38" s="1"/>
      <c r="O38" s="1">
        <f t="shared" si="2"/>
        <v>12276</v>
      </c>
    </row>
    <row r="39" spans="2:15" x14ac:dyDescent="0.35">
      <c r="C39" t="s">
        <v>65</v>
      </c>
      <c r="D39" s="36"/>
      <c r="E39" s="1"/>
      <c r="F39" s="1"/>
      <c r="G39" s="1"/>
      <c r="H39" s="42"/>
      <c r="I39" s="42"/>
      <c r="J39" s="42">
        <v>8218</v>
      </c>
      <c r="K39" s="42"/>
      <c r="L39" s="1"/>
      <c r="O39" s="1">
        <f t="shared" si="2"/>
        <v>8218</v>
      </c>
    </row>
    <row r="40" spans="2:15" x14ac:dyDescent="0.35">
      <c r="C40" t="s">
        <v>66</v>
      </c>
      <c r="D40" s="36"/>
      <c r="E40" s="1"/>
      <c r="F40" s="1"/>
      <c r="G40" s="1"/>
      <c r="H40" s="42"/>
      <c r="I40" s="42"/>
      <c r="J40" s="42"/>
      <c r="K40" s="42">
        <v>1567</v>
      </c>
      <c r="L40" s="1"/>
      <c r="O40" s="1">
        <f t="shared" si="2"/>
        <v>1567</v>
      </c>
    </row>
    <row r="41" spans="2:15" x14ac:dyDescent="0.35">
      <c r="C41" t="s">
        <v>107</v>
      </c>
      <c r="D41" s="36">
        <v>42017</v>
      </c>
      <c r="E41" s="1"/>
      <c r="F41" s="1"/>
      <c r="G41" s="1"/>
      <c r="H41" s="1"/>
      <c r="I41" s="1"/>
      <c r="J41" s="1"/>
      <c r="K41" s="1"/>
      <c r="L41" s="1"/>
      <c r="O41" s="1">
        <f t="shared" si="2"/>
        <v>42017</v>
      </c>
    </row>
    <row r="42" spans="2:15" x14ac:dyDescent="0.35">
      <c r="B42" s="3" t="s">
        <v>71</v>
      </c>
      <c r="D42" s="47"/>
      <c r="E42" s="1"/>
      <c r="F42" s="1"/>
      <c r="G42" s="1"/>
      <c r="H42" s="1"/>
      <c r="I42" s="1"/>
      <c r="J42" s="1"/>
      <c r="K42" s="1"/>
      <c r="L42" s="1"/>
      <c r="O42" s="35">
        <f>SUM(O35:O41)</f>
        <v>139913</v>
      </c>
    </row>
    <row r="43" spans="2:15" x14ac:dyDescent="0.35">
      <c r="C43" t="s">
        <v>106</v>
      </c>
      <c r="D43" s="36">
        <v>64870</v>
      </c>
      <c r="E43" s="1"/>
      <c r="F43" s="1"/>
      <c r="G43" s="1"/>
      <c r="H43" s="1"/>
      <c r="I43" s="1"/>
      <c r="J43" s="1"/>
      <c r="K43" s="1"/>
      <c r="L43" s="1"/>
    </row>
    <row r="44" spans="2:15" x14ac:dyDescent="0.35">
      <c r="C44" t="s">
        <v>68</v>
      </c>
      <c r="D44" s="36">
        <v>53100</v>
      </c>
      <c r="E44" s="1"/>
      <c r="F44" s="1"/>
      <c r="G44" s="1"/>
      <c r="H44" s="1"/>
      <c r="I44" s="1"/>
      <c r="J44" s="1"/>
      <c r="K44" s="1"/>
      <c r="L44" s="1"/>
    </row>
    <row r="45" spans="2:15" x14ac:dyDescent="0.35">
      <c r="C45" t="s">
        <v>67</v>
      </c>
      <c r="D45" s="36">
        <v>6133</v>
      </c>
      <c r="E45" s="1"/>
      <c r="F45" s="1"/>
      <c r="G45" s="1"/>
      <c r="H45" s="1"/>
      <c r="I45" s="1"/>
      <c r="J45" s="1"/>
      <c r="K45" s="1"/>
      <c r="L45" s="1"/>
    </row>
    <row r="46" spans="2:15" x14ac:dyDescent="0.35">
      <c r="C46" t="s">
        <v>69</v>
      </c>
      <c r="D46" s="36">
        <v>10000</v>
      </c>
      <c r="E46" s="1"/>
      <c r="F46" s="1"/>
      <c r="G46" s="1"/>
      <c r="H46" s="1"/>
      <c r="I46" s="1"/>
      <c r="J46" s="1"/>
      <c r="K46" s="1"/>
      <c r="L46" s="1"/>
    </row>
    <row r="47" spans="2:15" x14ac:dyDescent="0.35">
      <c r="C47" t="s">
        <v>70</v>
      </c>
      <c r="D47" s="36">
        <v>6508</v>
      </c>
      <c r="E47" s="1"/>
      <c r="F47" s="1"/>
      <c r="G47" s="1"/>
      <c r="H47" s="1"/>
      <c r="I47" s="1"/>
      <c r="J47" s="1"/>
      <c r="K47" s="1"/>
      <c r="L47" s="1"/>
      <c r="O47" s="35">
        <f>SUM(D43:D47)</f>
        <v>140611</v>
      </c>
    </row>
    <row r="48" spans="2:15" x14ac:dyDescent="0.35">
      <c r="D48" s="1"/>
      <c r="E48" s="1"/>
      <c r="F48" s="1"/>
      <c r="G48" s="1"/>
      <c r="H48" s="1"/>
      <c r="I48" s="1"/>
      <c r="J48" s="1"/>
      <c r="K48" s="1"/>
      <c r="L48" s="1"/>
    </row>
    <row r="49" spans="4:12" x14ac:dyDescent="0.35">
      <c r="D49" s="1"/>
      <c r="E49" s="1"/>
      <c r="F49" s="1"/>
      <c r="G49" s="1"/>
      <c r="H49" s="1"/>
      <c r="I49" s="1"/>
      <c r="J49" s="1"/>
      <c r="K49" s="1"/>
      <c r="L49" s="1"/>
    </row>
    <row r="50" spans="4:12" x14ac:dyDescent="0.35">
      <c r="D50" s="1"/>
      <c r="E50" s="1"/>
      <c r="F50" s="1"/>
      <c r="G50" s="1"/>
      <c r="H50" s="1"/>
      <c r="I50" s="1"/>
      <c r="J50" s="1"/>
      <c r="K50" s="1"/>
      <c r="L50" s="1"/>
    </row>
    <row r="51" spans="4:12" x14ac:dyDescent="0.35">
      <c r="D51" s="1"/>
      <c r="E51" s="1"/>
      <c r="F51" s="1"/>
      <c r="G51" s="1"/>
      <c r="H51" s="1"/>
      <c r="I51" s="1"/>
      <c r="J51" s="1"/>
      <c r="K51" s="1"/>
      <c r="L51" s="1"/>
    </row>
    <row r="52" spans="4:12" x14ac:dyDescent="0.35">
      <c r="D52" s="1"/>
      <c r="E52" s="1"/>
      <c r="F52" s="1"/>
      <c r="G52" s="1"/>
      <c r="H52" s="1"/>
      <c r="I52" s="1"/>
      <c r="J52" s="1"/>
      <c r="K52" s="1"/>
      <c r="L52" s="1"/>
    </row>
    <row r="53" spans="4:12" x14ac:dyDescent="0.35">
      <c r="D53" s="1"/>
      <c r="E53" s="1"/>
      <c r="F53" s="1"/>
      <c r="G53" s="1"/>
      <c r="H53" s="1"/>
      <c r="I53" s="1"/>
      <c r="J53" s="1"/>
      <c r="K53" s="1"/>
      <c r="L53" s="1"/>
    </row>
    <row r="54" spans="4:12" x14ac:dyDescent="0.35">
      <c r="D54" s="1"/>
      <c r="E54" s="1"/>
      <c r="F54" s="1"/>
      <c r="G54" s="1"/>
      <c r="H54" s="1"/>
      <c r="I54" s="1"/>
      <c r="J54" s="1"/>
      <c r="K54" s="1"/>
      <c r="L54" s="1"/>
    </row>
    <row r="55" spans="4:12" x14ac:dyDescent="0.35">
      <c r="D55" s="1"/>
      <c r="E55" s="1"/>
      <c r="F55" s="1"/>
      <c r="G55" s="1"/>
      <c r="H55" s="1"/>
      <c r="I55" s="1"/>
      <c r="J55" s="1"/>
      <c r="K55" s="1"/>
      <c r="L55" s="1"/>
    </row>
    <row r="56" spans="4:12" x14ac:dyDescent="0.35">
      <c r="D56" s="1"/>
      <c r="E56" s="1"/>
      <c r="F56" s="1"/>
      <c r="G56" s="1"/>
      <c r="H56" s="1"/>
      <c r="I56" s="1"/>
      <c r="J56" s="1"/>
      <c r="K56" s="1"/>
      <c r="L56" s="1"/>
    </row>
    <row r="57" spans="4:12" x14ac:dyDescent="0.35">
      <c r="D57" s="1"/>
      <c r="E57" s="1"/>
      <c r="F57" s="1"/>
      <c r="G57" s="1"/>
      <c r="H57" s="1"/>
      <c r="I57" s="1"/>
      <c r="J57" s="1"/>
      <c r="K57" s="1"/>
      <c r="L57" s="1"/>
    </row>
    <row r="58" spans="4:12" x14ac:dyDescent="0.35">
      <c r="D58" s="1"/>
      <c r="E58" s="1"/>
      <c r="F58" s="1"/>
      <c r="G58" s="1"/>
      <c r="H58" s="1"/>
      <c r="I58" s="1"/>
      <c r="J58" s="1"/>
      <c r="K58" s="1"/>
      <c r="L58" s="1"/>
    </row>
    <row r="59" spans="4:12" x14ac:dyDescent="0.35">
      <c r="D59" s="1"/>
      <c r="E59" s="1"/>
      <c r="F59" s="1"/>
      <c r="G59" s="1"/>
      <c r="H59" s="1"/>
      <c r="I59" s="1"/>
      <c r="J59" s="1"/>
      <c r="K59" s="1"/>
      <c r="L59" s="1"/>
    </row>
    <row r="60" spans="4:12" x14ac:dyDescent="0.35">
      <c r="D60" s="1"/>
      <c r="E60" s="1"/>
      <c r="F60" s="1"/>
      <c r="G60" s="1"/>
      <c r="H60" s="1"/>
      <c r="I60" s="1"/>
      <c r="J60" s="1"/>
      <c r="K60" s="1"/>
      <c r="L60" s="1"/>
    </row>
    <row r="61" spans="4:12" x14ac:dyDescent="0.35">
      <c r="D61" s="1"/>
      <c r="E61" s="1"/>
      <c r="F61" s="1"/>
      <c r="G61" s="1"/>
      <c r="H61" s="1"/>
      <c r="I61" s="1"/>
      <c r="J61" s="1"/>
      <c r="K61" s="1"/>
      <c r="L61" s="1"/>
    </row>
    <row r="62" spans="4:12" x14ac:dyDescent="0.35">
      <c r="D62" s="1"/>
      <c r="E62" s="1"/>
      <c r="F62" s="1"/>
      <c r="G62" s="1"/>
      <c r="H62" s="1"/>
      <c r="I62" s="1"/>
      <c r="J62" s="1"/>
      <c r="K62" s="1"/>
      <c r="L62" s="1"/>
    </row>
    <row r="63" spans="4:12" x14ac:dyDescent="0.35">
      <c r="D63" s="1"/>
      <c r="E63" s="1"/>
      <c r="F63" s="1"/>
      <c r="G63" s="1"/>
      <c r="H63" s="1"/>
      <c r="I63" s="1"/>
      <c r="J63" s="1"/>
      <c r="K63" s="1"/>
      <c r="L63" s="1"/>
    </row>
    <row r="64" spans="4:12" x14ac:dyDescent="0.35">
      <c r="D64" s="1"/>
      <c r="E64" s="1"/>
      <c r="F64" s="1"/>
      <c r="G64" s="1"/>
      <c r="H64" s="1"/>
      <c r="I64" s="1"/>
      <c r="J64" s="1"/>
      <c r="K64" s="1"/>
      <c r="L64" s="1"/>
    </row>
    <row r="65" spans="4:12" x14ac:dyDescent="0.35">
      <c r="D65" s="1"/>
      <c r="E65" s="1"/>
      <c r="F65" s="1"/>
      <c r="G65" s="1"/>
      <c r="H65" s="1"/>
      <c r="I65" s="1"/>
      <c r="J65" s="1"/>
      <c r="K65" s="1"/>
      <c r="L65" s="1"/>
    </row>
    <row r="66" spans="4:12" x14ac:dyDescent="0.35">
      <c r="D66" s="1"/>
      <c r="E66" s="1"/>
      <c r="F66" s="1"/>
      <c r="G66" s="1"/>
      <c r="H66" s="1"/>
      <c r="I66" s="1"/>
      <c r="J66" s="1"/>
      <c r="K66" s="1"/>
      <c r="L66" s="1"/>
    </row>
    <row r="67" spans="4:12" x14ac:dyDescent="0.35">
      <c r="D67" s="1"/>
      <c r="E67" s="1"/>
      <c r="F67" s="1"/>
      <c r="G67" s="1"/>
      <c r="H67" s="1"/>
      <c r="I67" s="1"/>
      <c r="J67" s="1"/>
      <c r="K67" s="1"/>
      <c r="L67" s="1"/>
    </row>
    <row r="68" spans="4:12" x14ac:dyDescent="0.35">
      <c r="D68" s="1"/>
      <c r="E68" s="1"/>
      <c r="F68" s="1"/>
      <c r="G68" s="1"/>
      <c r="H68" s="1"/>
      <c r="I68" s="1"/>
      <c r="J68" s="1"/>
      <c r="K68" s="1"/>
      <c r="L68" s="1"/>
    </row>
    <row r="69" spans="4:12" x14ac:dyDescent="0.35">
      <c r="D69" s="1"/>
      <c r="E69" s="1"/>
      <c r="F69" s="1"/>
      <c r="G69" s="1"/>
      <c r="H69" s="1"/>
      <c r="I69" s="1"/>
      <c r="J69" s="1"/>
      <c r="K69" s="1"/>
      <c r="L69" s="1"/>
    </row>
    <row r="70" spans="4:12" x14ac:dyDescent="0.35">
      <c r="D70" s="1"/>
      <c r="E70" s="1"/>
      <c r="F70" s="1"/>
      <c r="G70" s="1"/>
      <c r="H70" s="1"/>
      <c r="I70" s="1"/>
      <c r="J70" s="1"/>
      <c r="K70" s="1"/>
      <c r="L70" s="1"/>
    </row>
    <row r="71" spans="4:12" x14ac:dyDescent="0.35">
      <c r="D71" s="1"/>
      <c r="E71" s="1"/>
      <c r="F71" s="1"/>
      <c r="G71" s="1"/>
      <c r="H71" s="1"/>
      <c r="I71" s="1"/>
      <c r="J71" s="1"/>
      <c r="K71" s="1"/>
      <c r="L71" s="1"/>
    </row>
    <row r="72" spans="4:12" x14ac:dyDescent="0.35">
      <c r="D72" s="1"/>
      <c r="E72" s="1"/>
      <c r="F72" s="1"/>
      <c r="G72" s="1"/>
      <c r="H72" s="1"/>
      <c r="I72" s="1"/>
      <c r="J72" s="1"/>
      <c r="K72" s="1"/>
      <c r="L72" s="1"/>
    </row>
    <row r="73" spans="4:12" x14ac:dyDescent="0.35">
      <c r="D73" s="1"/>
      <c r="E73" s="1"/>
      <c r="F73" s="1"/>
      <c r="G73" s="1"/>
      <c r="H73" s="1"/>
      <c r="I73" s="1"/>
      <c r="J73" s="1"/>
      <c r="K73" s="1"/>
      <c r="L73" s="1"/>
    </row>
    <row r="74" spans="4:12" x14ac:dyDescent="0.35">
      <c r="D74" s="1"/>
      <c r="E74" s="1"/>
      <c r="F74" s="1"/>
      <c r="G74" s="1"/>
      <c r="H74" s="1"/>
      <c r="I74" s="1"/>
      <c r="J74" s="1"/>
      <c r="K74" s="1"/>
      <c r="L74" s="1"/>
    </row>
    <row r="75" spans="4:12" x14ac:dyDescent="0.35">
      <c r="D75" s="1"/>
      <c r="E75" s="1"/>
      <c r="F75" s="1"/>
      <c r="G75" s="1"/>
      <c r="H75" s="1"/>
      <c r="I75" s="1"/>
      <c r="J75" s="1"/>
      <c r="K75" s="1"/>
      <c r="L75" s="1"/>
    </row>
    <row r="76" spans="4:12" x14ac:dyDescent="0.35">
      <c r="D76" s="1"/>
      <c r="E76" s="1"/>
      <c r="F76" s="1"/>
      <c r="G76" s="1"/>
      <c r="H76" s="1"/>
      <c r="I76" s="1"/>
      <c r="J76" s="1"/>
      <c r="K76" s="1"/>
      <c r="L76" s="1"/>
    </row>
    <row r="77" spans="4:12" x14ac:dyDescent="0.35">
      <c r="D77" s="1"/>
      <c r="E77" s="1"/>
      <c r="F77" s="1"/>
      <c r="G77" s="1"/>
      <c r="H77" s="1"/>
      <c r="I77" s="1"/>
      <c r="J77" s="1"/>
      <c r="K77" s="1"/>
      <c r="L77" s="1"/>
    </row>
    <row r="78" spans="4:12" x14ac:dyDescent="0.35">
      <c r="D78" s="1"/>
      <c r="E78" s="1"/>
      <c r="F78" s="1"/>
      <c r="G78" s="1"/>
      <c r="H78" s="1"/>
      <c r="I78" s="1"/>
      <c r="J78" s="1"/>
      <c r="K78" s="1"/>
      <c r="L78" s="1"/>
    </row>
    <row r="79" spans="4:12" x14ac:dyDescent="0.35">
      <c r="D79" s="1"/>
      <c r="E79" s="1"/>
      <c r="F79" s="1"/>
      <c r="G79" s="1"/>
      <c r="H79" s="1"/>
      <c r="I79" s="1"/>
      <c r="J79" s="1"/>
      <c r="K79" s="1"/>
      <c r="L79" s="1"/>
    </row>
    <row r="80" spans="4:12" x14ac:dyDescent="0.35">
      <c r="D80" s="1"/>
      <c r="E80" s="1"/>
      <c r="F80" s="1"/>
      <c r="G80" s="1"/>
      <c r="H80" s="1"/>
      <c r="I80" s="1"/>
      <c r="J80" s="1"/>
      <c r="K80" s="1"/>
      <c r="L80" s="1"/>
    </row>
    <row r="81" spans="4:12" x14ac:dyDescent="0.35">
      <c r="D81" s="1"/>
      <c r="E81" s="1"/>
      <c r="F81" s="1"/>
      <c r="G81" s="1"/>
      <c r="H81" s="1"/>
      <c r="I81" s="1"/>
      <c r="J81" s="1"/>
      <c r="K81" s="1"/>
      <c r="L81" s="1"/>
    </row>
    <row r="82" spans="4:12" x14ac:dyDescent="0.35">
      <c r="D82" s="1"/>
      <c r="E82" s="1"/>
      <c r="F82" s="1"/>
      <c r="G82" s="1"/>
      <c r="H82" s="1"/>
      <c r="I82" s="1"/>
      <c r="J82" s="1"/>
      <c r="K82" s="1"/>
      <c r="L82" s="1"/>
    </row>
    <row r="83" spans="4:12" x14ac:dyDescent="0.35">
      <c r="D83" s="1"/>
      <c r="E83" s="1"/>
      <c r="F83" s="1"/>
      <c r="G83" s="1"/>
      <c r="H83" s="1"/>
      <c r="I83" s="1"/>
      <c r="J83" s="1"/>
      <c r="K83" s="1"/>
      <c r="L83" s="1"/>
    </row>
    <row r="84" spans="4:12" x14ac:dyDescent="0.35">
      <c r="D84" s="1"/>
      <c r="E84" s="1"/>
      <c r="F84" s="1"/>
      <c r="G84" s="1"/>
      <c r="H84" s="1"/>
      <c r="I84" s="1"/>
      <c r="J84" s="1"/>
      <c r="K84" s="1"/>
      <c r="L84" s="1"/>
    </row>
    <row r="85" spans="4:12" x14ac:dyDescent="0.35">
      <c r="D85" s="1"/>
      <c r="E85" s="1"/>
      <c r="F85" s="1"/>
      <c r="G85" s="1"/>
      <c r="H85" s="1"/>
      <c r="I85" s="1"/>
      <c r="J85" s="1"/>
      <c r="K85" s="1"/>
      <c r="L85" s="1"/>
    </row>
    <row r="86" spans="4:12" x14ac:dyDescent="0.35">
      <c r="D86" s="1"/>
      <c r="E86" s="1"/>
      <c r="F86" s="1"/>
      <c r="G86" s="1"/>
      <c r="H86" s="1"/>
      <c r="I86" s="1"/>
      <c r="J86" s="1"/>
      <c r="K86" s="1"/>
      <c r="L86" s="1"/>
    </row>
    <row r="87" spans="4:12" x14ac:dyDescent="0.35">
      <c r="D87" s="1"/>
      <c r="E87" s="1"/>
      <c r="F87" s="1"/>
      <c r="G87" s="1"/>
      <c r="H87" s="1"/>
      <c r="I87" s="1"/>
      <c r="J87" s="1"/>
      <c r="K87" s="1"/>
      <c r="L87" s="1"/>
    </row>
    <row r="88" spans="4:12" x14ac:dyDescent="0.35">
      <c r="D88" s="1"/>
      <c r="E88" s="1"/>
      <c r="F88" s="1"/>
      <c r="G88" s="1"/>
      <c r="H88" s="1"/>
      <c r="I88" s="1"/>
      <c r="J88" s="1"/>
      <c r="K88" s="1"/>
      <c r="L88" s="1"/>
    </row>
    <row r="89" spans="4:12" x14ac:dyDescent="0.35">
      <c r="D89" s="1"/>
      <c r="E89" s="1"/>
      <c r="F89" s="1"/>
      <c r="G89" s="1"/>
      <c r="H89" s="1"/>
      <c r="I89" s="1"/>
      <c r="J89" s="1"/>
      <c r="K89" s="1"/>
      <c r="L89" s="1"/>
    </row>
    <row r="90" spans="4:12" x14ac:dyDescent="0.35">
      <c r="D90" s="1"/>
      <c r="E90" s="1"/>
      <c r="F90" s="1"/>
      <c r="G90" s="1"/>
      <c r="H90" s="1"/>
      <c r="I90" s="1"/>
      <c r="J90" s="1"/>
      <c r="K90" s="1"/>
      <c r="L90" s="1"/>
    </row>
    <row r="91" spans="4:12" x14ac:dyDescent="0.35">
      <c r="D91" s="1"/>
      <c r="E91" s="1"/>
      <c r="F91" s="1"/>
      <c r="G91" s="1"/>
      <c r="H91" s="1"/>
      <c r="I91" s="1"/>
      <c r="J91" s="1"/>
      <c r="K91" s="1"/>
      <c r="L91" s="1"/>
    </row>
    <row r="92" spans="4:12" x14ac:dyDescent="0.35">
      <c r="D92" s="1"/>
      <c r="E92" s="1"/>
      <c r="F92" s="1"/>
      <c r="G92" s="1"/>
      <c r="H92" s="1"/>
      <c r="I92" s="1"/>
      <c r="J92" s="1"/>
      <c r="K92" s="1"/>
      <c r="L92" s="1"/>
    </row>
    <row r="93" spans="4:12" x14ac:dyDescent="0.35">
      <c r="D93" s="1"/>
      <c r="E93" s="1"/>
      <c r="F93" s="1"/>
      <c r="G93" s="1"/>
      <c r="H93" s="1"/>
      <c r="I93" s="1"/>
      <c r="J93" s="1"/>
      <c r="K93" s="1"/>
      <c r="L93" s="1"/>
    </row>
    <row r="94" spans="4:12" x14ac:dyDescent="0.35">
      <c r="D94" s="1"/>
      <c r="E94" s="1"/>
      <c r="F94" s="1"/>
      <c r="G94" s="1"/>
      <c r="H94" s="1"/>
      <c r="I94" s="1"/>
      <c r="J94" s="1"/>
      <c r="K94" s="1"/>
      <c r="L94" s="1"/>
    </row>
    <row r="95" spans="4:12" x14ac:dyDescent="0.35">
      <c r="D95" s="1"/>
      <c r="E95" s="1"/>
      <c r="F95" s="1"/>
      <c r="G95" s="1"/>
      <c r="H95" s="1"/>
      <c r="I95" s="1"/>
      <c r="J95" s="1"/>
      <c r="K95" s="1"/>
      <c r="L95" s="1"/>
    </row>
    <row r="96" spans="4:12" x14ac:dyDescent="0.35">
      <c r="D96" s="1"/>
      <c r="E96" s="1"/>
      <c r="F96" s="1"/>
      <c r="G96" s="1"/>
      <c r="H96" s="1"/>
      <c r="I96" s="1"/>
      <c r="J96" s="1"/>
      <c r="K96" s="1"/>
      <c r="L96" s="1"/>
    </row>
    <row r="97" spans="4:12" x14ac:dyDescent="0.35">
      <c r="D97" s="1"/>
      <c r="E97" s="1"/>
      <c r="F97" s="1"/>
      <c r="G97" s="1"/>
      <c r="H97" s="1"/>
      <c r="I97" s="1"/>
      <c r="J97" s="1"/>
      <c r="K97" s="1"/>
      <c r="L97" s="1"/>
    </row>
    <row r="98" spans="4:12" x14ac:dyDescent="0.35">
      <c r="D98" s="1"/>
      <c r="E98" s="1"/>
      <c r="F98" s="1"/>
      <c r="G98" s="1"/>
      <c r="H98" s="1"/>
      <c r="I98" s="1"/>
      <c r="J98" s="1"/>
      <c r="K98" s="1"/>
      <c r="L98" s="1"/>
    </row>
    <row r="99" spans="4:12" x14ac:dyDescent="0.35">
      <c r="D99" s="1"/>
      <c r="E99" s="1"/>
      <c r="F99" s="1"/>
      <c r="G99" s="1"/>
      <c r="H99" s="1"/>
      <c r="I99" s="1"/>
      <c r="J99" s="1"/>
      <c r="K99" s="1"/>
      <c r="L99" s="1"/>
    </row>
    <row r="100" spans="4:12" x14ac:dyDescent="0.35">
      <c r="D100" s="1"/>
      <c r="E100" s="1"/>
      <c r="F100" s="1"/>
      <c r="G100" s="1"/>
      <c r="H100" s="1"/>
      <c r="I100" s="1"/>
      <c r="J100" s="1"/>
      <c r="K100" s="1"/>
      <c r="L100" s="1"/>
    </row>
    <row r="101" spans="4:12" x14ac:dyDescent="0.35">
      <c r="D101" s="1"/>
      <c r="E101" s="1"/>
      <c r="F101" s="1"/>
      <c r="G101" s="1"/>
      <c r="H101" s="1"/>
      <c r="I101" s="1"/>
      <c r="J101" s="1"/>
      <c r="K101" s="1"/>
      <c r="L101" s="1"/>
    </row>
    <row r="102" spans="4:12" x14ac:dyDescent="0.35">
      <c r="D102" s="1"/>
      <c r="E102" s="1"/>
      <c r="F102" s="1"/>
      <c r="G102" s="1"/>
      <c r="H102" s="1"/>
      <c r="I102" s="1"/>
      <c r="J102" s="1"/>
      <c r="K102" s="1"/>
      <c r="L102" s="1"/>
    </row>
    <row r="103" spans="4:12" x14ac:dyDescent="0.35">
      <c r="D103" s="1"/>
      <c r="E103" s="1"/>
      <c r="F103" s="1"/>
      <c r="G103" s="1"/>
      <c r="H103" s="1"/>
      <c r="I103" s="1"/>
      <c r="J103" s="1"/>
      <c r="K103" s="1"/>
      <c r="L103" s="1"/>
    </row>
    <row r="104" spans="4:12" x14ac:dyDescent="0.35">
      <c r="D104" s="1"/>
      <c r="E104" s="1"/>
      <c r="F104" s="1"/>
      <c r="G104" s="1"/>
      <c r="H104" s="1"/>
      <c r="I104" s="1"/>
      <c r="J104" s="1"/>
      <c r="K104" s="1"/>
      <c r="L104" s="1"/>
    </row>
    <row r="105" spans="4:12" x14ac:dyDescent="0.35">
      <c r="D105" s="1"/>
      <c r="E105" s="1"/>
      <c r="F105" s="1"/>
      <c r="G105" s="1"/>
      <c r="H105" s="1"/>
      <c r="I105" s="1"/>
      <c r="J105" s="1"/>
      <c r="K105" s="1"/>
      <c r="L105" s="1"/>
    </row>
    <row r="106" spans="4:12" x14ac:dyDescent="0.35">
      <c r="D106" s="1"/>
      <c r="E106" s="1"/>
      <c r="F106" s="1"/>
      <c r="G106" s="1"/>
      <c r="H106" s="1"/>
      <c r="I106" s="1"/>
      <c r="J106" s="1"/>
      <c r="K106" s="1"/>
      <c r="L10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8D000-A88B-4CBC-82C4-75DB8440F958}">
  <dimension ref="B2:R69"/>
  <sheetViews>
    <sheetView tabSelected="1" zoomScale="80" zoomScaleNormal="80" workbookViewId="0">
      <pane ySplit="2" topLeftCell="A34" activePane="bottomLeft" state="frozen"/>
      <selection pane="bottomLeft" activeCell="F34" sqref="F34"/>
    </sheetView>
  </sheetViews>
  <sheetFormatPr defaultRowHeight="14.5" x14ac:dyDescent="0.35"/>
  <cols>
    <col min="2" max="2" width="65.26953125" bestFit="1" customWidth="1"/>
    <col min="4" max="4" width="11.08984375" bestFit="1" customWidth="1"/>
    <col min="17" max="17" width="11.54296875" style="1" bestFit="1" customWidth="1"/>
  </cols>
  <sheetData>
    <row r="2" spans="2:17" x14ac:dyDescent="0.35">
      <c r="B2" s="52" t="s">
        <v>26</v>
      </c>
      <c r="C2" s="53" t="s">
        <v>16</v>
      </c>
      <c r="D2" s="6" t="s">
        <v>17</v>
      </c>
      <c r="E2" s="6" t="s">
        <v>15</v>
      </c>
      <c r="F2" s="6" t="s">
        <v>18</v>
      </c>
      <c r="G2" s="6" t="s">
        <v>19</v>
      </c>
      <c r="H2" s="6" t="s">
        <v>20</v>
      </c>
      <c r="I2" s="6" t="s">
        <v>21</v>
      </c>
      <c r="J2" s="6" t="s">
        <v>23</v>
      </c>
      <c r="K2" s="6" t="s">
        <v>10</v>
      </c>
      <c r="L2" s="6" t="s">
        <v>11</v>
      </c>
      <c r="M2" s="6" t="s">
        <v>12</v>
      </c>
      <c r="N2" s="20" t="s">
        <v>33</v>
      </c>
      <c r="O2" s="20" t="s">
        <v>34</v>
      </c>
      <c r="P2" s="20" t="s">
        <v>35</v>
      </c>
      <c r="Q2" s="6" t="s">
        <v>29</v>
      </c>
    </row>
    <row r="3" spans="2:17" x14ac:dyDescent="0.35">
      <c r="B3" s="54" t="s">
        <v>22</v>
      </c>
      <c r="C3" s="55"/>
      <c r="D3" s="7">
        <v>37</v>
      </c>
      <c r="E3" s="7">
        <v>6</v>
      </c>
      <c r="F3" s="7">
        <v>57</v>
      </c>
      <c r="G3" s="7">
        <v>8</v>
      </c>
      <c r="H3" s="7">
        <v>20</v>
      </c>
      <c r="I3" s="7">
        <v>73</v>
      </c>
      <c r="J3" s="7">
        <v>24</v>
      </c>
      <c r="K3" s="7">
        <v>24</v>
      </c>
      <c r="L3" s="7">
        <v>87</v>
      </c>
      <c r="M3" s="7">
        <v>20</v>
      </c>
      <c r="N3" s="7">
        <v>0</v>
      </c>
      <c r="O3" s="7">
        <v>0</v>
      </c>
      <c r="P3" s="7">
        <v>0</v>
      </c>
      <c r="Q3" s="56">
        <f>SUM(D3:P3)</f>
        <v>356</v>
      </c>
    </row>
    <row r="4" spans="2:17" x14ac:dyDescent="0.35">
      <c r="B4" s="54" t="s">
        <v>72</v>
      </c>
      <c r="C4" s="55"/>
      <c r="D4" s="44">
        <f>D3/$Q$3</f>
        <v>0.10393258426966293</v>
      </c>
      <c r="E4" s="44">
        <f t="shared" ref="E4:P4" si="0">E3/$Q$3</f>
        <v>1.6853932584269662E-2</v>
      </c>
      <c r="F4" s="44">
        <f t="shared" si="0"/>
        <v>0.1601123595505618</v>
      </c>
      <c r="G4" s="44">
        <f t="shared" si="0"/>
        <v>2.247191011235955E-2</v>
      </c>
      <c r="H4" s="44">
        <f t="shared" si="0"/>
        <v>5.6179775280898875E-2</v>
      </c>
      <c r="I4" s="44">
        <f t="shared" si="0"/>
        <v>0.2050561797752809</v>
      </c>
      <c r="J4" s="44">
        <f t="shared" si="0"/>
        <v>6.741573033707865E-2</v>
      </c>
      <c r="K4" s="44">
        <f t="shared" si="0"/>
        <v>6.741573033707865E-2</v>
      </c>
      <c r="L4" s="44">
        <f t="shared" si="0"/>
        <v>0.2443820224719101</v>
      </c>
      <c r="M4" s="44">
        <f t="shared" si="0"/>
        <v>5.6179775280898875E-2</v>
      </c>
      <c r="N4" s="44">
        <f t="shared" si="0"/>
        <v>0</v>
      </c>
      <c r="O4" s="44">
        <f t="shared" si="0"/>
        <v>0</v>
      </c>
      <c r="P4" s="44">
        <f t="shared" si="0"/>
        <v>0</v>
      </c>
      <c r="Q4" s="51">
        <f>SUM(D4:P4)</f>
        <v>1</v>
      </c>
    </row>
    <row r="5" spans="2:17" s="46" customFormat="1" x14ac:dyDescent="0.35">
      <c r="B5" s="39" t="s">
        <v>73</v>
      </c>
      <c r="C5" s="57"/>
      <c r="D5" s="71">
        <f>D6/$Q$3</f>
        <v>0.12078651685393259</v>
      </c>
      <c r="E5" s="71"/>
      <c r="F5" s="71">
        <f>F6/$Q$3</f>
        <v>0.18258426966292135</v>
      </c>
      <c r="G5" s="71"/>
      <c r="H5" s="45">
        <f>H6/Q3</f>
        <v>5.6179775280898875E-2</v>
      </c>
      <c r="I5" s="71">
        <f>I6/Q3</f>
        <v>0.27247191011235955</v>
      </c>
      <c r="J5" s="71"/>
      <c r="K5" s="44">
        <f>K6/Q3</f>
        <v>6.741573033707865E-2</v>
      </c>
      <c r="L5" s="44">
        <f>L6/Q3</f>
        <v>0.2443820224719101</v>
      </c>
      <c r="M5" s="44">
        <f>M6/Q3</f>
        <v>5.6179775280898875E-2</v>
      </c>
      <c r="N5" s="44"/>
      <c r="O5" s="44"/>
      <c r="P5" s="44"/>
      <c r="Q5" s="51">
        <f>SUM(D5:P5)</f>
        <v>1</v>
      </c>
    </row>
    <row r="6" spans="2:17" x14ac:dyDescent="0.35">
      <c r="B6" s="8" t="s">
        <v>28</v>
      </c>
      <c r="C6" s="5"/>
      <c r="D6" s="72">
        <f>D3+E3</f>
        <v>43</v>
      </c>
      <c r="E6" s="72"/>
      <c r="F6" s="72">
        <f>F3+G3</f>
        <v>65</v>
      </c>
      <c r="G6" s="72"/>
      <c r="H6" s="29">
        <f>H3</f>
        <v>20</v>
      </c>
      <c r="I6" s="73">
        <v>97</v>
      </c>
      <c r="J6" s="73"/>
      <c r="K6" s="29">
        <f t="shared" ref="K6:L6" si="1">K3</f>
        <v>24</v>
      </c>
      <c r="L6" s="29">
        <f t="shared" si="1"/>
        <v>87</v>
      </c>
      <c r="M6" s="29">
        <v>20</v>
      </c>
      <c r="N6" s="29">
        <f>N3</f>
        <v>0</v>
      </c>
      <c r="O6" s="29">
        <f t="shared" ref="O6:P6" si="2">O3</f>
        <v>0</v>
      </c>
      <c r="P6" s="29">
        <f t="shared" si="2"/>
        <v>0</v>
      </c>
      <c r="Q6" s="51">
        <f t="shared" ref="Q6:Q7" si="3">SUM(D6:P6)</f>
        <v>356</v>
      </c>
    </row>
    <row r="7" spans="2:17" x14ac:dyDescent="0.35">
      <c r="B7" s="4" t="s">
        <v>75</v>
      </c>
      <c r="C7" s="4">
        <f>D3+F3+G3+H3+I3</f>
        <v>195</v>
      </c>
      <c r="D7" s="50">
        <f>D3/$C$7</f>
        <v>0.18974358974358974</v>
      </c>
      <c r="E7" s="50"/>
      <c r="F7" s="50">
        <f t="shared" ref="F7:I7" si="4">F3/$C$7</f>
        <v>0.29230769230769232</v>
      </c>
      <c r="G7" s="50">
        <f t="shared" si="4"/>
        <v>4.1025641025641026E-2</v>
      </c>
      <c r="H7" s="50">
        <f t="shared" si="4"/>
        <v>0.10256410256410256</v>
      </c>
      <c r="I7" s="50">
        <f t="shared" si="4"/>
        <v>0.37435897435897436</v>
      </c>
      <c r="J7" s="50"/>
      <c r="K7" s="50"/>
      <c r="L7" s="50"/>
      <c r="M7" s="50"/>
      <c r="N7" s="50"/>
      <c r="O7" s="50"/>
      <c r="P7" s="50"/>
      <c r="Q7" s="51">
        <f t="shared" si="3"/>
        <v>1</v>
      </c>
    </row>
    <row r="8" spans="2:17" x14ac:dyDescent="0.35">
      <c r="B8" s="49" t="s">
        <v>74</v>
      </c>
    </row>
    <row r="9" spans="2:17" x14ac:dyDescent="0.35">
      <c r="B9" s="4" t="s">
        <v>24</v>
      </c>
      <c r="C9" s="18">
        <f t="shared" ref="C9:C15" si="5">SUM(D9:P9)</f>
        <v>12</v>
      </c>
      <c r="D9" s="69">
        <f>D5*INPUTS!$D$6</f>
        <v>1.449438202247191</v>
      </c>
      <c r="E9" s="69"/>
      <c r="F9" s="69">
        <f>F5*INPUTS!$D$6</f>
        <v>2.191011235955056</v>
      </c>
      <c r="G9" s="69"/>
      <c r="H9" s="30">
        <f>H5*INPUTS!$D$6</f>
        <v>0.6741573033707865</v>
      </c>
      <c r="I9" s="69">
        <f>I5*INPUTS!$D$6</f>
        <v>3.2696629213483144</v>
      </c>
      <c r="J9" s="69"/>
      <c r="K9" s="30">
        <f>K5*INPUTS!$D$6</f>
        <v>0.8089887640449438</v>
      </c>
      <c r="L9" s="30">
        <f>L5*INPUTS!$D$6</f>
        <v>2.9325842696629212</v>
      </c>
      <c r="M9" s="30">
        <f>M5*INPUTS!$D$6</f>
        <v>0.6741573033707865</v>
      </c>
      <c r="N9" s="30">
        <f>N5*INPUTS!$D$6</f>
        <v>0</v>
      </c>
      <c r="O9" s="30">
        <f>O5*INPUTS!$D$6</f>
        <v>0</v>
      </c>
      <c r="P9" s="30">
        <f>P5*INPUTS!$D$6</f>
        <v>0</v>
      </c>
    </row>
    <row r="10" spans="2:17" x14ac:dyDescent="0.35">
      <c r="B10" s="4" t="s">
        <v>83</v>
      </c>
      <c r="C10" s="18">
        <f t="shared" si="5"/>
        <v>0</v>
      </c>
      <c r="D10" s="70">
        <v>0</v>
      </c>
      <c r="E10" s="70"/>
      <c r="F10" s="70">
        <v>0</v>
      </c>
      <c r="G10" s="70"/>
      <c r="H10" s="28">
        <v>0</v>
      </c>
      <c r="I10" s="70">
        <v>0</v>
      </c>
      <c r="J10" s="70"/>
      <c r="K10" s="28">
        <v>0</v>
      </c>
      <c r="L10" s="28">
        <v>0</v>
      </c>
      <c r="M10" s="28">
        <v>0</v>
      </c>
      <c r="N10" s="25">
        <v>0</v>
      </c>
      <c r="O10" s="25">
        <v>0</v>
      </c>
      <c r="P10" s="25">
        <v>0</v>
      </c>
    </row>
    <row r="11" spans="2:17" x14ac:dyDescent="0.35">
      <c r="B11" s="4" t="s">
        <v>82</v>
      </c>
      <c r="C11" s="18">
        <f t="shared" si="5"/>
        <v>2</v>
      </c>
      <c r="D11" s="32">
        <v>2</v>
      </c>
      <c r="E11" s="32">
        <v>0</v>
      </c>
      <c r="F11" s="32">
        <v>0</v>
      </c>
      <c r="G11" s="32">
        <v>0</v>
      </c>
      <c r="H11" s="32">
        <v>0</v>
      </c>
      <c r="I11" s="32">
        <v>0</v>
      </c>
      <c r="J11" s="32">
        <v>0</v>
      </c>
      <c r="K11" s="32">
        <v>0</v>
      </c>
      <c r="L11" s="32">
        <v>0</v>
      </c>
      <c r="M11" s="32">
        <v>0</v>
      </c>
      <c r="N11" s="25">
        <v>0</v>
      </c>
      <c r="O11" s="25">
        <v>0</v>
      </c>
      <c r="P11" s="25">
        <v>0</v>
      </c>
    </row>
    <row r="12" spans="2:17" x14ac:dyDescent="0.35">
      <c r="B12" s="4" t="s">
        <v>37</v>
      </c>
      <c r="C12" s="19">
        <f t="shared" si="5"/>
        <v>2</v>
      </c>
      <c r="D12" s="68">
        <f>D5*INPUTS!$D$5</f>
        <v>0.24157303370786518</v>
      </c>
      <c r="E12" s="68"/>
      <c r="F12" s="68">
        <f>F5*INPUTS!$D$5</f>
        <v>0.3651685393258427</v>
      </c>
      <c r="G12" s="68"/>
      <c r="H12" s="48">
        <f>H5*INPUTS!$D$5</f>
        <v>0.11235955056179775</v>
      </c>
      <c r="I12" s="68">
        <f>I5*INPUTS!$D$5</f>
        <v>0.5449438202247191</v>
      </c>
      <c r="J12" s="68"/>
      <c r="K12" s="48">
        <f>K5*INPUTS!$D$5</f>
        <v>0.1348314606741573</v>
      </c>
      <c r="L12" s="48">
        <f>L5*INPUTS!$D$5</f>
        <v>0.4887640449438202</v>
      </c>
      <c r="M12" s="48">
        <f>M5*INPUTS!$D$5</f>
        <v>0.11235955056179775</v>
      </c>
      <c r="N12" s="48">
        <f>N5*INPUTS!$D$5</f>
        <v>0</v>
      </c>
      <c r="O12" s="48">
        <f>O5*INPUTS!$D$5</f>
        <v>0</v>
      </c>
      <c r="P12" s="48">
        <f>P5*INPUTS!$D$5</f>
        <v>0</v>
      </c>
    </row>
    <row r="13" spans="2:17" x14ac:dyDescent="0.35">
      <c r="B13" s="4" t="s">
        <v>25</v>
      </c>
      <c r="C13" s="19">
        <f t="shared" si="5"/>
        <v>8</v>
      </c>
      <c r="D13" s="48">
        <f>INPUTS!$D$14*D4</f>
        <v>0.8314606741573034</v>
      </c>
      <c r="E13" s="48">
        <f>INPUTS!$D$14*E4</f>
        <v>0.1348314606741573</v>
      </c>
      <c r="F13" s="48">
        <f>INPUTS!$D$14*F4</f>
        <v>1.2808988764044944</v>
      </c>
      <c r="G13" s="48">
        <f>INPUTS!$D$14*G4</f>
        <v>0.1797752808988764</v>
      </c>
      <c r="H13" s="48">
        <f>INPUTS!$D$14*H4</f>
        <v>0.449438202247191</v>
      </c>
      <c r="I13" s="48">
        <f>INPUTS!$D$14*I4</f>
        <v>1.6404494382022472</v>
      </c>
      <c r="J13" s="48">
        <f>INPUTS!$D$14*J4</f>
        <v>0.5393258426966292</v>
      </c>
      <c r="K13" s="48">
        <f>INPUTS!$D$14*K4</f>
        <v>0.5393258426966292</v>
      </c>
      <c r="L13" s="48">
        <f>INPUTS!$D$14*L4</f>
        <v>1.9550561797752808</v>
      </c>
      <c r="M13" s="48">
        <f>INPUTS!$D$14*M4</f>
        <v>0.449438202247191</v>
      </c>
      <c r="N13" s="48">
        <f>INPUTS!$D$14*N4</f>
        <v>0</v>
      </c>
      <c r="O13" s="48">
        <f>INPUTS!$D$14*O4</f>
        <v>0</v>
      </c>
      <c r="P13" s="48">
        <f>INPUTS!$D$14*P4</f>
        <v>0</v>
      </c>
    </row>
    <row r="14" spans="2:17" x14ac:dyDescent="0.35">
      <c r="B14" s="4" t="s">
        <v>25</v>
      </c>
      <c r="C14" s="19">
        <f t="shared" si="5"/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5">
        <v>0</v>
      </c>
      <c r="O14" s="25">
        <v>0</v>
      </c>
      <c r="P14" s="25">
        <v>0</v>
      </c>
    </row>
    <row r="15" spans="2:17" x14ac:dyDescent="0.35">
      <c r="B15" s="9" t="s">
        <v>27</v>
      </c>
      <c r="C15" s="19">
        <f t="shared" si="5"/>
        <v>0</v>
      </c>
      <c r="D15" s="32">
        <v>0</v>
      </c>
      <c r="E15" s="32">
        <v>0</v>
      </c>
      <c r="F15" s="32">
        <v>0</v>
      </c>
      <c r="G15" s="32">
        <v>0</v>
      </c>
      <c r="H15" s="32">
        <v>0</v>
      </c>
      <c r="I15" s="32">
        <v>0</v>
      </c>
      <c r="J15" s="32">
        <v>0</v>
      </c>
      <c r="K15" s="32">
        <v>0</v>
      </c>
      <c r="L15" s="32">
        <v>0</v>
      </c>
      <c r="M15" s="32">
        <v>0</v>
      </c>
      <c r="N15" s="32">
        <v>0</v>
      </c>
      <c r="O15" s="32">
        <v>0</v>
      </c>
      <c r="P15" s="32">
        <v>0</v>
      </c>
    </row>
    <row r="17" spans="2:18" x14ac:dyDescent="0.35">
      <c r="B17" s="3" t="s">
        <v>76</v>
      </c>
    </row>
    <row r="18" spans="2:18" x14ac:dyDescent="0.35">
      <c r="B18" t="s">
        <v>77</v>
      </c>
      <c r="D18" s="10">
        <f>D4*INPUTS!$F$4</f>
        <v>3127.3314606741574</v>
      </c>
      <c r="E18" s="10">
        <f>E4*INPUTS!$F$4</f>
        <v>507.13483146067415</v>
      </c>
      <c r="F18" s="10">
        <f>F4*INPUTS!$F$4</f>
        <v>4817.7808988764045</v>
      </c>
      <c r="G18" s="10">
        <f>G4*INPUTS!$F$4</f>
        <v>676.17977528089887</v>
      </c>
      <c r="H18" s="10">
        <f>H4*INPUTS!$F$4</f>
        <v>1690.4494382022472</v>
      </c>
      <c r="I18" s="10">
        <f>I4*INPUTS!$F$4</f>
        <v>6170.1404494382023</v>
      </c>
      <c r="J18" s="10">
        <f>J4*INPUTS!$F$4</f>
        <v>2028.5393258426966</v>
      </c>
      <c r="K18" s="10">
        <f>K4*INPUTS!$F$4</f>
        <v>2028.5393258426966</v>
      </c>
      <c r="L18" s="10">
        <f>L4*INPUTS!$F$4</f>
        <v>7353.4550561797751</v>
      </c>
      <c r="M18" s="10">
        <f>M4*INPUTS!$F$4</f>
        <v>1690.4494382022472</v>
      </c>
      <c r="N18" s="10">
        <f>N4*INPUTS!$F$4</f>
        <v>0</v>
      </c>
      <c r="O18" s="10">
        <f>O4*INPUTS!$F$4</f>
        <v>0</v>
      </c>
      <c r="P18" s="10">
        <f>P4*INPUTS!$F$4</f>
        <v>0</v>
      </c>
      <c r="Q18" s="10">
        <f>SUM(D18:P18)</f>
        <v>30090</v>
      </c>
      <c r="R18" s="10"/>
    </row>
    <row r="19" spans="2:18" x14ac:dyDescent="0.35">
      <c r="B19" t="s">
        <v>78</v>
      </c>
      <c r="D19" s="10">
        <f>D4*INPUTS!$F$5</f>
        <v>3679.2134831460676</v>
      </c>
      <c r="E19" s="10">
        <f>E4*INPUTS!$F$5</f>
        <v>596.62921348314603</v>
      </c>
      <c r="F19" s="10">
        <f>F4*INPUTS!$F$5</f>
        <v>5667.9775280898875</v>
      </c>
      <c r="G19" s="10">
        <f>G4*INPUTS!$F$5</f>
        <v>795.50561797752812</v>
      </c>
      <c r="H19" s="10">
        <f>H4*INPUTS!$F$5</f>
        <v>1988.7640449438202</v>
      </c>
      <c r="I19" s="10">
        <f>I4*INPUTS!$F$5</f>
        <v>7258.9887640449442</v>
      </c>
      <c r="J19" s="10">
        <f>J4*INPUTS!$F$5</f>
        <v>2386.5168539325841</v>
      </c>
      <c r="K19" s="10">
        <f>K4*INPUTS!$F$5</f>
        <v>2386.5168539325841</v>
      </c>
      <c r="L19" s="10">
        <f>L4*INPUTS!$F$5</f>
        <v>8651.1235955056181</v>
      </c>
      <c r="M19" s="10">
        <f>M4*INPUTS!$F$5</f>
        <v>1988.7640449438202</v>
      </c>
      <c r="N19" s="10">
        <f>N4*INPUTS!$F$5</f>
        <v>0</v>
      </c>
      <c r="O19" s="10">
        <f>O4*INPUTS!$F$5</f>
        <v>0</v>
      </c>
      <c r="P19" s="10">
        <f>P4*INPUTS!$F$5</f>
        <v>0</v>
      </c>
      <c r="Q19" s="10">
        <f t="shared" ref="Q19:Q34" si="6">SUM(D19:P19)</f>
        <v>35399.999999999993</v>
      </c>
      <c r="R19" s="10"/>
    </row>
    <row r="20" spans="2:18" x14ac:dyDescent="0.35">
      <c r="B20" t="s">
        <v>79</v>
      </c>
      <c r="D20" s="10">
        <f>$C$9*D4*INPUTS!$E$6</f>
        <v>19867.752808988767</v>
      </c>
      <c r="E20" s="10">
        <f>$C$9*E4*INPUTS!$E$6</f>
        <v>3221.7977528089887</v>
      </c>
      <c r="F20" s="10">
        <f>$C$9*F4*INPUTS!$E$6</f>
        <v>30607.078651685395</v>
      </c>
      <c r="G20" s="10">
        <f>$C$9*G4*INPUTS!$E$6</f>
        <v>4295.7303370786512</v>
      </c>
      <c r="H20" s="10">
        <f>$C$9*H4*INPUTS!$E$6</f>
        <v>10739.325842696629</v>
      </c>
      <c r="I20" s="10">
        <f>$C$9*I4*INPUTS!$E$6</f>
        <v>39198.539325842699</v>
      </c>
      <c r="J20" s="10">
        <f>$C$9*J4*INPUTS!$E$6</f>
        <v>12887.191011235955</v>
      </c>
      <c r="K20" s="10">
        <f>$C$9*K4*INPUTS!$E$6</f>
        <v>12887.191011235955</v>
      </c>
      <c r="L20" s="10">
        <f>$C$9*L4*INPUTS!$E$6</f>
        <v>46716.067415730337</v>
      </c>
      <c r="M20" s="10">
        <f>$C$9*M4*INPUTS!$E$6</f>
        <v>10739.325842696629</v>
      </c>
      <c r="N20" s="10">
        <f>$C$9*N4*INPUTS!$E$6</f>
        <v>0</v>
      </c>
      <c r="O20" s="10">
        <f>$C$9*O4*INPUTS!$E$6</f>
        <v>0</v>
      </c>
      <c r="P20" s="10">
        <f>$C$9*P4*INPUTS!$E$6</f>
        <v>0</v>
      </c>
      <c r="Q20" s="10">
        <f t="shared" si="6"/>
        <v>191160</v>
      </c>
      <c r="R20" s="10"/>
    </row>
    <row r="21" spans="2:18" x14ac:dyDescent="0.35">
      <c r="B21" t="s">
        <v>4</v>
      </c>
      <c r="D21" s="10">
        <f>D13*INPUTS!$E$14</f>
        <v>6443.8202247191011</v>
      </c>
      <c r="E21" s="10">
        <f>E13*INPUTS!$E$14</f>
        <v>1044.943820224719</v>
      </c>
      <c r="F21" s="10">
        <f>F13*INPUTS!$E$14</f>
        <v>9926.9662921348317</v>
      </c>
      <c r="G21" s="10">
        <f>G13*INPUTS!$E$14</f>
        <v>1393.2584269662921</v>
      </c>
      <c r="H21" s="10">
        <f>H13*INPUTS!$E$14</f>
        <v>3483.1460674157302</v>
      </c>
      <c r="I21" s="10">
        <f>I13*INPUTS!$E$14</f>
        <v>12713.483146067416</v>
      </c>
      <c r="J21" s="10">
        <f>J13*INPUTS!$E$14</f>
        <v>4179.7752808988762</v>
      </c>
      <c r="K21" s="10">
        <f>K13*INPUTS!$E$14</f>
        <v>4179.7752808988762</v>
      </c>
      <c r="L21" s="10">
        <f>L13*INPUTS!$E$14</f>
        <v>15151.685393258425</v>
      </c>
      <c r="M21" s="10">
        <f>M13*INPUTS!$E$14</f>
        <v>3483.1460674157302</v>
      </c>
      <c r="N21" s="10">
        <f>N13*INPUTS!$E$14</f>
        <v>0</v>
      </c>
      <c r="O21" s="10">
        <f>O13*INPUTS!$E$14</f>
        <v>0</v>
      </c>
      <c r="P21" s="10">
        <f>P13*INPUTS!$E$14</f>
        <v>0</v>
      </c>
      <c r="Q21" s="10">
        <f t="shared" si="6"/>
        <v>61999.999999999993</v>
      </c>
      <c r="R21" s="10"/>
    </row>
    <row r="22" spans="2:18" x14ac:dyDescent="0.35">
      <c r="B22" t="s">
        <v>103</v>
      </c>
      <c r="D22" s="10">
        <f>INPUTS!$F$13*CALCULATIONS!D4</f>
        <v>3273.8764044943823</v>
      </c>
      <c r="E22" s="10">
        <f>INPUTS!$F$13*CALCULATIONS!E4</f>
        <v>530.89887640449433</v>
      </c>
      <c r="F22" s="10">
        <f>INPUTS!$F$13*CALCULATIONS!F4</f>
        <v>5043.5393258426966</v>
      </c>
      <c r="G22" s="10">
        <f>INPUTS!$F$13*CALCULATIONS!G4</f>
        <v>707.86516853932585</v>
      </c>
      <c r="H22" s="10">
        <f>INPUTS!$F$13*CALCULATIONS!H4</f>
        <v>1769.6629213483145</v>
      </c>
      <c r="I22" s="10">
        <f>INPUTS!$F$13*CALCULATIONS!I4</f>
        <v>6459.2696629213488</v>
      </c>
      <c r="J22" s="10">
        <f>INPUTS!$F$13*CALCULATIONS!J4</f>
        <v>2123.5955056179773</v>
      </c>
      <c r="K22" s="10">
        <f>INPUTS!$F$13*CALCULATIONS!K4</f>
        <v>2123.5955056179773</v>
      </c>
      <c r="L22" s="10">
        <f>INPUTS!$F$13*CALCULATIONS!L4</f>
        <v>7698.0337078651683</v>
      </c>
      <c r="M22" s="10">
        <f>INPUTS!$F$13*CALCULATIONS!M4</f>
        <v>1769.6629213483145</v>
      </c>
      <c r="N22" s="10">
        <f>INPUTS!$F$13*CALCULATIONS!N4</f>
        <v>0</v>
      </c>
      <c r="O22" s="10">
        <f>INPUTS!$F$13*CALCULATIONS!O4</f>
        <v>0</v>
      </c>
      <c r="P22" s="10">
        <f>INPUTS!$F$13*CALCULATIONS!P4</f>
        <v>0</v>
      </c>
      <c r="Q22" s="10">
        <f t="shared" si="6"/>
        <v>31499.999999999996</v>
      </c>
      <c r="R22" s="10"/>
    </row>
    <row r="23" spans="2:18" x14ac:dyDescent="0.35">
      <c r="B23" t="s">
        <v>80</v>
      </c>
      <c r="D23" s="10">
        <f>SUM(INPUTS!$F$10:$F$12)*CALCULATIONS!D4</f>
        <v>7067.4157303370794</v>
      </c>
      <c r="E23" s="10">
        <f>SUM(INPUTS!$F$10:$F$12)*CALCULATIONS!E4</f>
        <v>1146.067415730337</v>
      </c>
      <c r="F23" s="10">
        <f>SUM(INPUTS!$F$10:$F$12)*CALCULATIONS!F4</f>
        <v>10887.640449438202</v>
      </c>
      <c r="G23" s="10">
        <f>SUM(INPUTS!$F$10:$F$12)*CALCULATIONS!G4</f>
        <v>1528.0898876404494</v>
      </c>
      <c r="H23" s="10">
        <f>SUM(INPUTS!$F$10:$F$12)*CALCULATIONS!H4</f>
        <v>3820.2247191011234</v>
      </c>
      <c r="I23" s="10">
        <f>SUM(INPUTS!$F$10:$F$12)*CALCULATIONS!I4</f>
        <v>13943.820224719102</v>
      </c>
      <c r="J23" s="10">
        <f>SUM(INPUTS!$F$10:$F$12)*CALCULATIONS!J4</f>
        <v>4584.2696629213478</v>
      </c>
      <c r="K23" s="10">
        <f>SUM(INPUTS!$F$10:$F$12)*CALCULATIONS!K4</f>
        <v>4584.2696629213478</v>
      </c>
      <c r="L23" s="10">
        <f>SUM(INPUTS!$F$10:$F$12)*CALCULATIONS!L4</f>
        <v>16617.977528089887</v>
      </c>
      <c r="M23" s="10">
        <f>SUM(INPUTS!$F$10:$F$12)*CALCULATIONS!M4</f>
        <v>3820.2247191011234</v>
      </c>
      <c r="N23" s="10">
        <f>SUM(INPUTS!$F$10:$F$12)*CALCULATIONS!N4</f>
        <v>0</v>
      </c>
      <c r="O23" s="10">
        <f>SUM(INPUTS!$F$10:$F$12)*CALCULATIONS!O4</f>
        <v>0</v>
      </c>
      <c r="P23" s="10">
        <f>SUM(INPUTS!$F$10:$F$12)*CALCULATIONS!P4</f>
        <v>0</v>
      </c>
      <c r="Q23" s="10">
        <f t="shared" si="6"/>
        <v>68000</v>
      </c>
      <c r="R23" s="10"/>
    </row>
    <row r="24" spans="2:18" x14ac:dyDescent="0.35">
      <c r="B24" t="str">
        <f>INPUTS!C19</f>
        <v>Garbage</v>
      </c>
      <c r="D24" s="10">
        <f>INPUTS!$D$19*CALCULATIONS!D4</f>
        <v>5755.9943820224726</v>
      </c>
      <c r="E24" s="10">
        <f>INPUTS!$D$19*CALCULATIONS!E4</f>
        <v>933.40449438202245</v>
      </c>
      <c r="F24" s="10">
        <f>INPUTS!$D$19*CALCULATIONS!F4</f>
        <v>8867.3426966292136</v>
      </c>
      <c r="G24" s="10">
        <f>INPUTS!$D$19*CALCULATIONS!G4</f>
        <v>1244.5393258426966</v>
      </c>
      <c r="H24" s="10">
        <f>INPUTS!$D$19*CALCULATIONS!H4</f>
        <v>3111.3483146067415</v>
      </c>
      <c r="I24" s="10">
        <f>INPUTS!$D$19*CALCULATIONS!I4</f>
        <v>11356.421348314607</v>
      </c>
      <c r="J24" s="10">
        <f>INPUTS!$D$19*CALCULATIONS!J4</f>
        <v>3733.6179775280898</v>
      </c>
      <c r="K24" s="10">
        <f>INPUTS!$D$19*CALCULATIONS!K4</f>
        <v>3733.6179775280898</v>
      </c>
      <c r="L24" s="10">
        <f>INPUTS!$D$19*CALCULATIONS!L4</f>
        <v>13534.365168539325</v>
      </c>
      <c r="M24" s="10">
        <f>INPUTS!$D$19*CALCULATIONS!M4</f>
        <v>3111.3483146067415</v>
      </c>
      <c r="N24" s="10">
        <f>INPUTS!$D$19*CALCULATIONS!N4</f>
        <v>0</v>
      </c>
      <c r="O24" s="10">
        <f>INPUTS!$D$19*CALCULATIONS!O4</f>
        <v>0</v>
      </c>
      <c r="P24" s="10">
        <f>INPUTS!$D$19*CALCULATIONS!P4</f>
        <v>0</v>
      </c>
      <c r="Q24" s="10">
        <f t="shared" si="6"/>
        <v>55382.000000000007</v>
      </c>
      <c r="R24" s="10"/>
    </row>
    <row r="25" spans="2:18" x14ac:dyDescent="0.35">
      <c r="B25" t="str">
        <f>INPUTS!C20</f>
        <v>Diesel (Generator)</v>
      </c>
      <c r="D25" s="10">
        <f>INPUTS!$D$20*CALCULATIONS!D4</f>
        <v>1751.9915730337079</v>
      </c>
      <c r="E25" s="10">
        <f>INPUTS!$D$20*CALCULATIONS!E4</f>
        <v>284.10674157303367</v>
      </c>
      <c r="F25" s="10">
        <f>INPUTS!$D$20*CALCULATIONS!F4</f>
        <v>2699.0140449438204</v>
      </c>
      <c r="G25" s="10">
        <f>INPUTS!$D$20*CALCULATIONS!G4</f>
        <v>378.80898876404495</v>
      </c>
      <c r="H25" s="10">
        <f>INPUTS!$D$20*CALCULATIONS!H4</f>
        <v>947.02247191011236</v>
      </c>
      <c r="I25" s="10">
        <f>INPUTS!$D$20*CALCULATIONS!I4</f>
        <v>3456.6320224719102</v>
      </c>
      <c r="J25" s="10">
        <f>INPUTS!$D$20*CALCULATIONS!J4</f>
        <v>1136.4269662921347</v>
      </c>
      <c r="K25" s="10">
        <f>INPUTS!$D$20*CALCULATIONS!K4</f>
        <v>1136.4269662921347</v>
      </c>
      <c r="L25" s="10">
        <f>INPUTS!$D$20*CALCULATIONS!L4</f>
        <v>4119.5477528089887</v>
      </c>
      <c r="M25" s="10">
        <f>INPUTS!$D$20*CALCULATIONS!M4</f>
        <v>947.02247191011236</v>
      </c>
      <c r="N25" s="10">
        <f>INPUTS!$D$20*CALCULATIONS!N4</f>
        <v>0</v>
      </c>
      <c r="O25" s="10">
        <f>INPUTS!$D$20*CALCULATIONS!O4</f>
        <v>0</v>
      </c>
      <c r="P25" s="10">
        <f>INPUTS!$D$20*CALCULATIONS!P4</f>
        <v>0</v>
      </c>
      <c r="Q25" s="10">
        <f t="shared" si="6"/>
        <v>16857</v>
      </c>
      <c r="R25" s="10"/>
    </row>
    <row r="26" spans="2:18" x14ac:dyDescent="0.35">
      <c r="B26" t="str">
        <f>INPUTS!C21</f>
        <v>Generator AMC</v>
      </c>
      <c r="D26" s="10">
        <f>INPUTS!$D$21*CALCULATIONS!D4</f>
        <v>1786.7050561797753</v>
      </c>
      <c r="E26" s="10">
        <f>INPUTS!$D$21*CALCULATIONS!E4</f>
        <v>289.73595505617976</v>
      </c>
      <c r="F26" s="10">
        <f>INPUTS!$D$21*CALCULATIONS!F4</f>
        <v>2752.4915730337079</v>
      </c>
      <c r="G26" s="10">
        <f>INPUTS!$D$21*CALCULATIONS!G4</f>
        <v>386.31460674157302</v>
      </c>
      <c r="H26" s="10">
        <f>INPUTS!$D$21*CALCULATIONS!H4</f>
        <v>965.78651685393254</v>
      </c>
      <c r="I26" s="10">
        <f>INPUTS!$D$21*CALCULATIONS!I4</f>
        <v>3525.120786516854</v>
      </c>
      <c r="J26" s="10">
        <f>INPUTS!$D$21*CALCULATIONS!J4</f>
        <v>1158.943820224719</v>
      </c>
      <c r="K26" s="10">
        <f>INPUTS!$D$21*CALCULATIONS!K4</f>
        <v>1158.943820224719</v>
      </c>
      <c r="L26" s="10">
        <f>INPUTS!$D$21*CALCULATIONS!L4</f>
        <v>4201.1713483146068</v>
      </c>
      <c r="M26" s="10">
        <f>INPUTS!$D$21*CALCULATIONS!M4</f>
        <v>965.78651685393254</v>
      </c>
      <c r="N26" s="10">
        <f>INPUTS!$D$21*CALCULATIONS!N4</f>
        <v>0</v>
      </c>
      <c r="O26" s="10">
        <f>INPUTS!$D$21*CALCULATIONS!O4</f>
        <v>0</v>
      </c>
      <c r="P26" s="10">
        <f>INPUTS!$D$21*CALCULATIONS!P4</f>
        <v>0</v>
      </c>
      <c r="Q26" s="10">
        <f t="shared" si="6"/>
        <v>17191</v>
      </c>
      <c r="R26" s="10"/>
    </row>
    <row r="27" spans="2:18" x14ac:dyDescent="0.35">
      <c r="B27" t="str">
        <f>INPUTS!C22</f>
        <v>Portal - Common Floor/ ADDA Maintenance</v>
      </c>
      <c r="D27" s="10">
        <f>INPUTS!$D$22*CALCULATIONS!D4</f>
        <v>993.38764044943821</v>
      </c>
      <c r="E27" s="10">
        <f>INPUTS!$D$22*CALCULATIONS!E4</f>
        <v>161.08988764044943</v>
      </c>
      <c r="F27" s="10">
        <f>INPUTS!$D$22*CALCULATIONS!F4</f>
        <v>1530.3539325842696</v>
      </c>
      <c r="G27" s="10">
        <f>INPUTS!$D$22*CALCULATIONS!G4</f>
        <v>214.78651685393257</v>
      </c>
      <c r="H27" s="10">
        <f>INPUTS!$D$22*CALCULATIONS!H4</f>
        <v>536.96629213483141</v>
      </c>
      <c r="I27" s="10">
        <f>INPUTS!$D$22*CALCULATIONS!I4</f>
        <v>1959.9269662921349</v>
      </c>
      <c r="J27" s="10">
        <f>INPUTS!$D$22*CALCULATIONS!J4</f>
        <v>644.35955056179773</v>
      </c>
      <c r="K27" s="10">
        <f>INPUTS!$D$22*CALCULATIONS!K4</f>
        <v>644.35955056179773</v>
      </c>
      <c r="L27" s="10">
        <f>INPUTS!$D$22*CALCULATIONS!L4</f>
        <v>2335.8033707865166</v>
      </c>
      <c r="M27" s="10">
        <f>INPUTS!$D$22*CALCULATIONS!M4</f>
        <v>536.96629213483141</v>
      </c>
      <c r="N27" s="10">
        <f>INPUTS!$D$22*CALCULATIONS!N4</f>
        <v>0</v>
      </c>
      <c r="O27" s="10">
        <f>INPUTS!$D$22*CALCULATIONS!O4</f>
        <v>0</v>
      </c>
      <c r="P27" s="10">
        <f>INPUTS!$D$22*CALCULATIONS!P4</f>
        <v>0</v>
      </c>
      <c r="Q27" s="10">
        <f t="shared" si="6"/>
        <v>9558</v>
      </c>
      <c r="R27" s="10"/>
    </row>
    <row r="28" spans="2:18" x14ac:dyDescent="0.35">
      <c r="B28" t="str">
        <f>INPUTS!C23</f>
        <v>Auditor Fees</v>
      </c>
      <c r="D28" s="10">
        <f>INPUTS!$D$23*CALCULATIONS!D4</f>
        <v>614.96910112359558</v>
      </c>
      <c r="E28" s="10">
        <f>INPUTS!$D$23*CALCULATIONS!E4</f>
        <v>99.724719101123597</v>
      </c>
      <c r="F28" s="10">
        <f>INPUTS!$D$23*CALCULATIONS!F4</f>
        <v>947.38483146067415</v>
      </c>
      <c r="G28" s="10">
        <f>INPUTS!$D$23*CALCULATIONS!G4</f>
        <v>132.96629213483146</v>
      </c>
      <c r="H28" s="10">
        <f>INPUTS!$D$23*CALCULATIONS!H4</f>
        <v>332.41573033707863</v>
      </c>
      <c r="I28" s="10">
        <f>INPUTS!$D$23*CALCULATIONS!I4</f>
        <v>1213.3174157303372</v>
      </c>
      <c r="J28" s="10">
        <f>INPUTS!$D$23*CALCULATIONS!J4</f>
        <v>398.89887640449439</v>
      </c>
      <c r="K28" s="10">
        <f>INPUTS!$D$23*CALCULATIONS!K4</f>
        <v>398.89887640449439</v>
      </c>
      <c r="L28" s="10">
        <f>INPUTS!$D$23*CALCULATIONS!L4</f>
        <v>1446.0084269662921</v>
      </c>
      <c r="M28" s="10">
        <f>INPUTS!$D$23*CALCULATIONS!M4</f>
        <v>332.41573033707863</v>
      </c>
      <c r="N28" s="10">
        <f>INPUTS!$D$23*CALCULATIONS!N4</f>
        <v>0</v>
      </c>
      <c r="O28" s="10">
        <f>INPUTS!$D$23*CALCULATIONS!O4</f>
        <v>0</v>
      </c>
      <c r="P28" s="10">
        <f>INPUTS!$D$23*CALCULATIONS!P4</f>
        <v>0</v>
      </c>
      <c r="Q28" s="10">
        <f t="shared" si="6"/>
        <v>5917</v>
      </c>
      <c r="R28" s="10"/>
    </row>
    <row r="29" spans="2:18" x14ac:dyDescent="0.35">
      <c r="B29" t="str">
        <f>INPUTS!C24</f>
        <v>Telephone Bill</v>
      </c>
      <c r="D29" s="10">
        <f>INPUTS!$D$24*CALCULATIONS!D4</f>
        <v>141.97191011235955</v>
      </c>
      <c r="E29" s="10">
        <f>INPUTS!$D$24*CALCULATIONS!E4</f>
        <v>23.022471910112358</v>
      </c>
      <c r="F29" s="10">
        <f>INPUTS!$D$24*CALCULATIONS!F4</f>
        <v>218.71348314606743</v>
      </c>
      <c r="G29" s="10">
        <f>INPUTS!$D$24*CALCULATIONS!G4</f>
        <v>30.696629213483146</v>
      </c>
      <c r="H29" s="10">
        <f>INPUTS!$D$24*CALCULATIONS!H4</f>
        <v>76.741573033707866</v>
      </c>
      <c r="I29" s="10">
        <f>INPUTS!$D$24*CALCULATIONS!I4</f>
        <v>280.10674157303373</v>
      </c>
      <c r="J29" s="10">
        <f>INPUTS!$D$24*CALCULATIONS!J4</f>
        <v>92.089887640449433</v>
      </c>
      <c r="K29" s="10">
        <f>INPUTS!$D$24*CALCULATIONS!K4</f>
        <v>92.089887640449433</v>
      </c>
      <c r="L29" s="10">
        <f>INPUTS!$D$24*CALCULATIONS!L4</f>
        <v>333.82584269662919</v>
      </c>
      <c r="M29" s="10">
        <f>INPUTS!$D$24*CALCULATIONS!M4</f>
        <v>76.741573033707866</v>
      </c>
      <c r="N29" s="10">
        <f>INPUTS!$D$24*CALCULATIONS!N4</f>
        <v>0</v>
      </c>
      <c r="O29" s="10">
        <f>INPUTS!$D$24*CALCULATIONS!O4</f>
        <v>0</v>
      </c>
      <c r="P29" s="10">
        <f>INPUTS!$D$24*CALCULATIONS!P4</f>
        <v>0</v>
      </c>
      <c r="Q29" s="10">
        <f t="shared" si="6"/>
        <v>1366.0000000000002</v>
      </c>
      <c r="R29" s="10"/>
    </row>
    <row r="30" spans="2:18" x14ac:dyDescent="0.35">
      <c r="B30" t="str">
        <f>INPUTS!C25</f>
        <v>Maintenance Expenses</v>
      </c>
      <c r="D30" s="10">
        <f>INPUTS!$D$25*CALCULATIONS!D4</f>
        <v>8946.4129213483156</v>
      </c>
      <c r="E30" s="10">
        <f>INPUTS!$D$25*CALCULATIONS!E4</f>
        <v>1450.7696629213483</v>
      </c>
      <c r="F30" s="10">
        <f>INPUTS!$D$25*CALCULATIONS!F4</f>
        <v>13782.311797752809</v>
      </c>
      <c r="G30" s="10">
        <f>INPUTS!$D$25*CALCULATIONS!G4</f>
        <v>1934.3595505617977</v>
      </c>
      <c r="H30" s="10">
        <f>INPUTS!$D$25*CALCULATIONS!H4</f>
        <v>4835.8988764044943</v>
      </c>
      <c r="I30" s="10">
        <f>INPUTS!$D$25*CALCULATIONS!I4</f>
        <v>17651.030898876405</v>
      </c>
      <c r="J30" s="10">
        <f>INPUTS!$D$25*CALCULATIONS!J4</f>
        <v>5803.0786516853932</v>
      </c>
      <c r="K30" s="10">
        <f>INPUTS!$D$25*CALCULATIONS!K4</f>
        <v>5803.0786516853932</v>
      </c>
      <c r="L30" s="10">
        <f>INPUTS!$D$25*CALCULATIONS!L4</f>
        <v>21036.16011235955</v>
      </c>
      <c r="M30" s="10">
        <f>INPUTS!$D$25*CALCULATIONS!M4</f>
        <v>4835.8988764044943</v>
      </c>
      <c r="N30" s="10">
        <f>INPUTS!$D$25*CALCULATIONS!N4</f>
        <v>0</v>
      </c>
      <c r="O30" s="10">
        <f>INPUTS!$D$25*CALCULATIONS!O4</f>
        <v>0</v>
      </c>
      <c r="P30" s="10">
        <f>INPUTS!$D$25*CALCULATIONS!P4</f>
        <v>0</v>
      </c>
      <c r="Q30" s="10">
        <f t="shared" si="6"/>
        <v>86079</v>
      </c>
      <c r="R30" s="10"/>
    </row>
    <row r="31" spans="2:18" x14ac:dyDescent="0.35">
      <c r="B31" t="str">
        <f>INPUTS!C27</f>
        <v xml:space="preserve">Common Transformer &amp; Electrical </v>
      </c>
      <c r="D31" s="10">
        <f>INPUTS!$D$27*CALCULATIONS!D4</f>
        <v>0</v>
      </c>
      <c r="E31" s="10">
        <f>INPUTS!$D$27*CALCULATIONS!E4</f>
        <v>0</v>
      </c>
      <c r="F31" s="10">
        <f>INPUTS!$D$27*CALCULATIONS!F4</f>
        <v>0</v>
      </c>
      <c r="G31" s="10">
        <f>INPUTS!$D$27*CALCULATIONS!G4</f>
        <v>0</v>
      </c>
      <c r="H31" s="10">
        <f>INPUTS!$D$27*CALCULATIONS!H4</f>
        <v>0</v>
      </c>
      <c r="I31" s="10">
        <f>INPUTS!$D$27*CALCULATIONS!I4</f>
        <v>0</v>
      </c>
      <c r="J31" s="10">
        <f>INPUTS!$D$27*CALCULATIONS!J4</f>
        <v>0</v>
      </c>
      <c r="K31" s="10">
        <f>INPUTS!$D$27*CALCULATIONS!K4</f>
        <v>0</v>
      </c>
      <c r="L31" s="10">
        <f>INPUTS!$D$27*CALCULATIONS!L4</f>
        <v>0</v>
      </c>
      <c r="M31" s="10">
        <f>INPUTS!$D$27*CALCULATIONS!M4</f>
        <v>0</v>
      </c>
      <c r="N31" s="10">
        <f>INPUTS!$D$27*CALCULATIONS!N4</f>
        <v>0</v>
      </c>
      <c r="O31" s="10">
        <f>INPUTS!$D$27*CALCULATIONS!O4</f>
        <v>0</v>
      </c>
      <c r="P31" s="10">
        <f>INPUTS!$D$27*CALCULATIONS!P4</f>
        <v>0</v>
      </c>
      <c r="Q31" s="10">
        <f t="shared" si="6"/>
        <v>0</v>
      </c>
      <c r="R31" s="10"/>
    </row>
    <row r="32" spans="2:18" x14ac:dyDescent="0.35">
      <c r="B32" t="str">
        <f>INPUTS!C28</f>
        <v>Road Maintenance</v>
      </c>
      <c r="D32" s="10">
        <f>INPUTS!$D$28*CALCULATIONS!D4</f>
        <v>0</v>
      </c>
      <c r="E32" s="10">
        <f>INPUTS!$D$28*CALCULATIONS!E4</f>
        <v>0</v>
      </c>
      <c r="F32" s="10">
        <f>INPUTS!$D$28*CALCULATIONS!F4</f>
        <v>0</v>
      </c>
      <c r="G32" s="10">
        <f>INPUTS!$D$28*CALCULATIONS!G4</f>
        <v>0</v>
      </c>
      <c r="H32" s="10">
        <f>INPUTS!$D$28*CALCULATIONS!H4</f>
        <v>0</v>
      </c>
      <c r="I32" s="10">
        <f>INPUTS!$D$28*CALCULATIONS!I4</f>
        <v>0</v>
      </c>
      <c r="J32" s="10">
        <f>INPUTS!$D$28*CALCULATIONS!J4</f>
        <v>0</v>
      </c>
      <c r="K32" s="10">
        <f>INPUTS!$D$28*CALCULATIONS!K4</f>
        <v>0</v>
      </c>
      <c r="L32" s="10">
        <f>INPUTS!$D$28*CALCULATIONS!L4</f>
        <v>0</v>
      </c>
      <c r="M32" s="10">
        <f>INPUTS!$D$28*CALCULATIONS!M4</f>
        <v>0</v>
      </c>
      <c r="N32" s="10">
        <f>INPUTS!$D$28*CALCULATIONS!N4</f>
        <v>0</v>
      </c>
      <c r="O32" s="10">
        <f>INPUTS!$D$28*CALCULATIONS!O4</f>
        <v>0</v>
      </c>
      <c r="P32" s="10">
        <f>INPUTS!$D$28*CALCULATIONS!P4</f>
        <v>0</v>
      </c>
      <c r="Q32" s="10">
        <f t="shared" si="6"/>
        <v>0</v>
      </c>
      <c r="R32" s="10"/>
    </row>
    <row r="33" spans="2:18" x14ac:dyDescent="0.35">
      <c r="B33" t="str">
        <f>INPUTS!C29</f>
        <v>GBM Expenses</v>
      </c>
      <c r="D33" s="10">
        <f>INPUTS!$D$29*CALCULATIONS!D4</f>
        <v>0</v>
      </c>
      <c r="E33" s="10">
        <f>INPUTS!$D$29*CALCULATIONS!E4</f>
        <v>0</v>
      </c>
      <c r="F33" s="10">
        <f>INPUTS!$D$29*CALCULATIONS!F4</f>
        <v>0</v>
      </c>
      <c r="G33" s="10">
        <f>INPUTS!$D$29*CALCULATIONS!G4</f>
        <v>0</v>
      </c>
      <c r="H33" s="10">
        <f>INPUTS!$D$29*CALCULATIONS!H4</f>
        <v>0</v>
      </c>
      <c r="I33" s="10">
        <f>INPUTS!$D$29*CALCULATIONS!I4</f>
        <v>0</v>
      </c>
      <c r="J33" s="10">
        <f>INPUTS!$D$29*CALCULATIONS!J4</f>
        <v>0</v>
      </c>
      <c r="K33" s="10">
        <f>INPUTS!$D$29*CALCULATIONS!K4</f>
        <v>0</v>
      </c>
      <c r="L33" s="10">
        <f>INPUTS!$D$29*CALCULATIONS!L4</f>
        <v>0</v>
      </c>
      <c r="M33" s="10">
        <f>INPUTS!$D$29*CALCULATIONS!M4</f>
        <v>0</v>
      </c>
      <c r="N33" s="10">
        <f>INPUTS!$D$29*CALCULATIONS!N4</f>
        <v>0</v>
      </c>
      <c r="O33" s="10">
        <f>INPUTS!$D$29*CALCULATIONS!O4</f>
        <v>0</v>
      </c>
      <c r="P33" s="10">
        <f>INPUTS!$D$29*CALCULATIONS!P4</f>
        <v>0</v>
      </c>
      <c r="Q33" s="10">
        <f t="shared" si="6"/>
        <v>0</v>
      </c>
      <c r="R33" s="10"/>
    </row>
    <row r="34" spans="2:18" x14ac:dyDescent="0.35">
      <c r="B34" t="str">
        <f>INPUTS!C30</f>
        <v>Accountant</v>
      </c>
      <c r="D34" s="10">
        <f>INPUTS!$D$30*CALCULATIONS!D4</f>
        <v>0</v>
      </c>
      <c r="E34" s="10">
        <f>INPUTS!$D$30*CALCULATIONS!E4</f>
        <v>0</v>
      </c>
      <c r="F34" s="10">
        <f>INPUTS!$D$30*CALCULATIONS!F4</f>
        <v>0</v>
      </c>
      <c r="G34" s="10">
        <f>INPUTS!$D$30*CALCULATIONS!G4</f>
        <v>0</v>
      </c>
      <c r="H34" s="10">
        <f>INPUTS!$D$30*CALCULATIONS!H4</f>
        <v>0</v>
      </c>
      <c r="I34" s="10">
        <f>INPUTS!$D$30*CALCULATIONS!I4</f>
        <v>0</v>
      </c>
      <c r="J34" s="10">
        <f>INPUTS!$D$30*CALCULATIONS!J4</f>
        <v>0</v>
      </c>
      <c r="K34" s="10">
        <f>INPUTS!$D$30*CALCULATIONS!K4</f>
        <v>0</v>
      </c>
      <c r="L34" s="10">
        <f>INPUTS!$D$30*CALCULATIONS!L4</f>
        <v>0</v>
      </c>
      <c r="M34" s="10">
        <f>INPUTS!$D$30*CALCULATIONS!M4</f>
        <v>0</v>
      </c>
      <c r="N34" s="10">
        <f>INPUTS!$D$30*CALCULATIONS!N4</f>
        <v>0</v>
      </c>
      <c r="O34" s="10">
        <f>INPUTS!$D$30*CALCULATIONS!O4</f>
        <v>0</v>
      </c>
      <c r="P34" s="10">
        <f>INPUTS!$D$30*CALCULATIONS!P4</f>
        <v>0</v>
      </c>
      <c r="Q34" s="10">
        <f t="shared" si="6"/>
        <v>0</v>
      </c>
      <c r="R34" s="10"/>
    </row>
    <row r="35" spans="2:18" x14ac:dyDescent="0.35">
      <c r="C35" s="27">
        <f>SUM(D35:P35)</f>
        <v>610500</v>
      </c>
      <c r="D35" s="10">
        <f>SUM(D18:D34)</f>
        <v>63450.842696629225</v>
      </c>
      <c r="E35" s="10">
        <f t="shared" ref="E35:P35" si="7">SUM(E18:E34)</f>
        <v>10289.325842696628</v>
      </c>
      <c r="F35" s="10">
        <f t="shared" si="7"/>
        <v>97748.595505617996</v>
      </c>
      <c r="G35" s="10">
        <f t="shared" si="7"/>
        <v>13719.101123595505</v>
      </c>
      <c r="H35" s="10">
        <f t="shared" si="7"/>
        <v>34297.752808988764</v>
      </c>
      <c r="I35" s="10">
        <f t="shared" si="7"/>
        <v>125186.797752809</v>
      </c>
      <c r="J35" s="10">
        <f t="shared" si="7"/>
        <v>41157.303370786511</v>
      </c>
      <c r="K35" s="10">
        <f t="shared" si="7"/>
        <v>41157.303370786511</v>
      </c>
      <c r="L35" s="10">
        <f t="shared" si="7"/>
        <v>149195.2247191011</v>
      </c>
      <c r="M35" s="10">
        <f t="shared" si="7"/>
        <v>34297.752808988764</v>
      </c>
      <c r="N35" s="10">
        <f t="shared" si="7"/>
        <v>0</v>
      </c>
      <c r="O35" s="10">
        <f t="shared" si="7"/>
        <v>0</v>
      </c>
      <c r="P35" s="10">
        <f t="shared" si="7"/>
        <v>0</v>
      </c>
      <c r="Q35" s="10">
        <f>SUM(Q18:Q34)</f>
        <v>610500</v>
      </c>
      <c r="R35" s="10"/>
    </row>
    <row r="36" spans="2:18" x14ac:dyDescent="0.35">
      <c r="D36" s="63">
        <f>D35/D3</f>
        <v>1714.8876404494385</v>
      </c>
      <c r="E36" s="63">
        <f t="shared" ref="E36:Q36" si="8">E35/E3</f>
        <v>1714.8876404494379</v>
      </c>
      <c r="F36" s="63">
        <f t="shared" si="8"/>
        <v>1714.8876404494385</v>
      </c>
      <c r="G36" s="63">
        <f t="shared" si="8"/>
        <v>1714.8876404494381</v>
      </c>
      <c r="H36" s="63">
        <f t="shared" si="8"/>
        <v>1714.8876404494381</v>
      </c>
      <c r="I36" s="63">
        <f t="shared" si="8"/>
        <v>1714.8876404494383</v>
      </c>
      <c r="J36" s="63">
        <f t="shared" si="8"/>
        <v>1714.8876404494379</v>
      </c>
      <c r="K36" s="63">
        <f t="shared" si="8"/>
        <v>1714.8876404494379</v>
      </c>
      <c r="L36" s="63">
        <f t="shared" si="8"/>
        <v>1714.8876404494379</v>
      </c>
      <c r="M36" s="63">
        <f t="shared" si="8"/>
        <v>1714.8876404494381</v>
      </c>
      <c r="N36" s="63" t="e">
        <f t="shared" si="8"/>
        <v>#DIV/0!</v>
      </c>
      <c r="O36" s="63" t="e">
        <f t="shared" si="8"/>
        <v>#DIV/0!</v>
      </c>
      <c r="P36" s="63" t="e">
        <f t="shared" si="8"/>
        <v>#DIV/0!</v>
      </c>
      <c r="Q36" s="63">
        <f t="shared" si="8"/>
        <v>1714.8876404494381</v>
      </c>
      <c r="R36" s="10"/>
    </row>
    <row r="37" spans="2:18" x14ac:dyDescent="0.35">
      <c r="B37" s="3" t="s">
        <v>81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</row>
    <row r="38" spans="2:18" x14ac:dyDescent="0.35">
      <c r="B38" t="s">
        <v>100</v>
      </c>
      <c r="C38" s="27">
        <f>SUM(D38:M38)</f>
        <v>31860</v>
      </c>
      <c r="D38" s="10">
        <f>D11*INPUTS!$E$6</f>
        <v>31860</v>
      </c>
      <c r="E38" s="10">
        <f>E11*INPUTS!$E$6</f>
        <v>0</v>
      </c>
      <c r="F38" s="10">
        <f>F11*INPUTS!$E$6</f>
        <v>0</v>
      </c>
      <c r="G38" s="10">
        <f>G11*INPUTS!$E$6</f>
        <v>0</v>
      </c>
      <c r="H38" s="10">
        <f>H11*INPUTS!$E$6</f>
        <v>0</v>
      </c>
      <c r="I38" s="10">
        <f>I11*INPUTS!$E$6</f>
        <v>0</v>
      </c>
      <c r="J38" s="10">
        <f>J11*INPUTS!$E$6</f>
        <v>0</v>
      </c>
      <c r="K38" s="10">
        <f>K11*INPUTS!$E$6</f>
        <v>0</v>
      </c>
      <c r="L38" s="10">
        <f>L11*INPUTS!$E$6</f>
        <v>0</v>
      </c>
      <c r="M38" s="10">
        <f>M11*INPUTS!$E$6</f>
        <v>0</v>
      </c>
      <c r="N38" s="10">
        <f>N11*INPUTS!$E$6</f>
        <v>0</v>
      </c>
      <c r="O38" s="10">
        <f>O11*INPUTS!$E$6</f>
        <v>0</v>
      </c>
      <c r="P38" s="10">
        <f>P11*INPUTS!$E$6</f>
        <v>0</v>
      </c>
      <c r="Q38" s="10">
        <f>SUM(D38:P38)</f>
        <v>31860</v>
      </c>
      <c r="R38" s="10"/>
    </row>
    <row r="39" spans="2:18" x14ac:dyDescent="0.35">
      <c r="B39" t="s">
        <v>101</v>
      </c>
      <c r="C39" s="27">
        <f t="shared" ref="C39:C46" si="9">SUM(D39:M39)</f>
        <v>0</v>
      </c>
      <c r="D39" s="10">
        <f>D14*INPUTS!$E$14</f>
        <v>0</v>
      </c>
      <c r="E39" s="10">
        <f>E14*INPUTS!$E$14</f>
        <v>0</v>
      </c>
      <c r="F39" s="10">
        <f>F14*INPUTS!$E$14</f>
        <v>0</v>
      </c>
      <c r="G39" s="10">
        <f>G14*INPUTS!$E$14</f>
        <v>0</v>
      </c>
      <c r="H39" s="10">
        <f>H14*INPUTS!$E$14</f>
        <v>0</v>
      </c>
      <c r="I39" s="10">
        <f>I14*INPUTS!$E$14</f>
        <v>0</v>
      </c>
      <c r="J39" s="10">
        <f>J14*INPUTS!$E$14</f>
        <v>0</v>
      </c>
      <c r="K39" s="10">
        <f>K14*INPUTS!$E$14</f>
        <v>0</v>
      </c>
      <c r="L39" s="10">
        <f>L14*INPUTS!$E$14</f>
        <v>0</v>
      </c>
      <c r="M39" s="10">
        <f>M14*INPUTS!$E$14</f>
        <v>0</v>
      </c>
      <c r="N39" s="10">
        <f>N14*INPUTS!$E$14</f>
        <v>0</v>
      </c>
      <c r="O39" s="10">
        <f>O14*INPUTS!$E$14</f>
        <v>0</v>
      </c>
      <c r="P39" s="10">
        <f>P14*INPUTS!$E$14</f>
        <v>0</v>
      </c>
      <c r="Q39" s="10">
        <f t="shared" ref="Q39:Q40" si="10">SUM(D39:P39)</f>
        <v>0</v>
      </c>
      <c r="R39" s="10"/>
    </row>
    <row r="40" spans="2:18" x14ac:dyDescent="0.35">
      <c r="B40" t="s">
        <v>102</v>
      </c>
      <c r="C40" s="27">
        <f t="shared" si="9"/>
        <v>0</v>
      </c>
      <c r="D40" s="10">
        <f>D15*INPUTS!$E$13</f>
        <v>0</v>
      </c>
      <c r="E40" s="10">
        <f>E15*INPUTS!$E$13</f>
        <v>0</v>
      </c>
      <c r="F40" s="10">
        <f>F15*INPUTS!$E$13</f>
        <v>0</v>
      </c>
      <c r="G40" s="10">
        <f>G15*INPUTS!$E$13</f>
        <v>0</v>
      </c>
      <c r="H40" s="10">
        <f>H15*INPUTS!$E$13</f>
        <v>0</v>
      </c>
      <c r="I40" s="10">
        <f>I15*INPUTS!$E$13</f>
        <v>0</v>
      </c>
      <c r="J40" s="10">
        <f>J15*INPUTS!$E$13</f>
        <v>0</v>
      </c>
      <c r="K40" s="10">
        <f>K15*INPUTS!$E$13</f>
        <v>0</v>
      </c>
      <c r="L40" s="10">
        <f>L15*INPUTS!$E$13</f>
        <v>0</v>
      </c>
      <c r="M40" s="10">
        <f>M15*INPUTS!$E$13</f>
        <v>0</v>
      </c>
      <c r="N40" s="10">
        <f>N15*INPUTS!$E$13</f>
        <v>0</v>
      </c>
      <c r="O40" s="10">
        <f>O15*INPUTS!$E$13</f>
        <v>0</v>
      </c>
      <c r="P40" s="10">
        <f>P15*INPUTS!$E$13</f>
        <v>0</v>
      </c>
      <c r="Q40" s="10">
        <f t="shared" si="10"/>
        <v>0</v>
      </c>
      <c r="R40" s="10"/>
    </row>
    <row r="41" spans="2:18" x14ac:dyDescent="0.35">
      <c r="B41" t="str">
        <f>INPUTS!C37</f>
        <v>Quartz1 - Corridor lights, water pumping, Lift</v>
      </c>
      <c r="C41" s="27">
        <f t="shared" si="9"/>
        <v>7540</v>
      </c>
      <c r="D41" s="10"/>
      <c r="E41" s="10"/>
      <c r="F41" s="10"/>
      <c r="G41" s="10"/>
      <c r="H41" s="10"/>
      <c r="I41" s="10"/>
      <c r="J41" s="10"/>
      <c r="K41" s="1">
        <f>INPUTS!H37</f>
        <v>7540</v>
      </c>
      <c r="L41" s="10"/>
      <c r="M41" s="10"/>
      <c r="N41" s="10"/>
      <c r="O41" s="10"/>
      <c r="P41" s="10"/>
      <c r="Q41" s="10"/>
      <c r="R41" s="10"/>
    </row>
    <row r="42" spans="2:18" x14ac:dyDescent="0.35">
      <c r="B42" t="str">
        <f>INPUTS!C38</f>
        <v>Quartz2 - Corridor lights, water pumping, Lift</v>
      </c>
      <c r="C42" s="27">
        <f t="shared" si="9"/>
        <v>12276</v>
      </c>
      <c r="D42" s="10"/>
      <c r="E42" s="10"/>
      <c r="F42" s="10"/>
      <c r="G42" s="10"/>
      <c r="H42" s="10"/>
      <c r="I42" s="10"/>
      <c r="J42" s="10"/>
      <c r="K42" s="10"/>
      <c r="L42" s="10">
        <f>INPUTS!I38</f>
        <v>12276</v>
      </c>
      <c r="M42" s="10"/>
      <c r="N42" s="10"/>
      <c r="O42" s="10"/>
      <c r="P42" s="10"/>
      <c r="Q42" s="10"/>
      <c r="R42" s="10"/>
    </row>
    <row r="43" spans="2:18" x14ac:dyDescent="0.35">
      <c r="B43" t="str">
        <f>INPUTS!C39</f>
        <v>Quartz3 - Corridor lights, water pumping, Lift</v>
      </c>
      <c r="C43" s="27">
        <f t="shared" si="9"/>
        <v>8218</v>
      </c>
      <c r="D43" s="10"/>
      <c r="E43" s="10"/>
      <c r="F43" s="10"/>
      <c r="G43" s="10"/>
      <c r="H43" s="10"/>
      <c r="I43" s="10"/>
      <c r="J43" s="10"/>
      <c r="K43" s="10"/>
      <c r="L43" s="10"/>
      <c r="M43" s="10">
        <f>INPUTS!J39</f>
        <v>8218</v>
      </c>
      <c r="N43" s="10"/>
      <c r="O43" s="10"/>
      <c r="P43" s="10"/>
      <c r="Q43" s="10"/>
      <c r="R43" s="10"/>
    </row>
    <row r="44" spans="2:18" x14ac:dyDescent="0.35">
      <c r="B44" t="str">
        <f>INPUTS!C40</f>
        <v>Quartz4 - Corridor lights, water pumping</v>
      </c>
      <c r="C44" s="27">
        <f t="shared" si="9"/>
        <v>1567</v>
      </c>
      <c r="D44" s="10"/>
      <c r="E44" s="10">
        <f>INPUTS!K40</f>
        <v>1567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</row>
    <row r="45" spans="2:18" x14ac:dyDescent="0.35">
      <c r="B45" t="str">
        <f>INPUTS!C36</f>
        <v>OHT water pumping, Villas Only - POWER</v>
      </c>
      <c r="C45" s="1">
        <f>INPUTS!O36</f>
        <v>27120</v>
      </c>
      <c r="D45" s="60">
        <f t="shared" ref="D45:Q45" si="11">D55*$C$45</f>
        <v>5145.8461538461534</v>
      </c>
      <c r="E45" s="60">
        <f t="shared" si="11"/>
        <v>0</v>
      </c>
      <c r="F45" s="60">
        <f t="shared" si="11"/>
        <v>7927.3846153846162</v>
      </c>
      <c r="G45" s="60">
        <f t="shared" si="11"/>
        <v>1112.6153846153845</v>
      </c>
      <c r="H45" s="60">
        <f t="shared" si="11"/>
        <v>2781.5384615384614</v>
      </c>
      <c r="I45" s="60">
        <f t="shared" si="11"/>
        <v>10152.615384615385</v>
      </c>
      <c r="J45" s="60">
        <f t="shared" si="11"/>
        <v>0</v>
      </c>
      <c r="K45" s="60">
        <f t="shared" si="11"/>
        <v>0</v>
      </c>
      <c r="L45" s="60">
        <f t="shared" si="11"/>
        <v>0</v>
      </c>
      <c r="M45" s="60">
        <f t="shared" si="11"/>
        <v>0</v>
      </c>
      <c r="N45" s="60">
        <f t="shared" si="11"/>
        <v>0</v>
      </c>
      <c r="O45" s="60">
        <f t="shared" si="11"/>
        <v>0</v>
      </c>
      <c r="P45" s="60">
        <f t="shared" si="11"/>
        <v>0</v>
      </c>
      <c r="Q45" s="60">
        <f t="shared" si="11"/>
        <v>27120</v>
      </c>
      <c r="R45" s="10"/>
    </row>
    <row r="46" spans="2:18" x14ac:dyDescent="0.35">
      <c r="B46" t="s">
        <v>84</v>
      </c>
      <c r="C46" s="27">
        <f t="shared" si="9"/>
        <v>24659</v>
      </c>
      <c r="D46" s="10"/>
      <c r="E46" s="10"/>
      <c r="F46" s="10"/>
      <c r="G46" s="10"/>
      <c r="H46" s="10"/>
      <c r="I46" s="10"/>
      <c r="J46" s="10"/>
      <c r="K46" s="10">
        <f>INPUTS!H26</f>
        <v>6038</v>
      </c>
      <c r="L46" s="10">
        <f>INPUTS!I26</f>
        <v>12414</v>
      </c>
      <c r="M46" s="10">
        <f>INPUTS!J26</f>
        <v>6207</v>
      </c>
      <c r="N46" s="10"/>
      <c r="O46" s="10"/>
      <c r="P46" s="10"/>
      <c r="Q46" s="10"/>
      <c r="R46" s="10"/>
    </row>
    <row r="47" spans="2:18" x14ac:dyDescent="0.35">
      <c r="C47" s="27">
        <f>SUM(C38:C46)</f>
        <v>113240</v>
      </c>
      <c r="D47" s="58">
        <f>SUM(D38:D46)</f>
        <v>37005.846153846156</v>
      </c>
      <c r="E47" s="58">
        <f t="shared" ref="E47:Q47" si="12">SUM(E38:E46)</f>
        <v>1567</v>
      </c>
      <c r="F47" s="58">
        <f t="shared" si="12"/>
        <v>7927.3846153846162</v>
      </c>
      <c r="G47" s="58">
        <f t="shared" si="12"/>
        <v>1112.6153846153845</v>
      </c>
      <c r="H47" s="58">
        <f t="shared" si="12"/>
        <v>2781.5384615384614</v>
      </c>
      <c r="I47" s="58">
        <f t="shared" si="12"/>
        <v>10152.615384615385</v>
      </c>
      <c r="J47" s="58">
        <f t="shared" si="12"/>
        <v>0</v>
      </c>
      <c r="K47" s="58">
        <f t="shared" si="12"/>
        <v>13578</v>
      </c>
      <c r="L47" s="58">
        <f t="shared" si="12"/>
        <v>24690</v>
      </c>
      <c r="M47" s="58">
        <f t="shared" si="12"/>
        <v>14425</v>
      </c>
      <c r="N47" s="58">
        <f t="shared" si="12"/>
        <v>0</v>
      </c>
      <c r="O47" s="58">
        <f t="shared" si="12"/>
        <v>0</v>
      </c>
      <c r="P47" s="58">
        <f t="shared" si="12"/>
        <v>0</v>
      </c>
      <c r="Q47" s="58">
        <f t="shared" si="12"/>
        <v>58980</v>
      </c>
      <c r="R47" s="10"/>
    </row>
    <row r="48" spans="2:18" x14ac:dyDescent="0.35">
      <c r="B48" s="64" t="s">
        <v>88</v>
      </c>
      <c r="D48" s="63">
        <f>D47/D3</f>
        <v>1000.1580041580042</v>
      </c>
      <c r="E48" s="63">
        <f t="shared" ref="E48:Q48" si="13">E47/E3</f>
        <v>261.16666666666669</v>
      </c>
      <c r="F48" s="63">
        <f t="shared" si="13"/>
        <v>139.07692307692309</v>
      </c>
      <c r="G48" s="63">
        <f t="shared" si="13"/>
        <v>139.07692307692307</v>
      </c>
      <c r="H48" s="63">
        <f t="shared" si="13"/>
        <v>139.07692307692307</v>
      </c>
      <c r="I48" s="63">
        <f t="shared" si="13"/>
        <v>139.07692307692307</v>
      </c>
      <c r="J48" s="63">
        <f t="shared" si="13"/>
        <v>0</v>
      </c>
      <c r="K48" s="63">
        <f t="shared" si="13"/>
        <v>565.75</v>
      </c>
      <c r="L48" s="63">
        <f t="shared" si="13"/>
        <v>283.79310344827587</v>
      </c>
      <c r="M48" s="63">
        <f t="shared" si="13"/>
        <v>721.25</v>
      </c>
      <c r="N48" s="63" t="e">
        <f t="shared" si="13"/>
        <v>#DIV/0!</v>
      </c>
      <c r="O48" s="63" t="e">
        <f t="shared" si="13"/>
        <v>#DIV/0!</v>
      </c>
      <c r="P48" s="63" t="e">
        <f t="shared" si="13"/>
        <v>#DIV/0!</v>
      </c>
      <c r="Q48" s="63">
        <f t="shared" si="13"/>
        <v>165.67415730337078</v>
      </c>
      <c r="R48" s="10"/>
    </row>
    <row r="49" spans="2:18" x14ac:dyDescent="0.35">
      <c r="B49" s="59" t="s">
        <v>85</v>
      </c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</row>
    <row r="50" spans="2:18" ht="31" x14ac:dyDescent="0.35">
      <c r="B50" s="16" t="s">
        <v>86</v>
      </c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7"/>
      <c r="N50" s="17"/>
      <c r="O50" s="17"/>
      <c r="P50" s="17"/>
      <c r="Q50" s="17"/>
      <c r="R50" s="10"/>
    </row>
    <row r="51" spans="2:18" x14ac:dyDescent="0.35">
      <c r="B51" s="11" t="s">
        <v>30</v>
      </c>
      <c r="C51" s="23"/>
      <c r="D51" s="24" t="str">
        <f t="shared" ref="D51:I51" si="14">D2</f>
        <v>C1</v>
      </c>
      <c r="E51" s="24" t="str">
        <f t="shared" si="14"/>
        <v>Q4</v>
      </c>
      <c r="F51" s="24" t="str">
        <f t="shared" si="14"/>
        <v>C2</v>
      </c>
      <c r="G51" s="24" t="str">
        <f t="shared" si="14"/>
        <v>C4</v>
      </c>
      <c r="H51" s="24" t="str">
        <f t="shared" si="14"/>
        <v>C-2X</v>
      </c>
      <c r="I51" s="24" t="str">
        <f t="shared" si="14"/>
        <v>C3</v>
      </c>
      <c r="J51" s="24">
        <v>0</v>
      </c>
      <c r="K51" s="24" t="str">
        <f t="shared" ref="K51:P51" si="15">K2</f>
        <v>Q1</v>
      </c>
      <c r="L51" s="24" t="str">
        <f t="shared" si="15"/>
        <v>Q2</v>
      </c>
      <c r="M51" s="24" t="str">
        <f t="shared" si="15"/>
        <v>Q3</v>
      </c>
      <c r="N51" s="24" t="str">
        <f t="shared" si="15"/>
        <v>X1</v>
      </c>
      <c r="O51" s="24" t="str">
        <f t="shared" si="15"/>
        <v>X2</v>
      </c>
      <c r="P51" s="24" t="str">
        <f t="shared" si="15"/>
        <v>X3</v>
      </c>
      <c r="Q51">
        <f>SUM(D51:M51)</f>
        <v>0</v>
      </c>
      <c r="R51" s="10"/>
    </row>
    <row r="52" spans="2:18" hidden="1" x14ac:dyDescent="0.35">
      <c r="B52" s="21" t="s">
        <v>31</v>
      </c>
      <c r="C52" s="12"/>
      <c r="D52" s="13">
        <f t="shared" ref="D52:P52" si="16">D53/D3</f>
        <v>17848</v>
      </c>
      <c r="E52" s="13">
        <f t="shared" si="16"/>
        <v>17848</v>
      </c>
      <c r="F52" s="13">
        <f t="shared" si="16"/>
        <v>17848</v>
      </c>
      <c r="G52" s="13">
        <f t="shared" si="16"/>
        <v>17848</v>
      </c>
      <c r="H52" s="13">
        <f t="shared" si="16"/>
        <v>17848</v>
      </c>
      <c r="I52" s="13">
        <f t="shared" si="16"/>
        <v>17848</v>
      </c>
      <c r="J52" s="13">
        <f t="shared" si="16"/>
        <v>0</v>
      </c>
      <c r="K52" s="13">
        <f t="shared" si="16"/>
        <v>17848</v>
      </c>
      <c r="L52" s="13">
        <f t="shared" si="16"/>
        <v>17848</v>
      </c>
      <c r="M52" s="13">
        <f t="shared" si="16"/>
        <v>17848</v>
      </c>
      <c r="N52" s="13" t="e">
        <f t="shared" si="16"/>
        <v>#DIV/0!</v>
      </c>
      <c r="O52" s="13" t="e">
        <f t="shared" si="16"/>
        <v>#DIV/0!</v>
      </c>
      <c r="P52" s="13" t="e">
        <f t="shared" si="16"/>
        <v>#DIV/0!</v>
      </c>
      <c r="Q52" s="13">
        <f>Q53/(Q3-J3)</f>
        <v>17848</v>
      </c>
      <c r="R52" s="10"/>
    </row>
    <row r="53" spans="2:18" hidden="1" x14ac:dyDescent="0.35">
      <c r="B53" s="21" t="s">
        <v>87</v>
      </c>
      <c r="C53" s="12"/>
      <c r="D53" s="1">
        <v>660376</v>
      </c>
      <c r="E53" s="1">
        <v>107088</v>
      </c>
      <c r="F53" s="1">
        <v>1017336</v>
      </c>
      <c r="G53">
        <v>142784</v>
      </c>
      <c r="H53">
        <v>356960</v>
      </c>
      <c r="I53">
        <v>1302904</v>
      </c>
      <c r="J53">
        <v>0</v>
      </c>
      <c r="K53">
        <v>428352</v>
      </c>
      <c r="L53">
        <v>1552776</v>
      </c>
      <c r="M53">
        <v>356960</v>
      </c>
      <c r="N53">
        <v>0</v>
      </c>
      <c r="O53">
        <v>0</v>
      </c>
      <c r="P53">
        <v>0</v>
      </c>
      <c r="Q53" s="18">
        <f>SUM(D53:N53)</f>
        <v>5925536</v>
      </c>
      <c r="R53" s="10"/>
    </row>
    <row r="54" spans="2:18" x14ac:dyDescent="0.35">
      <c r="B54" s="22" t="s">
        <v>32</v>
      </c>
      <c r="C54" s="14"/>
      <c r="D54" s="15">
        <f>D53/$Q$53</f>
        <v>0.11144578313253012</v>
      </c>
      <c r="E54" s="15">
        <f t="shared" ref="E54:M54" si="17">E53/$Q$53</f>
        <v>1.8072289156626505E-2</v>
      </c>
      <c r="F54" s="15">
        <f t="shared" si="17"/>
        <v>0.1716867469879518</v>
      </c>
      <c r="G54" s="15">
        <f t="shared" si="17"/>
        <v>2.4096385542168676E-2</v>
      </c>
      <c r="H54" s="15">
        <f t="shared" si="17"/>
        <v>6.0240963855421686E-2</v>
      </c>
      <c r="I54" s="15">
        <f t="shared" si="17"/>
        <v>0.21987951807228914</v>
      </c>
      <c r="J54" s="15">
        <f t="shared" si="17"/>
        <v>0</v>
      </c>
      <c r="K54" s="15">
        <f t="shared" si="17"/>
        <v>7.2289156626506021E-2</v>
      </c>
      <c r="L54" s="15">
        <f t="shared" si="17"/>
        <v>0.26204819277108432</v>
      </c>
      <c r="M54" s="15">
        <f t="shared" si="17"/>
        <v>6.0240963855421686E-2</v>
      </c>
      <c r="N54" s="15">
        <f>N4</f>
        <v>0</v>
      </c>
      <c r="O54" s="15">
        <f>O4</f>
        <v>0</v>
      </c>
      <c r="P54" s="15">
        <f>P4</f>
        <v>0</v>
      </c>
      <c r="Q54" s="15">
        <f>Q4</f>
        <v>1</v>
      </c>
    </row>
    <row r="55" spans="2:18" x14ac:dyDescent="0.35">
      <c r="B55" s="26" t="s">
        <v>38</v>
      </c>
      <c r="C55" s="14"/>
      <c r="D55" s="15">
        <f>D7</f>
        <v>0.18974358974358974</v>
      </c>
      <c r="E55" s="15">
        <f t="shared" ref="E55:Q55" si="18">E7</f>
        <v>0</v>
      </c>
      <c r="F55" s="15">
        <f t="shared" si="18"/>
        <v>0.29230769230769232</v>
      </c>
      <c r="G55" s="15">
        <f t="shared" si="18"/>
        <v>4.1025641025641026E-2</v>
      </c>
      <c r="H55" s="15">
        <f t="shared" si="18"/>
        <v>0.10256410256410256</v>
      </c>
      <c r="I55" s="15">
        <f t="shared" si="18"/>
        <v>0.37435897435897436</v>
      </c>
      <c r="J55" s="15">
        <f t="shared" si="18"/>
        <v>0</v>
      </c>
      <c r="K55" s="15">
        <f t="shared" si="18"/>
        <v>0</v>
      </c>
      <c r="L55" s="15">
        <f t="shared" si="18"/>
        <v>0</v>
      </c>
      <c r="M55" s="15">
        <f t="shared" si="18"/>
        <v>0</v>
      </c>
      <c r="N55" s="15">
        <f t="shared" si="18"/>
        <v>0</v>
      </c>
      <c r="O55" s="15">
        <f t="shared" si="18"/>
        <v>0</v>
      </c>
      <c r="P55" s="15">
        <f t="shared" si="18"/>
        <v>0</v>
      </c>
      <c r="Q55" s="15">
        <f t="shared" si="18"/>
        <v>1</v>
      </c>
    </row>
    <row r="57" spans="2:18" x14ac:dyDescent="0.35">
      <c r="B57" t="str">
        <f>INPUTS!C35</f>
        <v>Club House, Park, Bore Water pumping - POWER</v>
      </c>
      <c r="C57" s="1">
        <f>INPUTS!O35</f>
        <v>41175</v>
      </c>
      <c r="D57" s="62">
        <f>D54*$C$57</f>
        <v>4588.780120481928</v>
      </c>
      <c r="E57" s="62">
        <f t="shared" ref="E57:P57" si="19">E54*$C$57</f>
        <v>744.12650602409633</v>
      </c>
      <c r="F57" s="62">
        <f t="shared" si="19"/>
        <v>7069.2018072289156</v>
      </c>
      <c r="G57" s="62">
        <f t="shared" si="19"/>
        <v>992.16867469879526</v>
      </c>
      <c r="H57" s="62">
        <f t="shared" si="19"/>
        <v>2480.4216867469881</v>
      </c>
      <c r="I57" s="62">
        <f t="shared" si="19"/>
        <v>9053.5391566265062</v>
      </c>
      <c r="J57" s="62">
        <f t="shared" si="19"/>
        <v>0</v>
      </c>
      <c r="K57" s="62">
        <f t="shared" si="19"/>
        <v>2976.5060240963853</v>
      </c>
      <c r="L57" s="62">
        <f t="shared" si="19"/>
        <v>10789.834337349397</v>
      </c>
      <c r="M57" s="62">
        <f t="shared" si="19"/>
        <v>2480.4216867469881</v>
      </c>
      <c r="N57" s="62">
        <f t="shared" si="19"/>
        <v>0</v>
      </c>
      <c r="O57" s="62">
        <f t="shared" si="19"/>
        <v>0</v>
      </c>
      <c r="P57" s="62">
        <f t="shared" si="19"/>
        <v>0</v>
      </c>
      <c r="Q57" s="61">
        <f>SUM(D57:P57)</f>
        <v>41175</v>
      </c>
    </row>
    <row r="58" spans="2:18" x14ac:dyDescent="0.35">
      <c r="B58" t="str">
        <f>INPUTS!C41</f>
        <v>STP - POWER</v>
      </c>
      <c r="C58" s="1">
        <f>INPUTS!O41</f>
        <v>42017</v>
      </c>
      <c r="D58" s="60">
        <f>D54*$C$58</f>
        <v>4682.6174698795176</v>
      </c>
      <c r="E58" s="60">
        <f t="shared" ref="E58:Q58" si="20">E54*$C$58</f>
        <v>759.34337349397583</v>
      </c>
      <c r="F58" s="60">
        <f t="shared" si="20"/>
        <v>7213.7620481927706</v>
      </c>
      <c r="G58" s="60">
        <f t="shared" si="20"/>
        <v>1012.4578313253013</v>
      </c>
      <c r="H58" s="60">
        <f t="shared" si="20"/>
        <v>2531.1445783132531</v>
      </c>
      <c r="I58" s="60">
        <f t="shared" si="20"/>
        <v>9238.6777108433726</v>
      </c>
      <c r="J58" s="60">
        <f t="shared" si="20"/>
        <v>0</v>
      </c>
      <c r="K58" s="60">
        <f t="shared" si="20"/>
        <v>3037.3734939759033</v>
      </c>
      <c r="L58" s="60">
        <f t="shared" si="20"/>
        <v>11010.47891566265</v>
      </c>
      <c r="M58" s="60">
        <f t="shared" si="20"/>
        <v>2531.1445783132531</v>
      </c>
      <c r="N58" s="60">
        <f t="shared" si="20"/>
        <v>0</v>
      </c>
      <c r="O58" s="60">
        <f t="shared" si="20"/>
        <v>0</v>
      </c>
      <c r="P58" s="60">
        <f t="shared" si="20"/>
        <v>0</v>
      </c>
      <c r="Q58" s="60">
        <f t="shared" si="20"/>
        <v>42017</v>
      </c>
    </row>
    <row r="59" spans="2:18" x14ac:dyDescent="0.35">
      <c r="B59" t="str">
        <f>INPUTS!C43</f>
        <v>Water Tanker for Campus</v>
      </c>
      <c r="C59" s="1">
        <f>INPUTS!D43</f>
        <v>64870</v>
      </c>
      <c r="D59" s="60">
        <f>$C$59*D54</f>
        <v>7229.4879518072285</v>
      </c>
      <c r="E59" s="60">
        <f t="shared" ref="E59:Q59" si="21">$C$59*E54</f>
        <v>1172.3493975903614</v>
      </c>
      <c r="F59" s="60">
        <f t="shared" si="21"/>
        <v>11137.319277108434</v>
      </c>
      <c r="G59" s="60">
        <f t="shared" si="21"/>
        <v>1563.132530120482</v>
      </c>
      <c r="H59" s="60">
        <f t="shared" si="21"/>
        <v>3907.8313253012047</v>
      </c>
      <c r="I59" s="60">
        <f t="shared" si="21"/>
        <v>14263.584337349397</v>
      </c>
      <c r="J59" s="60">
        <f t="shared" si="21"/>
        <v>0</v>
      </c>
      <c r="K59" s="60">
        <f t="shared" si="21"/>
        <v>4689.3975903614455</v>
      </c>
      <c r="L59" s="60">
        <f t="shared" si="21"/>
        <v>16999.066265060239</v>
      </c>
      <c r="M59" s="60">
        <f t="shared" si="21"/>
        <v>3907.8313253012047</v>
      </c>
      <c r="N59" s="60">
        <f t="shared" si="21"/>
        <v>0</v>
      </c>
      <c r="O59" s="60">
        <f t="shared" si="21"/>
        <v>0</v>
      </c>
      <c r="P59" s="60">
        <f t="shared" si="21"/>
        <v>0</v>
      </c>
      <c r="Q59" s="60">
        <f t="shared" si="21"/>
        <v>64870</v>
      </c>
    </row>
    <row r="60" spans="2:18" x14ac:dyDescent="0.35">
      <c r="B60" t="str">
        <f>INPUTS!C44</f>
        <v>STP - AMC</v>
      </c>
      <c r="C60" s="1">
        <f>INPUTS!D44</f>
        <v>53100</v>
      </c>
      <c r="D60" s="60">
        <f>$C$60*D54</f>
        <v>5917.7710843373488</v>
      </c>
      <c r="E60" s="60">
        <f t="shared" ref="E60:Q60" si="22">$C$60*E54</f>
        <v>959.63855421686742</v>
      </c>
      <c r="F60" s="60">
        <f t="shared" si="22"/>
        <v>9116.5662650602408</v>
      </c>
      <c r="G60" s="60">
        <f t="shared" si="22"/>
        <v>1279.5180722891566</v>
      </c>
      <c r="H60" s="60">
        <f t="shared" si="22"/>
        <v>3198.7951807228915</v>
      </c>
      <c r="I60" s="60">
        <f t="shared" si="22"/>
        <v>11675.602409638554</v>
      </c>
      <c r="J60" s="60">
        <f t="shared" si="22"/>
        <v>0</v>
      </c>
      <c r="K60" s="60">
        <f t="shared" si="22"/>
        <v>3838.5542168674697</v>
      </c>
      <c r="L60" s="60">
        <f t="shared" si="22"/>
        <v>13914.759036144578</v>
      </c>
      <c r="M60" s="60">
        <f t="shared" si="22"/>
        <v>3198.7951807228915</v>
      </c>
      <c r="N60" s="60">
        <f t="shared" si="22"/>
        <v>0</v>
      </c>
      <c r="O60" s="60">
        <f t="shared" si="22"/>
        <v>0</v>
      </c>
      <c r="P60" s="60">
        <f t="shared" si="22"/>
        <v>0</v>
      </c>
      <c r="Q60" s="60">
        <f t="shared" si="22"/>
        <v>53100</v>
      </c>
    </row>
    <row r="61" spans="2:18" x14ac:dyDescent="0.35">
      <c r="B61" t="str">
        <f>INPUTS!C45</f>
        <v>STP - Maintenance</v>
      </c>
      <c r="C61" s="1">
        <f>INPUTS!D45</f>
        <v>6133</v>
      </c>
      <c r="D61" s="60">
        <f>$C$61*D54</f>
        <v>683.49698795180723</v>
      </c>
      <c r="E61" s="60">
        <f t="shared" ref="E61:Q61" si="23">$C$61*E54</f>
        <v>110.83734939759036</v>
      </c>
      <c r="F61" s="60">
        <f t="shared" si="23"/>
        <v>1052.9548192771085</v>
      </c>
      <c r="G61" s="60">
        <f t="shared" si="23"/>
        <v>147.7831325301205</v>
      </c>
      <c r="H61" s="60">
        <f t="shared" si="23"/>
        <v>369.45783132530119</v>
      </c>
      <c r="I61" s="60">
        <f t="shared" si="23"/>
        <v>1348.5210843373493</v>
      </c>
      <c r="J61" s="60">
        <f t="shared" si="23"/>
        <v>0</v>
      </c>
      <c r="K61" s="60">
        <f t="shared" si="23"/>
        <v>443.34939759036143</v>
      </c>
      <c r="L61" s="60">
        <f t="shared" si="23"/>
        <v>1607.1415662650602</v>
      </c>
      <c r="M61" s="60">
        <f t="shared" si="23"/>
        <v>369.45783132530119</v>
      </c>
      <c r="N61" s="60">
        <f t="shared" si="23"/>
        <v>0</v>
      </c>
      <c r="O61" s="60">
        <f t="shared" si="23"/>
        <v>0</v>
      </c>
      <c r="P61" s="60">
        <f t="shared" si="23"/>
        <v>0</v>
      </c>
      <c r="Q61" s="60">
        <f t="shared" si="23"/>
        <v>6133</v>
      </c>
    </row>
    <row r="62" spans="2:18" x14ac:dyDescent="0.35">
      <c r="B62" t="str">
        <f>INPUTS!C46</f>
        <v>Pool - AMC</v>
      </c>
      <c r="C62" s="1">
        <f>INPUTS!D46</f>
        <v>10000</v>
      </c>
      <c r="D62" s="60">
        <f>$C$62*D54</f>
        <v>1114.4578313253012</v>
      </c>
      <c r="E62" s="60">
        <f t="shared" ref="E62:Q62" si="24">$C$62*E54</f>
        <v>180.72289156626505</v>
      </c>
      <c r="F62" s="60">
        <f t="shared" si="24"/>
        <v>1716.867469879518</v>
      </c>
      <c r="G62" s="60">
        <f t="shared" si="24"/>
        <v>240.96385542168676</v>
      </c>
      <c r="H62" s="60">
        <f t="shared" si="24"/>
        <v>602.40963855421683</v>
      </c>
      <c r="I62" s="60">
        <f t="shared" si="24"/>
        <v>2198.7951807228915</v>
      </c>
      <c r="J62" s="60">
        <f t="shared" si="24"/>
        <v>0</v>
      </c>
      <c r="K62" s="60">
        <f t="shared" si="24"/>
        <v>722.89156626506019</v>
      </c>
      <c r="L62" s="60">
        <f t="shared" si="24"/>
        <v>2620.4819277108431</v>
      </c>
      <c r="M62" s="60">
        <f t="shared" si="24"/>
        <v>602.40963855421683</v>
      </c>
      <c r="N62" s="60">
        <f t="shared" si="24"/>
        <v>0</v>
      </c>
      <c r="O62" s="60">
        <f t="shared" si="24"/>
        <v>0</v>
      </c>
      <c r="P62" s="60">
        <f t="shared" si="24"/>
        <v>0</v>
      </c>
      <c r="Q62" s="60">
        <f t="shared" si="24"/>
        <v>10000</v>
      </c>
    </row>
    <row r="63" spans="2:18" x14ac:dyDescent="0.35">
      <c r="B63" t="str">
        <f>INPUTS!C47</f>
        <v>Pool - Material</v>
      </c>
      <c r="C63" s="1">
        <f>INPUTS!D47</f>
        <v>6508</v>
      </c>
      <c r="D63" s="60">
        <f>D54*$C$63</f>
        <v>725.28915662650604</v>
      </c>
      <c r="E63" s="60">
        <f t="shared" ref="E63:Q63" si="25">E54*$C$63</f>
        <v>117.6144578313253</v>
      </c>
      <c r="F63" s="60">
        <f t="shared" si="25"/>
        <v>1117.3373493975903</v>
      </c>
      <c r="G63" s="60">
        <f t="shared" si="25"/>
        <v>156.81927710843374</v>
      </c>
      <c r="H63" s="60">
        <f t="shared" si="25"/>
        <v>392.04819277108436</v>
      </c>
      <c r="I63" s="60">
        <f t="shared" si="25"/>
        <v>1430.9759036144578</v>
      </c>
      <c r="J63" s="60">
        <f t="shared" si="25"/>
        <v>0</v>
      </c>
      <c r="K63" s="60">
        <f t="shared" si="25"/>
        <v>470.45783132530119</v>
      </c>
      <c r="L63" s="60">
        <f t="shared" si="25"/>
        <v>1705.4096385542168</v>
      </c>
      <c r="M63" s="60">
        <f t="shared" si="25"/>
        <v>392.04819277108436</v>
      </c>
      <c r="N63" s="60">
        <f t="shared" si="25"/>
        <v>0</v>
      </c>
      <c r="O63" s="60">
        <f t="shared" si="25"/>
        <v>0</v>
      </c>
      <c r="P63" s="60">
        <f t="shared" si="25"/>
        <v>0</v>
      </c>
      <c r="Q63" s="60">
        <f t="shared" si="25"/>
        <v>6508</v>
      </c>
    </row>
    <row r="65" spans="2:17" x14ac:dyDescent="0.35">
      <c r="C65">
        <f>SUM(C57:C64)</f>
        <v>223803</v>
      </c>
      <c r="D65" s="60">
        <f>SUM(D57:D64)</f>
        <v>24941.900602409638</v>
      </c>
      <c r="E65" s="60">
        <f t="shared" ref="E65:P65" si="26">SUM(E57:E64)</f>
        <v>4044.6325301204811</v>
      </c>
      <c r="F65" s="60">
        <f t="shared" si="26"/>
        <v>38424.009036144576</v>
      </c>
      <c r="G65" s="60">
        <f t="shared" si="26"/>
        <v>5392.8433734939772</v>
      </c>
      <c r="H65" s="60">
        <f t="shared" si="26"/>
        <v>13482.108433734937</v>
      </c>
      <c r="I65" s="60">
        <f t="shared" si="26"/>
        <v>49209.695783132527</v>
      </c>
      <c r="J65" s="60">
        <f t="shared" si="26"/>
        <v>0</v>
      </c>
      <c r="K65" s="60">
        <f t="shared" si="26"/>
        <v>16178.530120481924</v>
      </c>
      <c r="L65" s="60">
        <f t="shared" si="26"/>
        <v>58647.17168674698</v>
      </c>
      <c r="M65" s="60">
        <f t="shared" si="26"/>
        <v>13482.108433734937</v>
      </c>
      <c r="N65" s="60">
        <f t="shared" si="26"/>
        <v>0</v>
      </c>
      <c r="O65" s="60">
        <f t="shared" si="26"/>
        <v>0</v>
      </c>
      <c r="P65" s="60">
        <f t="shared" si="26"/>
        <v>0</v>
      </c>
    </row>
    <row r="66" spans="2:17" x14ac:dyDescent="0.35">
      <c r="B66" s="64" t="s">
        <v>89</v>
      </c>
      <c r="D66" s="63">
        <f>D65/D3</f>
        <v>674.10542168674692</v>
      </c>
      <c r="E66" s="63">
        <f t="shared" ref="E66:M66" si="27">E65/E3</f>
        <v>674.10542168674681</v>
      </c>
      <c r="F66" s="63">
        <f t="shared" si="27"/>
        <v>674.10542168674692</v>
      </c>
      <c r="G66" s="63">
        <f t="shared" si="27"/>
        <v>674.10542168674715</v>
      </c>
      <c r="H66" s="63">
        <f t="shared" si="27"/>
        <v>674.10542168674681</v>
      </c>
      <c r="I66" s="63">
        <f t="shared" si="27"/>
        <v>674.10542168674692</v>
      </c>
      <c r="J66" s="63">
        <f t="shared" si="27"/>
        <v>0</v>
      </c>
      <c r="K66" s="63">
        <f t="shared" si="27"/>
        <v>674.10542168674681</v>
      </c>
      <c r="L66" s="63">
        <f t="shared" si="27"/>
        <v>674.10542168674692</v>
      </c>
      <c r="M66" s="63">
        <f t="shared" si="27"/>
        <v>674.10542168674681</v>
      </c>
    </row>
    <row r="68" spans="2:17" ht="18.5" x14ac:dyDescent="0.45">
      <c r="B68" t="s">
        <v>90</v>
      </c>
      <c r="C68" s="27">
        <f>C65+C35+C47</f>
        <v>947543</v>
      </c>
      <c r="D68" s="66">
        <f>D36+D48+D66</f>
        <v>3389.1510662941896</v>
      </c>
      <c r="E68" s="66">
        <f t="shared" ref="E68:M68" si="28">E36+E48+E66</f>
        <v>2650.1597288028515</v>
      </c>
      <c r="F68" s="66">
        <f t="shared" si="28"/>
        <v>2528.0699852131083</v>
      </c>
      <c r="G68" s="66">
        <f t="shared" si="28"/>
        <v>2528.0699852131083</v>
      </c>
      <c r="H68" s="66">
        <f t="shared" si="28"/>
        <v>2528.0699852131079</v>
      </c>
      <c r="I68" s="66">
        <f t="shared" si="28"/>
        <v>2528.0699852131083</v>
      </c>
      <c r="J68" s="66">
        <f t="shared" si="28"/>
        <v>1714.8876404494379</v>
      </c>
      <c r="K68" s="66">
        <f t="shared" si="28"/>
        <v>2954.7430621361846</v>
      </c>
      <c r="L68" s="66">
        <f t="shared" si="28"/>
        <v>2672.7861655844608</v>
      </c>
      <c r="M68" s="66">
        <f t="shared" si="28"/>
        <v>3110.243062136185</v>
      </c>
      <c r="Q68" s="65">
        <f>((C68-J3)/Q3)</f>
        <v>2661.5702247191011</v>
      </c>
    </row>
    <row r="69" spans="2:17" x14ac:dyDescent="0.35">
      <c r="D69" s="10">
        <f>D68-$Q$68</f>
        <v>727.58084157508847</v>
      </c>
      <c r="E69" s="10">
        <f t="shared" ref="E69:M69" si="29">E68-$Q$68</f>
        <v>-11.410495916249602</v>
      </c>
      <c r="F69" s="10">
        <f t="shared" si="29"/>
        <v>-133.50023950599279</v>
      </c>
      <c r="G69" s="10">
        <f t="shared" si="29"/>
        <v>-133.50023950599279</v>
      </c>
      <c r="H69" s="10">
        <f t="shared" si="29"/>
        <v>-133.50023950599325</v>
      </c>
      <c r="I69" s="10">
        <f t="shared" si="29"/>
        <v>-133.50023950599279</v>
      </c>
      <c r="J69" s="10">
        <f t="shared" si="29"/>
        <v>-946.68258426966327</v>
      </c>
      <c r="K69" s="10">
        <f t="shared" si="29"/>
        <v>293.17283741708343</v>
      </c>
      <c r="L69" s="10">
        <f t="shared" si="29"/>
        <v>11.215940865359698</v>
      </c>
      <c r="M69" s="10">
        <f t="shared" si="29"/>
        <v>448.67283741708388</v>
      </c>
    </row>
  </sheetData>
  <protectedRanges>
    <protectedRange sqref="C54:C55" name="Range4_1"/>
  </protectedRanges>
  <mergeCells count="15">
    <mergeCell ref="D5:E5"/>
    <mergeCell ref="F5:G5"/>
    <mergeCell ref="I5:J5"/>
    <mergeCell ref="D6:E6"/>
    <mergeCell ref="F6:G6"/>
    <mergeCell ref="I6:J6"/>
    <mergeCell ref="D12:E12"/>
    <mergeCell ref="F12:G12"/>
    <mergeCell ref="I12:J12"/>
    <mergeCell ref="D9:E9"/>
    <mergeCell ref="F9:G9"/>
    <mergeCell ref="I9:J9"/>
    <mergeCell ref="D10:E10"/>
    <mergeCell ref="F10:G10"/>
    <mergeCell ref="I10:J1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DA62D-C9F3-4690-A692-16C6682B6EEB}">
  <dimension ref="B3:Q12"/>
  <sheetViews>
    <sheetView zoomScale="77" zoomScaleNormal="80" workbookViewId="0">
      <selection activeCell="P18" sqref="P18"/>
    </sheetView>
  </sheetViews>
  <sheetFormatPr defaultRowHeight="14.5" x14ac:dyDescent="0.35"/>
  <cols>
    <col min="2" max="2" width="15.6328125" customWidth="1"/>
    <col min="16" max="16" width="32.36328125" bestFit="1" customWidth="1"/>
  </cols>
  <sheetData>
    <row r="3" spans="2:17" x14ac:dyDescent="0.35">
      <c r="C3" s="67" t="str">
        <f>CALCULATIONS!D2</f>
        <v>C1</v>
      </c>
      <c r="D3" s="67" t="str">
        <f>CALCULATIONS!E2</f>
        <v>Q4</v>
      </c>
      <c r="E3" s="67" t="str">
        <f>CALCULATIONS!F2</f>
        <v>C2</v>
      </c>
      <c r="F3" s="67" t="str">
        <f>CALCULATIONS!G2</f>
        <v>C4</v>
      </c>
      <c r="G3" s="67" t="str">
        <f>CALCULATIONS!H2</f>
        <v>C-2X</v>
      </c>
      <c r="H3" s="67" t="str">
        <f>CALCULATIONS!I2</f>
        <v>C3</v>
      </c>
      <c r="I3" s="67" t="str">
        <f>CALCULATIONS!J2</f>
        <v>C3-Plots</v>
      </c>
      <c r="J3" s="67" t="str">
        <f>CALCULATIONS!K2</f>
        <v>Q1</v>
      </c>
      <c r="K3" s="67" t="str">
        <f>CALCULATIONS!L2</f>
        <v>Q2</v>
      </c>
      <c r="L3" s="67" t="str">
        <f>CALCULATIONS!M2</f>
        <v>Q3</v>
      </c>
      <c r="M3" s="67" t="str">
        <f>CALCULATIONS!N2</f>
        <v>X1</v>
      </c>
      <c r="N3" s="67" t="str">
        <f>CALCULATIONS!O2</f>
        <v>X2</v>
      </c>
      <c r="O3" s="67" t="str">
        <f>CALCULATIONS!P2</f>
        <v>X3</v>
      </c>
    </row>
    <row r="4" spans="2:17" x14ac:dyDescent="0.35">
      <c r="B4" t="s">
        <v>91</v>
      </c>
      <c r="C4" s="10">
        <f>CALCULATIONS!D36</f>
        <v>1714.8876404494385</v>
      </c>
      <c r="D4" s="10">
        <f>CALCULATIONS!E36</f>
        <v>1714.8876404494379</v>
      </c>
      <c r="E4" s="10">
        <f>CALCULATIONS!F36</f>
        <v>1714.8876404494385</v>
      </c>
      <c r="F4" s="10">
        <f>CALCULATIONS!G36</f>
        <v>1714.8876404494381</v>
      </c>
      <c r="G4" s="10">
        <f>CALCULATIONS!H36</f>
        <v>1714.8876404494381</v>
      </c>
      <c r="H4" s="10">
        <f>CALCULATIONS!I36</f>
        <v>1714.8876404494383</v>
      </c>
      <c r="I4" s="10">
        <f>CALCULATIONS!J36</f>
        <v>1714.8876404494379</v>
      </c>
      <c r="J4" s="10">
        <f>CALCULATIONS!K36</f>
        <v>1714.8876404494379</v>
      </c>
      <c r="K4" s="10">
        <f>CALCULATIONS!L36</f>
        <v>1714.8876404494379</v>
      </c>
      <c r="L4" s="10">
        <f>CALCULATIONS!M36</f>
        <v>1714.8876404494381</v>
      </c>
      <c r="M4" s="10" t="e">
        <f>CALCULATIONS!N36</f>
        <v>#DIV/0!</v>
      </c>
      <c r="N4" s="10" t="e">
        <f>CALCULATIONS!O36</f>
        <v>#DIV/0!</v>
      </c>
      <c r="O4" s="10" t="e">
        <f>CALCULATIONS!P36</f>
        <v>#DIV/0!</v>
      </c>
      <c r="P4" t="s">
        <v>98</v>
      </c>
    </row>
    <row r="5" spans="2:17" x14ac:dyDescent="0.35">
      <c r="B5" t="s">
        <v>81</v>
      </c>
      <c r="C5" s="10">
        <f>CALCULATIONS!D48</f>
        <v>1000.1580041580042</v>
      </c>
      <c r="D5" s="10">
        <f>CALCULATIONS!E48</f>
        <v>261.16666666666669</v>
      </c>
      <c r="E5" s="10">
        <f>CALCULATIONS!F48</f>
        <v>139.07692307692309</v>
      </c>
      <c r="F5" s="10">
        <f>CALCULATIONS!G48</f>
        <v>139.07692307692307</v>
      </c>
      <c r="G5" s="10">
        <f>CALCULATIONS!H48</f>
        <v>139.07692307692307</v>
      </c>
      <c r="H5" s="10">
        <f>CALCULATIONS!I48</f>
        <v>139.07692307692307</v>
      </c>
      <c r="I5" s="10">
        <f>CALCULATIONS!J48</f>
        <v>0</v>
      </c>
      <c r="J5" s="10">
        <f>CALCULATIONS!K48</f>
        <v>565.75</v>
      </c>
      <c r="K5" s="10">
        <f>CALCULATIONS!L48</f>
        <v>283.79310344827587</v>
      </c>
      <c r="L5" s="10">
        <f>CALCULATIONS!M48</f>
        <v>721.25</v>
      </c>
      <c r="M5" s="10" t="e">
        <f>CALCULATIONS!N48</f>
        <v>#DIV/0!</v>
      </c>
      <c r="N5" s="10" t="e">
        <f>CALCULATIONS!O48</f>
        <v>#DIV/0!</v>
      </c>
      <c r="O5" s="10" t="e">
        <f>CALCULATIONS!P48</f>
        <v>#DIV/0!</v>
      </c>
      <c r="P5" t="s">
        <v>97</v>
      </c>
    </row>
    <row r="6" spans="2:17" x14ac:dyDescent="0.35">
      <c r="B6" t="s">
        <v>92</v>
      </c>
      <c r="C6" s="10">
        <f>CALCULATIONS!D66</f>
        <v>674.10542168674692</v>
      </c>
      <c r="D6" s="10">
        <f>CALCULATIONS!E66</f>
        <v>674.10542168674681</v>
      </c>
      <c r="E6" s="10">
        <f>CALCULATIONS!F66</f>
        <v>674.10542168674692</v>
      </c>
      <c r="F6" s="10">
        <f>CALCULATIONS!G66</f>
        <v>674.10542168674715</v>
      </c>
      <c r="G6" s="10">
        <f>CALCULATIONS!H66</f>
        <v>674.10542168674681</v>
      </c>
      <c r="H6" s="10">
        <f>CALCULATIONS!I66</f>
        <v>674.10542168674692</v>
      </c>
      <c r="I6" s="10">
        <f>CALCULATIONS!J66</f>
        <v>0</v>
      </c>
      <c r="J6" s="10">
        <f>CALCULATIONS!K66</f>
        <v>674.10542168674681</v>
      </c>
      <c r="K6" s="10">
        <f>CALCULATIONS!L66</f>
        <v>674.10542168674692</v>
      </c>
      <c r="L6" s="10">
        <f>CALCULATIONS!M66</f>
        <v>674.10542168674681</v>
      </c>
      <c r="M6" s="10">
        <f>CALCULATIONS!N66</f>
        <v>0</v>
      </c>
      <c r="N6" s="10">
        <f>CALCULATIONS!O66</f>
        <v>0</v>
      </c>
      <c r="O6" s="10">
        <f>CALCULATIONS!P66</f>
        <v>0</v>
      </c>
      <c r="P6" t="s">
        <v>96</v>
      </c>
    </row>
    <row r="7" spans="2:17" x14ac:dyDescent="0.35"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2:17" x14ac:dyDescent="0.35">
      <c r="B8" t="s">
        <v>61</v>
      </c>
      <c r="C8" s="10">
        <f>SUM(C4:C7)</f>
        <v>3389.1510662941896</v>
      </c>
      <c r="D8" s="10">
        <f t="shared" ref="D8:L8" si="0">SUM(D4:D7)</f>
        <v>2650.1597288028515</v>
      </c>
      <c r="E8" s="10">
        <f t="shared" si="0"/>
        <v>2528.0699852131083</v>
      </c>
      <c r="F8" s="10">
        <f t="shared" si="0"/>
        <v>2528.0699852131083</v>
      </c>
      <c r="G8" s="10">
        <f t="shared" si="0"/>
        <v>2528.0699852131079</v>
      </c>
      <c r="H8" s="10">
        <f t="shared" si="0"/>
        <v>2528.0699852131083</v>
      </c>
      <c r="I8" s="10">
        <f t="shared" si="0"/>
        <v>1714.8876404494379</v>
      </c>
      <c r="J8" s="10">
        <f t="shared" si="0"/>
        <v>2954.7430621361846</v>
      </c>
      <c r="K8" s="10">
        <f t="shared" si="0"/>
        <v>2672.7861655844608</v>
      </c>
      <c r="L8" s="10">
        <f t="shared" si="0"/>
        <v>3110.243062136185</v>
      </c>
      <c r="M8" s="10"/>
      <c r="N8" s="1"/>
      <c r="O8" s="1"/>
      <c r="P8" s="10">
        <f>CALCULATIONS!Q68</f>
        <v>2661.5702247191011</v>
      </c>
      <c r="Q8" t="s">
        <v>94</v>
      </c>
    </row>
    <row r="9" spans="2:17" x14ac:dyDescent="0.35">
      <c r="B9" t="s">
        <v>93</v>
      </c>
      <c r="C9" s="10">
        <f>C8-$P$8</f>
        <v>727.58084157508847</v>
      </c>
      <c r="D9" s="10">
        <f t="shared" ref="D9:L9" si="1">D8-$P$8</f>
        <v>-11.410495916249602</v>
      </c>
      <c r="E9" s="10">
        <f t="shared" si="1"/>
        <v>-133.50023950599279</v>
      </c>
      <c r="F9" s="10">
        <f t="shared" si="1"/>
        <v>-133.50023950599279</v>
      </c>
      <c r="G9" s="10">
        <f t="shared" si="1"/>
        <v>-133.50023950599325</v>
      </c>
      <c r="H9" s="10">
        <f t="shared" si="1"/>
        <v>-133.50023950599279</v>
      </c>
      <c r="I9" s="10">
        <f t="shared" si="1"/>
        <v>-946.68258426966327</v>
      </c>
      <c r="J9" s="10">
        <f t="shared" si="1"/>
        <v>293.17283741708343</v>
      </c>
      <c r="K9" s="10">
        <f t="shared" si="1"/>
        <v>11.215940865359698</v>
      </c>
      <c r="L9" s="10">
        <f t="shared" si="1"/>
        <v>448.67283741708388</v>
      </c>
      <c r="P9" s="10">
        <f>P11/Q12</f>
        <v>3196.757759784075</v>
      </c>
      <c r="Q9" t="s">
        <v>108</v>
      </c>
    </row>
    <row r="10" spans="2:17" x14ac:dyDescent="0.35">
      <c r="P10" s="10">
        <f>P11/([1]CALCULATIONS!Q6*0.9)</f>
        <v>2957.3002496878898</v>
      </c>
      <c r="Q10" t="s">
        <v>109</v>
      </c>
    </row>
    <row r="11" spans="2:17" x14ac:dyDescent="0.35">
      <c r="B11" t="s">
        <v>99</v>
      </c>
      <c r="C11" s="10">
        <f>C8+$Q$13</f>
        <v>3389.1510662941896</v>
      </c>
      <c r="D11" s="10">
        <f t="shared" ref="D11:L11" si="2">D8+$Q$13</f>
        <v>2650.1597288028515</v>
      </c>
      <c r="E11" s="10">
        <f t="shared" si="2"/>
        <v>2528.0699852131083</v>
      </c>
      <c r="F11" s="10">
        <f t="shared" si="2"/>
        <v>2528.0699852131083</v>
      </c>
      <c r="G11" s="10">
        <f t="shared" si="2"/>
        <v>2528.0699852131079</v>
      </c>
      <c r="H11" s="10">
        <f t="shared" si="2"/>
        <v>2528.0699852131083</v>
      </c>
      <c r="I11" s="10">
        <f t="shared" si="2"/>
        <v>1714.8876404494379</v>
      </c>
      <c r="J11" s="10">
        <f t="shared" si="2"/>
        <v>2954.7430621361846</v>
      </c>
      <c r="K11" s="10">
        <f t="shared" si="2"/>
        <v>2672.7861655844608</v>
      </c>
      <c r="L11" s="10">
        <f t="shared" si="2"/>
        <v>3110.243062136185</v>
      </c>
      <c r="P11" s="1">
        <f>P8*356</f>
        <v>947519</v>
      </c>
      <c r="Q11" t="s">
        <v>95</v>
      </c>
    </row>
    <row r="12" spans="2:17" x14ac:dyDescent="0.35">
      <c r="P12" t="s">
        <v>110</v>
      </c>
      <c r="Q12" s="10">
        <f>0.9*([1]CALCULATIONS!Q3)-([1]CALCULATIONS!J3)</f>
        <v>296.40000000000003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B2E35-95DB-40E7-8419-9190853A0712}">
  <dimension ref="D3:G14"/>
  <sheetViews>
    <sheetView workbookViewId="0">
      <selection activeCell="D3" sqref="D3:G14"/>
    </sheetView>
  </sheetViews>
  <sheetFormatPr defaultRowHeight="14.5" x14ac:dyDescent="0.35"/>
  <cols>
    <col min="4" max="4" width="23.7265625" bestFit="1" customWidth="1"/>
    <col min="6" max="6" width="8.7265625" style="1"/>
    <col min="7" max="7" width="14" bestFit="1" customWidth="1"/>
  </cols>
  <sheetData>
    <row r="3" spans="4:7" x14ac:dyDescent="0.35">
      <c r="G3" t="s">
        <v>120</v>
      </c>
    </row>
    <row r="4" spans="4:7" x14ac:dyDescent="0.35">
      <c r="D4" t="s">
        <v>39</v>
      </c>
      <c r="E4" s="74">
        <v>288510</v>
      </c>
      <c r="F4" s="75">
        <f ca="1">E4/$E$14</f>
        <v>0.30448222402571706</v>
      </c>
      <c r="G4" s="10">
        <f>E4/356</f>
        <v>810.42134831460669</v>
      </c>
    </row>
    <row r="5" spans="4:7" x14ac:dyDescent="0.35">
      <c r="D5" t="s">
        <v>111</v>
      </c>
      <c r="E5" s="74">
        <v>161500</v>
      </c>
      <c r="F5" s="75">
        <f ca="1">E5/$E$14</f>
        <v>0.17044081376781844</v>
      </c>
      <c r="G5" s="10">
        <f t="shared" ref="G5:G14" si="0">E5/356</f>
        <v>453.65168539325845</v>
      </c>
    </row>
    <row r="6" spans="4:7" x14ac:dyDescent="0.35">
      <c r="D6" t="s">
        <v>115</v>
      </c>
      <c r="E6" s="74">
        <v>133165</v>
      </c>
      <c r="F6" s="75">
        <f ca="1">E6/$E$14</f>
        <v>0.140537157680443</v>
      </c>
      <c r="G6" s="10">
        <f t="shared" si="0"/>
        <v>374.05898876404495</v>
      </c>
    </row>
    <row r="7" spans="4:7" x14ac:dyDescent="0.35">
      <c r="D7" t="s">
        <v>112</v>
      </c>
      <c r="E7" s="74">
        <v>102936</v>
      </c>
      <c r="F7" s="75">
        <f ca="1">E7/$E$14</f>
        <v>0.10863464771519604</v>
      </c>
      <c r="G7" s="10">
        <f t="shared" si="0"/>
        <v>289.14606741573033</v>
      </c>
    </row>
    <row r="8" spans="4:7" x14ac:dyDescent="0.35">
      <c r="D8" t="s">
        <v>117</v>
      </c>
      <c r="E8" s="74">
        <v>101250</v>
      </c>
      <c r="F8" s="75">
        <f ca="1">E8/$E$14</f>
        <v>0.10685530894112458</v>
      </c>
      <c r="G8" s="10">
        <f t="shared" si="0"/>
        <v>284.41011235955057</v>
      </c>
    </row>
    <row r="9" spans="4:7" x14ac:dyDescent="0.35">
      <c r="D9" t="s">
        <v>113</v>
      </c>
      <c r="E9" s="74">
        <v>55382</v>
      </c>
      <c r="F9" s="75">
        <f ca="1">E9/$E$14</f>
        <v>5.8448007108912209E-2</v>
      </c>
      <c r="G9" s="10">
        <f t="shared" si="0"/>
        <v>155.56741573033707</v>
      </c>
    </row>
    <row r="10" spans="4:7" x14ac:dyDescent="0.35">
      <c r="D10" t="s">
        <v>119</v>
      </c>
      <c r="E10" s="74">
        <f>24659+17191</f>
        <v>41850</v>
      </c>
      <c r="F10" s="75">
        <f ca="1">E10/$E$14</f>
        <v>4.416686102899816E-2</v>
      </c>
      <c r="G10" s="10">
        <f t="shared" si="0"/>
        <v>117.5561797752809</v>
      </c>
    </row>
    <row r="11" spans="4:7" x14ac:dyDescent="0.35">
      <c r="D11" t="s">
        <v>116</v>
      </c>
      <c r="E11" s="74">
        <v>29601</v>
      </c>
      <c r="F11" s="75">
        <f ca="1">E11/$E$14</f>
        <v>3.1239743209542998E-2</v>
      </c>
      <c r="G11" s="10">
        <f t="shared" si="0"/>
        <v>83.148876404494388</v>
      </c>
    </row>
    <row r="12" spans="4:7" x14ac:dyDescent="0.35">
      <c r="D12" t="s">
        <v>114</v>
      </c>
      <c r="E12" s="74">
        <v>16841</v>
      </c>
      <c r="F12" s="75">
        <f ca="1">E12/$E$14</f>
        <v>1.7773335880271395E-2</v>
      </c>
      <c r="G12" s="10">
        <f t="shared" si="0"/>
        <v>47.306179775280896</v>
      </c>
    </row>
    <row r="13" spans="4:7" x14ac:dyDescent="0.35">
      <c r="D13" t="s">
        <v>118</v>
      </c>
      <c r="E13" s="74">
        <v>16508</v>
      </c>
      <c r="F13" s="75">
        <f ca="1">E13/$E$14</f>
        <v>1.7421900641976143E-2</v>
      </c>
      <c r="G13" s="10">
        <f t="shared" si="0"/>
        <v>46.370786516853933</v>
      </c>
    </row>
    <row r="14" spans="4:7" x14ac:dyDescent="0.35">
      <c r="E14">
        <f ca="1">SUM(E4:E14)</f>
        <v>947543</v>
      </c>
      <c r="F14" s="76"/>
      <c r="G14" s="10">
        <f>947543/356</f>
        <v>2661.6376404494381</v>
      </c>
    </row>
  </sheetData>
  <sortState ref="D4:F13">
    <sortCondition descending="1" ref="F4:F13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INPUTS</vt:lpstr>
      <vt:lpstr>CALCULATIONS</vt:lpstr>
      <vt:lpstr>SUMMARY</vt:lpstr>
      <vt:lpstr>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PRABHAKARAN Manoj</dc:creator>
  <cp:lastModifiedBy>PRABHAKARAN Manoj</cp:lastModifiedBy>
  <dcterms:created xsi:type="dcterms:W3CDTF">2018-09-29T14:06:32Z</dcterms:created>
  <dcterms:modified xsi:type="dcterms:W3CDTF">2019-03-08T17:31:02Z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d3c1e99-73ed-46f4-9233-3591d9cef3c2_Enabled">
    <vt:lpwstr>True</vt:lpwstr>
  </property>
  <property fmtid="{D5CDD505-2E9C-101B-9397-08002B2CF9AE}" pid="3" name="MSIP_Label_6d3c1e99-73ed-46f4-9233-3591d9cef3c2_SiteId">
    <vt:lpwstr>0d993ad3-fa73-421a-b129-1fe5590103f3</vt:lpwstr>
  </property>
  <property fmtid="{D5CDD505-2E9C-101B-9397-08002B2CF9AE}" pid="4" name="MSIP_Label_6d3c1e99-73ed-46f4-9233-3591d9cef3c2_Owner">
    <vt:lpwstr>manoj.prabhakaran@alstomgroup.com</vt:lpwstr>
  </property>
  <property fmtid="{D5CDD505-2E9C-101B-9397-08002B2CF9AE}" pid="5" name="MSIP_Label_6d3c1e99-73ed-46f4-9233-3591d9cef3c2_SetDate">
    <vt:lpwstr>2019-02-02T03:46:27.0285048Z</vt:lpwstr>
  </property>
  <property fmtid="{D5CDD505-2E9C-101B-9397-08002B2CF9AE}" pid="6" name="MSIP_Label_6d3c1e99-73ed-46f4-9233-3591d9cef3c2_Name">
    <vt:lpwstr>Public</vt:lpwstr>
  </property>
  <property fmtid="{D5CDD505-2E9C-101B-9397-08002B2CF9AE}" pid="7" name="MSIP_Label_6d3c1e99-73ed-46f4-9233-3591d9cef3c2_Application">
    <vt:lpwstr>Microsoft Azure Information Protection</vt:lpwstr>
  </property>
  <property fmtid="{D5CDD505-2E9C-101B-9397-08002B2CF9AE}" pid="8" name="MSIP_Label_6d3c1e99-73ed-46f4-9233-3591d9cef3c2_Extended_MSFT_Method">
    <vt:lpwstr>Manual</vt:lpwstr>
  </property>
  <property fmtid="{D5CDD505-2E9C-101B-9397-08002B2CF9AE}" pid="9" name="Sensitivity">
    <vt:lpwstr>Public</vt:lpwstr>
  </property>
</Properties>
</file>