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mehta/Downloads/"/>
    </mc:Choice>
  </mc:AlternateContent>
  <xr:revisionPtr revIDLastSave="0" documentId="13_ncr:1_{BA24057D-E60B-5C4C-823B-5B955B84E9E2}" xr6:coauthVersionLast="47" xr6:coauthVersionMax="47" xr10:uidLastSave="{00000000-0000-0000-0000-000000000000}"/>
  <bookViews>
    <workbookView xWindow="1020" yWindow="500" windowWidth="27780" windowHeight="15840" xr2:uid="{C0D07CAF-4389-4B86-8939-20936BCB5C81}"/>
  </bookViews>
  <sheets>
    <sheet name="Summary" sheetId="1" r:id="rId1"/>
    <sheet name="Cash Flow Statement" sheetId="2" r:id="rId2"/>
  </sheets>
  <definedNames>
    <definedName name="_xlnm.Print_Area" localSheetId="1">'Cash Flow Statement'!$A$1:$DW$144</definedName>
    <definedName name="_xlnm.Print_Area" localSheetId="0">Summary!$A$1:$Q$66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U80" i="2" l="1"/>
  <c r="P17" i="1"/>
  <c r="P16" i="1"/>
  <c r="L16" i="1"/>
  <c r="H40" i="1"/>
  <c r="D42" i="2"/>
  <c r="H33" i="1" a="1"/>
  <c r="H33" i="1" s="1"/>
  <c r="H19" i="1"/>
  <c r="K37" i="1" l="1"/>
  <c r="M22" i="1"/>
  <c r="P22" i="1"/>
  <c r="H29" i="1"/>
  <c r="H30" i="1"/>
  <c r="H31" i="1"/>
  <c r="H32" i="1"/>
  <c r="H24" i="1"/>
  <c r="H25" i="1"/>
  <c r="H18" i="1"/>
  <c r="H9" i="1"/>
  <c r="M10" i="1" s="1"/>
  <c r="J11" i="1" s="1"/>
  <c r="L10" i="1"/>
  <c r="M7" i="1"/>
  <c r="H13" i="1"/>
  <c r="H11" i="1"/>
  <c r="M13" i="1" s="1"/>
  <c r="L7" i="1"/>
  <c r="L13" i="1"/>
  <c r="L14" i="1" s="1"/>
  <c r="K15" i="1"/>
  <c r="O14" i="1"/>
  <c r="E15" i="2" s="1"/>
  <c r="O15" i="1"/>
  <c r="E16" i="2" s="1"/>
  <c r="DU114" i="2"/>
  <c r="L11" i="1" l="1"/>
  <c r="L15" i="1"/>
  <c r="E100" i="2"/>
  <c r="G53" i="1" l="1"/>
  <c r="L8" i="1"/>
  <c r="E43" i="2"/>
  <c r="O62" i="1"/>
  <c r="O61" i="1"/>
  <c r="N62" i="1"/>
  <c r="N61" i="1"/>
  <c r="L64" i="1"/>
  <c r="C94" i="2"/>
  <c r="DV90" i="2"/>
  <c r="DV89" i="2"/>
  <c r="DV102" i="2" s="1"/>
  <c r="E86" i="2"/>
  <c r="D86" i="2"/>
  <c r="E85" i="2"/>
  <c r="B88" i="2"/>
  <c r="P40" i="1"/>
  <c r="O40" i="1"/>
  <c r="N40" i="1"/>
  <c r="M40" i="1"/>
  <c r="L40" i="1"/>
  <c r="K40" i="1"/>
  <c r="DV94" i="2" l="1"/>
  <c r="DV106" i="2" s="1"/>
  <c r="F56" i="1"/>
  <c r="F49" i="1"/>
  <c r="O12" i="1"/>
  <c r="E12" i="2" s="1"/>
  <c r="O30" i="1"/>
  <c r="P62" i="1" l="1"/>
  <c r="L65" i="1"/>
  <c r="P61" i="1"/>
  <c r="C95" i="2"/>
  <c r="O22" i="1"/>
  <c r="E24" i="2" s="1"/>
  <c r="O25" i="1"/>
  <c r="E27" i="2" s="1"/>
  <c r="O28" i="1"/>
  <c r="E30" i="2" s="1"/>
  <c r="O29" i="1"/>
  <c r="E31" i="2" s="1"/>
  <c r="E29" i="2"/>
  <c r="O26" i="1"/>
  <c r="E28" i="2" s="1"/>
  <c r="O24" i="1"/>
  <c r="E26" i="2" s="1"/>
  <c r="O23" i="1"/>
  <c r="E25" i="2" s="1"/>
  <c r="B31" i="2"/>
  <c r="B30" i="2"/>
  <c r="B29" i="2"/>
  <c r="B28" i="2"/>
  <c r="B27" i="2"/>
  <c r="B26" i="2"/>
  <c r="B25" i="2"/>
  <c r="B24" i="2"/>
  <c r="E3" i="2"/>
  <c r="E87" i="2" s="1"/>
  <c r="O11" i="1"/>
  <c r="E11" i="2" s="1"/>
  <c r="O9" i="1"/>
  <c r="E8" i="2" s="1"/>
  <c r="O8" i="1"/>
  <c r="E7" i="2" s="1"/>
  <c r="K12" i="1"/>
  <c r="K9" i="1"/>
  <c r="C96" i="2" l="1"/>
  <c r="DV95" i="2"/>
  <c r="L12" i="1"/>
  <c r="L9" i="1"/>
  <c r="M29" i="1" l="1"/>
  <c r="P29" i="1" s="1"/>
  <c r="M25" i="1"/>
  <c r="P25" i="1" s="1"/>
  <c r="H20" i="1"/>
  <c r="D40" i="2" s="1"/>
  <c r="E40" i="2" s="1"/>
  <c r="DV101" i="2"/>
  <c r="DV104" i="2" s="1"/>
  <c r="DV96" i="2"/>
  <c r="M30" i="1"/>
  <c r="P30" i="1" s="1"/>
  <c r="M28" i="1"/>
  <c r="P28" i="1" s="1"/>
  <c r="M27" i="1"/>
  <c r="P27" i="1" s="1"/>
  <c r="M26" i="1"/>
  <c r="P26" i="1" s="1"/>
  <c r="M24" i="1"/>
  <c r="P24" i="1" s="1"/>
  <c r="M23" i="1"/>
  <c r="P23" i="1" s="1"/>
  <c r="P31" i="1" l="1"/>
  <c r="F3" i="2"/>
  <c r="F1" i="2" l="1"/>
  <c r="F85" i="2" s="1"/>
  <c r="F87" i="2"/>
  <c r="F2" i="2"/>
  <c r="G3" i="2"/>
  <c r="G87" i="2" s="1"/>
  <c r="F16" i="2" l="1"/>
  <c r="F15" i="2"/>
  <c r="F86" i="2"/>
  <c r="F25" i="2"/>
  <c r="R1" i="2"/>
  <c r="R85" i="2" s="1"/>
  <c r="F24" i="2"/>
  <c r="F27" i="2"/>
  <c r="F26" i="2"/>
  <c r="F8" i="2"/>
  <c r="F28" i="2"/>
  <c r="F7" i="2"/>
  <c r="F29" i="2"/>
  <c r="F30" i="2"/>
  <c r="F11" i="2"/>
  <c r="F31" i="2"/>
  <c r="F12" i="2"/>
  <c r="L1" i="2"/>
  <c r="L85" i="2" s="1"/>
  <c r="H3" i="2"/>
  <c r="O1" i="2"/>
  <c r="O85" i="2" s="1"/>
  <c r="Q1" i="2"/>
  <c r="Q85" i="2" s="1"/>
  <c r="H1" i="2"/>
  <c r="H85" i="2" s="1"/>
  <c r="I1" i="2"/>
  <c r="I85" i="2" s="1"/>
  <c r="N1" i="2"/>
  <c r="N85" i="2" s="1"/>
  <c r="G1" i="2"/>
  <c r="G85" i="2" s="1"/>
  <c r="K1" i="2"/>
  <c r="K85" i="2" s="1"/>
  <c r="J1" i="2"/>
  <c r="J85" i="2" s="1"/>
  <c r="P1" i="2"/>
  <c r="P85" i="2" s="1"/>
  <c r="M1" i="2"/>
  <c r="M85" i="2" s="1"/>
  <c r="G2" i="2"/>
  <c r="G16" i="2" l="1"/>
  <c r="G15" i="2"/>
  <c r="H87" i="2"/>
  <c r="G86" i="2"/>
  <c r="G8" i="2"/>
  <c r="G12" i="2"/>
  <c r="G7" i="2"/>
  <c r="G11" i="2"/>
  <c r="G27" i="2"/>
  <c r="G25" i="2"/>
  <c r="G31" i="2"/>
  <c r="G29" i="2"/>
  <c r="G28" i="2"/>
  <c r="G26" i="2"/>
  <c r="G30" i="2"/>
  <c r="G24" i="2"/>
  <c r="H2" i="2"/>
  <c r="Y1" i="2"/>
  <c r="Y85" i="2" s="1"/>
  <c r="W1" i="2"/>
  <c r="W85" i="2" s="1"/>
  <c r="U1" i="2"/>
  <c r="X1" i="2"/>
  <c r="X85" i="2" s="1"/>
  <c r="AC1" i="2"/>
  <c r="AC85" i="2" s="1"/>
  <c r="AB1" i="2"/>
  <c r="AB85" i="2" s="1"/>
  <c r="T1" i="2"/>
  <c r="V1" i="2"/>
  <c r="Z1" i="2"/>
  <c r="Z85" i="2" s="1"/>
  <c r="AA1" i="2"/>
  <c r="AA85" i="2" s="1"/>
  <c r="I3" i="2"/>
  <c r="I87" i="2" s="1"/>
  <c r="AD1" i="2"/>
  <c r="AD85" i="2" s="1"/>
  <c r="S1" i="2"/>
  <c r="S85" i="2" s="1"/>
  <c r="H16" i="2" l="1"/>
  <c r="H15" i="2"/>
  <c r="AH1" i="2"/>
  <c r="AH85" i="2" s="1"/>
  <c r="V85" i="2"/>
  <c r="H86" i="2"/>
  <c r="AF1" i="2"/>
  <c r="AF85" i="2" s="1"/>
  <c r="T85" i="2"/>
  <c r="AG1" i="2"/>
  <c r="AG85" i="2" s="1"/>
  <c r="U85" i="2"/>
  <c r="H8" i="2"/>
  <c r="H12" i="2"/>
  <c r="H11" i="2"/>
  <c r="H7" i="2"/>
  <c r="I2" i="2"/>
  <c r="H31" i="2"/>
  <c r="H29" i="2"/>
  <c r="H28" i="2"/>
  <c r="H26" i="2"/>
  <c r="H30" i="2"/>
  <c r="H27" i="2"/>
  <c r="H25" i="2"/>
  <c r="H24" i="2"/>
  <c r="AJ1" i="2"/>
  <c r="AJ85" i="2" s="1"/>
  <c r="AL1" i="2"/>
  <c r="AL85" i="2" s="1"/>
  <c r="AN1" i="2"/>
  <c r="AN85" i="2" s="1"/>
  <c r="AI1" i="2"/>
  <c r="AI85" i="2" s="1"/>
  <c r="AM1" i="2"/>
  <c r="AM85" i="2" s="1"/>
  <c r="AP1" i="2"/>
  <c r="AP85" i="2" s="1"/>
  <c r="AO1" i="2"/>
  <c r="AO85" i="2" s="1"/>
  <c r="AK1" i="2"/>
  <c r="AK85" i="2" s="1"/>
  <c r="J3" i="2"/>
  <c r="J87" i="2" s="1"/>
  <c r="AE1" i="2"/>
  <c r="AE85" i="2" s="1"/>
  <c r="I15" i="2" l="1"/>
  <c r="I16" i="2"/>
  <c r="I86" i="2"/>
  <c r="AS1" i="2"/>
  <c r="AS85" i="2" s="1"/>
  <c r="AT1" i="2"/>
  <c r="AT85" i="2" s="1"/>
  <c r="AR1" i="2"/>
  <c r="BD1" i="2" s="1"/>
  <c r="I12" i="2"/>
  <c r="I11" i="2"/>
  <c r="I7" i="2"/>
  <c r="I8" i="2"/>
  <c r="J2" i="2"/>
  <c r="I26" i="2"/>
  <c r="I30" i="2"/>
  <c r="I27" i="2"/>
  <c r="I25" i="2"/>
  <c r="I31" i="2"/>
  <c r="I29" i="2"/>
  <c r="I28" i="2"/>
  <c r="I24" i="2"/>
  <c r="BA1" i="2"/>
  <c r="BA85" i="2" s="1"/>
  <c r="AU1" i="2"/>
  <c r="AU85" i="2" s="1"/>
  <c r="AV1" i="2"/>
  <c r="AV85" i="2" s="1"/>
  <c r="BB1" i="2"/>
  <c r="BB85" i="2" s="1"/>
  <c r="AY1" i="2"/>
  <c r="AY85" i="2" s="1"/>
  <c r="AW1" i="2"/>
  <c r="AW85" i="2" s="1"/>
  <c r="AX1" i="2"/>
  <c r="AX85" i="2" s="1"/>
  <c r="AZ1" i="2"/>
  <c r="AZ85" i="2" s="1"/>
  <c r="K3" i="2"/>
  <c r="K87" i="2" s="1"/>
  <c r="AQ1" i="2"/>
  <c r="AQ85" i="2" s="1"/>
  <c r="J15" i="2" l="1"/>
  <c r="J16" i="2"/>
  <c r="BE1" i="2"/>
  <c r="BE85" i="2" s="1"/>
  <c r="BF1" i="2"/>
  <c r="BF85" i="2" s="1"/>
  <c r="BD85" i="2"/>
  <c r="BP1" i="2"/>
  <c r="BP85" i="2" s="1"/>
  <c r="AR85" i="2"/>
  <c r="J86" i="2"/>
  <c r="J12" i="2"/>
  <c r="J11" i="2"/>
  <c r="J7" i="2"/>
  <c r="J8" i="2"/>
  <c r="K2" i="2"/>
  <c r="J30" i="2"/>
  <c r="J27" i="2"/>
  <c r="J25" i="2"/>
  <c r="J31" i="2"/>
  <c r="J29" i="2"/>
  <c r="J28" i="2"/>
  <c r="J26" i="2"/>
  <c r="J24" i="2"/>
  <c r="BM1" i="2"/>
  <c r="BM85" i="2" s="1"/>
  <c r="BG1" i="2"/>
  <c r="BG85" i="2" s="1"/>
  <c r="BI1" i="2"/>
  <c r="BI85" i="2" s="1"/>
  <c r="BK1" i="2"/>
  <c r="BK85" i="2" s="1"/>
  <c r="BH1" i="2"/>
  <c r="BH85" i="2" s="1"/>
  <c r="BC1" i="2"/>
  <c r="BC85" i="2" s="1"/>
  <c r="BL1" i="2"/>
  <c r="BL85" i="2" s="1"/>
  <c r="BJ1" i="2"/>
  <c r="BJ85" i="2" s="1"/>
  <c r="BN1" i="2"/>
  <c r="BN85" i="2" s="1"/>
  <c r="L3" i="2"/>
  <c r="L87" i="2" s="1"/>
  <c r="BQ1" i="2"/>
  <c r="BQ85" i="2" s="1"/>
  <c r="K16" i="2" l="1"/>
  <c r="K15" i="2"/>
  <c r="CB1" i="2"/>
  <c r="CB85" i="2" s="1"/>
  <c r="BR1" i="2"/>
  <c r="BR85" i="2" s="1"/>
  <c r="K86" i="2"/>
  <c r="K8" i="2"/>
  <c r="K11" i="2"/>
  <c r="K7" i="2"/>
  <c r="K12" i="2"/>
  <c r="L2" i="2"/>
  <c r="K27" i="2"/>
  <c r="K25" i="2"/>
  <c r="K31" i="2"/>
  <c r="K29" i="2"/>
  <c r="K28" i="2"/>
  <c r="K26" i="2"/>
  <c r="K30" i="2"/>
  <c r="K24" i="2"/>
  <c r="BX1" i="2"/>
  <c r="BX85" i="2" s="1"/>
  <c r="BS1" i="2"/>
  <c r="BS85" i="2" s="1"/>
  <c r="BV1" i="2"/>
  <c r="BV85" i="2" s="1"/>
  <c r="BY1" i="2"/>
  <c r="BY85" i="2" s="1"/>
  <c r="BW1" i="2"/>
  <c r="BW85" i="2" s="1"/>
  <c r="BO1" i="2"/>
  <c r="BO85" i="2" s="1"/>
  <c r="BZ1" i="2"/>
  <c r="BZ85" i="2" s="1"/>
  <c r="BT1" i="2"/>
  <c r="BT85" i="2" s="1"/>
  <c r="BU1" i="2"/>
  <c r="BU85" i="2" s="1"/>
  <c r="M3" i="2"/>
  <c r="M87" i="2" s="1"/>
  <c r="CC1" i="2"/>
  <c r="CC85" i="2" s="1"/>
  <c r="CN1" i="2" l="1"/>
  <c r="CN85" i="2" s="1"/>
  <c r="L16" i="2"/>
  <c r="L15" i="2"/>
  <c r="CD1" i="2"/>
  <c r="CD85" i="2" s="1"/>
  <c r="L86" i="2"/>
  <c r="L12" i="2"/>
  <c r="L11" i="2"/>
  <c r="L7" i="2"/>
  <c r="L8" i="2"/>
  <c r="M2" i="2"/>
  <c r="L31" i="2"/>
  <c r="L29" i="2"/>
  <c r="L28" i="2"/>
  <c r="L26" i="2"/>
  <c r="L30" i="2"/>
  <c r="L27" i="2"/>
  <c r="L25" i="2"/>
  <c r="L24" i="2"/>
  <c r="CL1" i="2"/>
  <c r="CL85" i="2" s="1"/>
  <c r="CI1" i="2"/>
  <c r="CI85" i="2" s="1"/>
  <c r="CF1" i="2"/>
  <c r="CF85" i="2" s="1"/>
  <c r="CJ1" i="2"/>
  <c r="CJ85" i="2" s="1"/>
  <c r="CE1" i="2"/>
  <c r="CE85" i="2" s="1"/>
  <c r="CO1" i="2"/>
  <c r="CG1" i="2"/>
  <c r="CG85" i="2" s="1"/>
  <c r="CA1" i="2"/>
  <c r="CA85" i="2" s="1"/>
  <c r="CK1" i="2"/>
  <c r="CK85" i="2" s="1"/>
  <c r="CH1" i="2"/>
  <c r="CH85" i="2" s="1"/>
  <c r="N3" i="2"/>
  <c r="N87" i="2" s="1"/>
  <c r="CZ1" i="2"/>
  <c r="CZ85" i="2" s="1"/>
  <c r="CP1" i="2" l="1"/>
  <c r="CP85" i="2" s="1"/>
  <c r="M15" i="2"/>
  <c r="M16" i="2"/>
  <c r="DA1" i="2"/>
  <c r="DA85" i="2" s="1"/>
  <c r="CO85" i="2"/>
  <c r="M86" i="2"/>
  <c r="M12" i="2"/>
  <c r="M11" i="2"/>
  <c r="M7" i="2"/>
  <c r="M8" i="2"/>
  <c r="N2" i="2"/>
  <c r="M26" i="2"/>
  <c r="M30" i="2"/>
  <c r="M27" i="2"/>
  <c r="M25" i="2"/>
  <c r="M31" i="2"/>
  <c r="M29" i="2"/>
  <c r="M28" i="2"/>
  <c r="M24" i="2"/>
  <c r="CW1" i="2"/>
  <c r="CW85" i="2" s="1"/>
  <c r="CM1" i="2"/>
  <c r="CM85" i="2" s="1"/>
  <c r="CV1" i="2"/>
  <c r="CV85" i="2" s="1"/>
  <c r="CS1" i="2"/>
  <c r="CS85" i="2" s="1"/>
  <c r="CX1" i="2"/>
  <c r="CX85" i="2" s="1"/>
  <c r="CU1" i="2"/>
  <c r="CU85" i="2" s="1"/>
  <c r="CT1" i="2"/>
  <c r="CT85" i="2" s="1"/>
  <c r="CQ1" i="2"/>
  <c r="CQ85" i="2" s="1"/>
  <c r="CR1" i="2"/>
  <c r="CR85" i="2" s="1"/>
  <c r="O3" i="2"/>
  <c r="O87" i="2" s="1"/>
  <c r="DL1" i="2"/>
  <c r="DL85" i="2" s="1"/>
  <c r="DB1" i="2" l="1"/>
  <c r="DB85" i="2" s="1"/>
  <c r="N15" i="2"/>
  <c r="N16" i="2"/>
  <c r="DM1" i="2"/>
  <c r="DM85" i="2" s="1"/>
  <c r="N86" i="2"/>
  <c r="N12" i="2"/>
  <c r="N11" i="2"/>
  <c r="N7" i="2"/>
  <c r="N8" i="2"/>
  <c r="O2" i="2"/>
  <c r="N30" i="2"/>
  <c r="N27" i="2"/>
  <c r="N25" i="2"/>
  <c r="N31" i="2"/>
  <c r="N29" i="2"/>
  <c r="N28" i="2"/>
  <c r="N24" i="2"/>
  <c r="N26" i="2"/>
  <c r="DG1" i="2"/>
  <c r="DG85" i="2" s="1"/>
  <c r="DH1" i="2"/>
  <c r="DH85" i="2" s="1"/>
  <c r="DE1" i="2"/>
  <c r="DE85" i="2" s="1"/>
  <c r="DI1" i="2"/>
  <c r="DI85" i="2" s="1"/>
  <c r="DD1" i="2"/>
  <c r="DD85" i="2" s="1"/>
  <c r="DF1" i="2"/>
  <c r="DF85" i="2" s="1"/>
  <c r="DC1" i="2"/>
  <c r="DC85" i="2" s="1"/>
  <c r="DJ1" i="2"/>
  <c r="DJ85" i="2" s="1"/>
  <c r="CY1" i="2"/>
  <c r="CY85" i="2" s="1"/>
  <c r="P3" i="2"/>
  <c r="P87" i="2" s="1"/>
  <c r="DN1" i="2"/>
  <c r="DN85" i="2" s="1"/>
  <c r="O16" i="2" l="1"/>
  <c r="O15" i="2"/>
  <c r="O86" i="2"/>
  <c r="O8" i="2"/>
  <c r="O12" i="2"/>
  <c r="O11" i="2"/>
  <c r="O7" i="2"/>
  <c r="P2" i="2"/>
  <c r="O27" i="2"/>
  <c r="O25" i="2"/>
  <c r="O31" i="2"/>
  <c r="O29" i="2"/>
  <c r="O28" i="2"/>
  <c r="O26" i="2"/>
  <c r="O30" i="2"/>
  <c r="O24" i="2"/>
  <c r="DT1" i="2"/>
  <c r="DT85" i="2" s="1"/>
  <c r="DO1" i="2"/>
  <c r="DO85" i="2" s="1"/>
  <c r="DR1" i="2"/>
  <c r="DR85" i="2" s="1"/>
  <c r="DK1" i="2"/>
  <c r="DK85" i="2" s="1"/>
  <c r="DP1" i="2"/>
  <c r="DP85" i="2" s="1"/>
  <c r="DU1" i="2"/>
  <c r="DU85" i="2" s="1"/>
  <c r="DQ1" i="2"/>
  <c r="DQ85" i="2" s="1"/>
  <c r="DS1" i="2"/>
  <c r="DS85" i="2" s="1"/>
  <c r="Q3" i="2"/>
  <c r="Q87" i="2" s="1"/>
  <c r="P16" i="2" l="1"/>
  <c r="P15" i="2"/>
  <c r="P86" i="2"/>
  <c r="P8" i="2"/>
  <c r="P12" i="2"/>
  <c r="P11" i="2"/>
  <c r="P7" i="2"/>
  <c r="Q2" i="2"/>
  <c r="P31" i="2"/>
  <c r="P29" i="2"/>
  <c r="P28" i="2"/>
  <c r="P24" i="2"/>
  <c r="P26" i="2"/>
  <c r="P30" i="2"/>
  <c r="P27" i="2"/>
  <c r="P25" i="2"/>
  <c r="R3" i="2"/>
  <c r="R87" i="2" s="1"/>
  <c r="Q15" i="2" l="1"/>
  <c r="Q16" i="2"/>
  <c r="Q86" i="2"/>
  <c r="Q12" i="2"/>
  <c r="Q11" i="2"/>
  <c r="Q7" i="2"/>
  <c r="Q8" i="2"/>
  <c r="R2" i="2"/>
  <c r="Q26" i="2"/>
  <c r="Q30" i="2"/>
  <c r="Q27" i="2"/>
  <c r="Q25" i="2"/>
  <c r="Q31" i="2"/>
  <c r="Q29" i="2"/>
  <c r="Q28" i="2"/>
  <c r="Q24" i="2"/>
  <c r="S3" i="2"/>
  <c r="S87" i="2" s="1"/>
  <c r="R16" i="2" l="1"/>
  <c r="R15" i="2"/>
  <c r="R86" i="2"/>
  <c r="R12" i="2"/>
  <c r="R11" i="2"/>
  <c r="R7" i="2"/>
  <c r="R8" i="2"/>
  <c r="S2" i="2"/>
  <c r="R30" i="2"/>
  <c r="R27" i="2"/>
  <c r="R25" i="2"/>
  <c r="R31" i="2"/>
  <c r="R29" i="2"/>
  <c r="R28" i="2"/>
  <c r="R24" i="2"/>
  <c r="R26" i="2"/>
  <c r="T3" i="2"/>
  <c r="T87" i="2" s="1"/>
  <c r="S16" i="2" l="1"/>
  <c r="S15" i="2"/>
  <c r="S86" i="2"/>
  <c r="S8" i="2"/>
  <c r="S11" i="2"/>
  <c r="S7" i="2"/>
  <c r="S12" i="2"/>
  <c r="T2" i="2"/>
  <c r="S27" i="2"/>
  <c r="S25" i="2"/>
  <c r="S31" i="2"/>
  <c r="S29" i="2"/>
  <c r="S28" i="2"/>
  <c r="S24" i="2"/>
  <c r="S26" i="2"/>
  <c r="S30" i="2"/>
  <c r="U3" i="2"/>
  <c r="U87" i="2" s="1"/>
  <c r="T16" i="2" l="1"/>
  <c r="T15" i="2"/>
  <c r="T86" i="2"/>
  <c r="T8" i="2"/>
  <c r="T12" i="2"/>
  <c r="T11" i="2"/>
  <c r="T7" i="2"/>
  <c r="U2" i="2"/>
  <c r="T31" i="2"/>
  <c r="T29" i="2"/>
  <c r="T28" i="2"/>
  <c r="T24" i="2"/>
  <c r="T26" i="2"/>
  <c r="T30" i="2"/>
  <c r="T27" i="2"/>
  <c r="T25" i="2"/>
  <c r="V3" i="2"/>
  <c r="V87" i="2" s="1"/>
  <c r="U15" i="2" l="1"/>
  <c r="U16" i="2"/>
  <c r="U86" i="2"/>
  <c r="U12" i="2"/>
  <c r="U11" i="2"/>
  <c r="U7" i="2"/>
  <c r="U8" i="2"/>
  <c r="V2" i="2"/>
  <c r="U26" i="2"/>
  <c r="U30" i="2"/>
  <c r="U27" i="2"/>
  <c r="U25" i="2"/>
  <c r="U31" i="2"/>
  <c r="U29" i="2"/>
  <c r="U28" i="2"/>
  <c r="U24" i="2"/>
  <c r="W3" i="2"/>
  <c r="W87" i="2" s="1"/>
  <c r="V15" i="2" l="1"/>
  <c r="V16" i="2"/>
  <c r="V86" i="2"/>
  <c r="V12" i="2"/>
  <c r="V11" i="2"/>
  <c r="V7" i="2"/>
  <c r="V8" i="2"/>
  <c r="W2" i="2"/>
  <c r="V30" i="2"/>
  <c r="V27" i="2"/>
  <c r="V25" i="2"/>
  <c r="V31" i="2"/>
  <c r="V29" i="2"/>
  <c r="V28" i="2"/>
  <c r="V24" i="2"/>
  <c r="V26" i="2"/>
  <c r="X3" i="2"/>
  <c r="X87" i="2" s="1"/>
  <c r="W16" i="2" l="1"/>
  <c r="W15" i="2"/>
  <c r="W86" i="2"/>
  <c r="W8" i="2"/>
  <c r="W12" i="2"/>
  <c r="W7" i="2"/>
  <c r="W11" i="2"/>
  <c r="X2" i="2"/>
  <c r="W27" i="2"/>
  <c r="W25" i="2"/>
  <c r="W31" i="2"/>
  <c r="W29" i="2"/>
  <c r="W28" i="2"/>
  <c r="W24" i="2"/>
  <c r="W26" i="2"/>
  <c r="W30" i="2"/>
  <c r="Y3" i="2"/>
  <c r="Y87" i="2" s="1"/>
  <c r="X16" i="2" l="1"/>
  <c r="X15" i="2"/>
  <c r="X86" i="2"/>
  <c r="X7" i="2"/>
  <c r="X12" i="2"/>
  <c r="X11" i="2"/>
  <c r="X8" i="2"/>
  <c r="Y2" i="2"/>
  <c r="X31" i="2"/>
  <c r="X29" i="2"/>
  <c r="X28" i="2"/>
  <c r="X24" i="2"/>
  <c r="X26" i="2"/>
  <c r="X30" i="2"/>
  <c r="X27" i="2"/>
  <c r="X25" i="2"/>
  <c r="W33" i="2"/>
  <c r="W18" i="2"/>
  <c r="W21" i="2" s="1"/>
  <c r="Z3" i="2"/>
  <c r="Z87" i="2" s="1"/>
  <c r="Y15" i="2" l="1"/>
  <c r="Y16" i="2"/>
  <c r="Y86" i="2"/>
  <c r="Y12" i="2"/>
  <c r="Y11" i="2"/>
  <c r="Y8" i="2"/>
  <c r="Y7" i="2"/>
  <c r="W35" i="2"/>
  <c r="Z2" i="2"/>
  <c r="Z61" i="2" s="1"/>
  <c r="Y26" i="2"/>
  <c r="Y30" i="2"/>
  <c r="Y27" i="2"/>
  <c r="Y25" i="2"/>
  <c r="Y31" i="2"/>
  <c r="Y29" i="2"/>
  <c r="Y28" i="2"/>
  <c r="Y24" i="2"/>
  <c r="X33" i="2"/>
  <c r="AA3" i="2"/>
  <c r="AA87" i="2" s="1"/>
  <c r="Z16" i="2" l="1"/>
  <c r="Z15" i="2"/>
  <c r="Z86" i="2"/>
  <c r="Z8" i="2"/>
  <c r="Z12" i="2"/>
  <c r="Z7" i="2"/>
  <c r="Z11" i="2"/>
  <c r="AA2" i="2"/>
  <c r="Z30" i="2"/>
  <c r="Z27" i="2"/>
  <c r="Z25" i="2"/>
  <c r="Z31" i="2"/>
  <c r="Z29" i="2"/>
  <c r="Z28" i="2"/>
  <c r="Z24" i="2"/>
  <c r="Z26" i="2"/>
  <c r="Y33" i="2"/>
  <c r="Y18" i="2"/>
  <c r="Y21" i="2" s="1"/>
  <c r="AB3" i="2"/>
  <c r="AB87" i="2" s="1"/>
  <c r="AA16" i="2" l="1"/>
  <c r="AA15" i="2"/>
  <c r="AA86" i="2"/>
  <c r="AA12" i="2"/>
  <c r="AA7" i="2"/>
  <c r="AA11" i="2"/>
  <c r="AA8" i="2"/>
  <c r="Y35" i="2"/>
  <c r="AB2" i="2"/>
  <c r="AA27" i="2"/>
  <c r="AA25" i="2"/>
  <c r="AA31" i="2"/>
  <c r="AA29" i="2"/>
  <c r="AA28" i="2"/>
  <c r="AA24" i="2"/>
  <c r="AA26" i="2"/>
  <c r="AA30" i="2"/>
  <c r="Z33" i="2"/>
  <c r="Z18" i="2"/>
  <c r="Z21" i="2" s="1"/>
  <c r="AC3" i="2"/>
  <c r="AC87" i="2" s="1"/>
  <c r="W37" i="2"/>
  <c r="AB15" i="2" l="1"/>
  <c r="AB16" i="2"/>
  <c r="AB86" i="2"/>
  <c r="AB11" i="2"/>
  <c r="AB8" i="2"/>
  <c r="AB12" i="2"/>
  <c r="AB7" i="2"/>
  <c r="Z35" i="2"/>
  <c r="AC2" i="2"/>
  <c r="AB31" i="2"/>
  <c r="AB29" i="2"/>
  <c r="AB28" i="2"/>
  <c r="AB24" i="2"/>
  <c r="AB26" i="2"/>
  <c r="AB30" i="2"/>
  <c r="AB27" i="2"/>
  <c r="AB25" i="2"/>
  <c r="AA33" i="2"/>
  <c r="AA18" i="2"/>
  <c r="AA21" i="2" s="1"/>
  <c r="AD3" i="2"/>
  <c r="AD87" i="2" s="1"/>
  <c r="Y37" i="2"/>
  <c r="AC15" i="2" l="1"/>
  <c r="AC16" i="2"/>
  <c r="AC86" i="2"/>
  <c r="AC75" i="2"/>
  <c r="AC8" i="2"/>
  <c r="AC11" i="2"/>
  <c r="AC12" i="2"/>
  <c r="AC7" i="2"/>
  <c r="AA35" i="2"/>
  <c r="Z67" i="2" s="1" a="1"/>
  <c r="Z67" i="2" s="1"/>
  <c r="AD2" i="2"/>
  <c r="AC26" i="2"/>
  <c r="AC30" i="2"/>
  <c r="AC27" i="2"/>
  <c r="AC25" i="2"/>
  <c r="AC31" i="2"/>
  <c r="AC29" i="2"/>
  <c r="AC28" i="2"/>
  <c r="AC24" i="2"/>
  <c r="AB33" i="2"/>
  <c r="AE3" i="2"/>
  <c r="Z37" i="2"/>
  <c r="Z68" i="2" l="1"/>
  <c r="D67" i="2"/>
  <c r="C67" i="2" s="1"/>
  <c r="AD15" i="2"/>
  <c r="AD16" i="2"/>
  <c r="AB18" i="2"/>
  <c r="AB21" i="2" s="1"/>
  <c r="AB35" i="2" s="1"/>
  <c r="AE87" i="2"/>
  <c r="AD75" i="2"/>
  <c r="AD86" i="2"/>
  <c r="AD12" i="2"/>
  <c r="AD7" i="2"/>
  <c r="AD11" i="2"/>
  <c r="AD8" i="2"/>
  <c r="AE2" i="2"/>
  <c r="AD30" i="2"/>
  <c r="AD27" i="2"/>
  <c r="AD25" i="2"/>
  <c r="AD31" i="2"/>
  <c r="AD29" i="2"/>
  <c r="AD28" i="2"/>
  <c r="AD24" i="2"/>
  <c r="AD26" i="2"/>
  <c r="AC33" i="2"/>
  <c r="AC18" i="2"/>
  <c r="AC21" i="2" s="1"/>
  <c r="AF3" i="2"/>
  <c r="AF87" i="2" s="1"/>
  <c r="C73" i="2" l="1"/>
  <c r="C70" i="2"/>
  <c r="AE16" i="2"/>
  <c r="AE15" i="2"/>
  <c r="AE75" i="2"/>
  <c r="AE86" i="2"/>
  <c r="AE12" i="2"/>
  <c r="AE7" i="2"/>
  <c r="AE11" i="2"/>
  <c r="AE8" i="2"/>
  <c r="AD18" i="2"/>
  <c r="AD21" i="2" s="1"/>
  <c r="AC35" i="2"/>
  <c r="AF2" i="2"/>
  <c r="AE27" i="2"/>
  <c r="AE25" i="2"/>
  <c r="AE31" i="2"/>
  <c r="AE29" i="2"/>
  <c r="AE28" i="2"/>
  <c r="AE24" i="2"/>
  <c r="AE26" i="2"/>
  <c r="AE30" i="2"/>
  <c r="AD33" i="2"/>
  <c r="AG3" i="2"/>
  <c r="AG87" i="2" s="1"/>
  <c r="AB37" i="2"/>
  <c r="AB48" i="2" s="1"/>
  <c r="AA37" i="2"/>
  <c r="AA48" i="2" s="1"/>
  <c r="Z71" i="2" l="1"/>
  <c r="AF16" i="2"/>
  <c r="AF15" i="2"/>
  <c r="AF75" i="2"/>
  <c r="AF86" i="2"/>
  <c r="AF11" i="2"/>
  <c r="AF8" i="2"/>
  <c r="AF7" i="2"/>
  <c r="AF12" i="2"/>
  <c r="AD35" i="2"/>
  <c r="AG2" i="2"/>
  <c r="AF31" i="2"/>
  <c r="AF29" i="2"/>
  <c r="AF28" i="2"/>
  <c r="AF24" i="2"/>
  <c r="AF26" i="2"/>
  <c r="AF30" i="2"/>
  <c r="AF27" i="2"/>
  <c r="AF25" i="2"/>
  <c r="AE33" i="2"/>
  <c r="AE18" i="2"/>
  <c r="AE21" i="2" s="1"/>
  <c r="AH3" i="2"/>
  <c r="AH87" i="2" s="1"/>
  <c r="AC37" i="2"/>
  <c r="AC48" i="2" s="1"/>
  <c r="Z72" i="2" l="1"/>
  <c r="Z73" i="2" s="1"/>
  <c r="AG15" i="2"/>
  <c r="AG16" i="2"/>
  <c r="AG75" i="2"/>
  <c r="AG86" i="2"/>
  <c r="AG11" i="2"/>
  <c r="AG8" i="2"/>
  <c r="AG12" i="2"/>
  <c r="AG7" i="2"/>
  <c r="AE35" i="2"/>
  <c r="AH2" i="2"/>
  <c r="AG26" i="2"/>
  <c r="AG30" i="2"/>
  <c r="AG27" i="2"/>
  <c r="AG25" i="2"/>
  <c r="AG31" i="2"/>
  <c r="AG29" i="2"/>
  <c r="AG28" i="2"/>
  <c r="AG24" i="2"/>
  <c r="AF33" i="2"/>
  <c r="AF18" i="2"/>
  <c r="AF21" i="2" s="1"/>
  <c r="AI3" i="2"/>
  <c r="AI87" i="2" s="1"/>
  <c r="AH16" i="2" l="1"/>
  <c r="AH15" i="2"/>
  <c r="AH75" i="2"/>
  <c r="AH86" i="2"/>
  <c r="AH12" i="2"/>
  <c r="AH7" i="2"/>
  <c r="AH11" i="2"/>
  <c r="AH8" i="2"/>
  <c r="AF35" i="2"/>
  <c r="AI2" i="2"/>
  <c r="AH30" i="2"/>
  <c r="AH27" i="2"/>
  <c r="AH25" i="2"/>
  <c r="AH31" i="2"/>
  <c r="AH29" i="2"/>
  <c r="AH28" i="2"/>
  <c r="AH24" i="2"/>
  <c r="AH26" i="2"/>
  <c r="AG33" i="2"/>
  <c r="AG18" i="2"/>
  <c r="AG21" i="2" s="1"/>
  <c r="AJ3" i="2"/>
  <c r="AJ87" i="2" s="1"/>
  <c r="AE37" i="2"/>
  <c r="AE48" i="2" s="1"/>
  <c r="AD37" i="2"/>
  <c r="AD48" i="2" s="1"/>
  <c r="AI16" i="2" l="1"/>
  <c r="AI15" i="2"/>
  <c r="AI75" i="2"/>
  <c r="AI86" i="2"/>
  <c r="AF37" i="2"/>
  <c r="AF48" i="2" s="1"/>
  <c r="AI12" i="2"/>
  <c r="AI7" i="2"/>
  <c r="AI11" i="2"/>
  <c r="AI8" i="2"/>
  <c r="AG35" i="2"/>
  <c r="AI27" i="2"/>
  <c r="AI25" i="2"/>
  <c r="AI31" i="2"/>
  <c r="AI29" i="2"/>
  <c r="AI28" i="2"/>
  <c r="AI24" i="2"/>
  <c r="AI26" i="2"/>
  <c r="AI30" i="2"/>
  <c r="AJ2" i="2"/>
  <c r="AH33" i="2"/>
  <c r="AH18" i="2"/>
  <c r="AK3" i="2"/>
  <c r="AK87" i="2" s="1"/>
  <c r="AJ16" i="2" l="1"/>
  <c r="AJ15" i="2"/>
  <c r="AJ75" i="2"/>
  <c r="AJ86" i="2"/>
  <c r="AJ11" i="2"/>
  <c r="AJ8" i="2"/>
  <c r="AJ12" i="2"/>
  <c r="AJ7" i="2"/>
  <c r="AJ29" i="2"/>
  <c r="AK2" i="2"/>
  <c r="AJ28" i="2"/>
  <c r="AJ24" i="2"/>
  <c r="AJ26" i="2"/>
  <c r="AJ30" i="2"/>
  <c r="AK30" i="2" s="1"/>
  <c r="AJ31" i="2"/>
  <c r="AJ25" i="2"/>
  <c r="AJ27" i="2"/>
  <c r="AI33" i="2"/>
  <c r="AI18" i="2"/>
  <c r="AI21" i="2" s="1"/>
  <c r="AL3" i="2"/>
  <c r="AL87" i="2" s="1"/>
  <c r="AK15" i="2" l="1"/>
  <c r="AK16" i="2"/>
  <c r="AK75" i="2"/>
  <c r="AK86" i="2"/>
  <c r="AK27" i="2"/>
  <c r="AK7" i="2"/>
  <c r="AK12" i="2"/>
  <c r="AK11" i="2"/>
  <c r="AK8" i="2"/>
  <c r="AI35" i="2"/>
  <c r="AK28" i="2"/>
  <c r="AK26" i="2"/>
  <c r="AK31" i="2"/>
  <c r="AK24" i="2"/>
  <c r="AL2" i="2"/>
  <c r="AK25" i="2"/>
  <c r="AK29" i="2"/>
  <c r="AJ18" i="2"/>
  <c r="AJ21" i="2" s="1"/>
  <c r="AM3" i="2"/>
  <c r="AM87" i="2" s="1"/>
  <c r="AG37" i="2"/>
  <c r="AG48" i="2" s="1"/>
  <c r="AL15" i="2" l="1"/>
  <c r="AL16" i="2"/>
  <c r="AL75" i="2"/>
  <c r="AL86" i="2"/>
  <c r="AL12" i="2"/>
  <c r="AL11" i="2"/>
  <c r="AL8" i="2"/>
  <c r="AL7" i="2"/>
  <c r="AL24" i="2"/>
  <c r="AL29" i="2"/>
  <c r="AL26" i="2"/>
  <c r="AL25" i="2"/>
  <c r="AL27" i="2"/>
  <c r="AL30" i="2"/>
  <c r="AM2" i="2"/>
  <c r="AL28" i="2"/>
  <c r="AL31" i="2"/>
  <c r="AK18" i="2"/>
  <c r="AK21" i="2" s="1"/>
  <c r="AN3" i="2"/>
  <c r="AN87" i="2" s="1"/>
  <c r="AM16" i="2" l="1"/>
  <c r="AM15" i="2"/>
  <c r="AM75" i="2"/>
  <c r="AM86" i="2"/>
  <c r="AM12" i="2"/>
  <c r="AM7" i="2"/>
  <c r="AM8" i="2"/>
  <c r="AM11" i="2"/>
  <c r="AM30" i="2"/>
  <c r="AM31" i="2"/>
  <c r="AM28" i="2"/>
  <c r="AM26" i="2"/>
  <c r="AM24" i="2"/>
  <c r="AM27" i="2"/>
  <c r="AM25" i="2"/>
  <c r="AN2" i="2"/>
  <c r="AM29" i="2"/>
  <c r="AL18" i="2"/>
  <c r="AL21" i="2" s="1"/>
  <c r="AO3" i="2"/>
  <c r="AO87" i="2" s="1"/>
  <c r="AI37" i="2"/>
  <c r="AI48" i="2" s="1"/>
  <c r="AN16" i="2" l="1"/>
  <c r="AN15" i="2"/>
  <c r="AN75" i="2"/>
  <c r="AN86" i="2"/>
  <c r="AN12" i="2"/>
  <c r="AN11" i="2"/>
  <c r="AN29" i="2"/>
  <c r="AN8" i="2"/>
  <c r="AN7" i="2"/>
  <c r="AN26" i="2"/>
  <c r="AN25" i="2"/>
  <c r="AN24" i="2"/>
  <c r="AN27" i="2"/>
  <c r="AO2" i="2"/>
  <c r="AN31" i="2"/>
  <c r="AN28" i="2"/>
  <c r="AN30" i="2"/>
  <c r="AM18" i="2"/>
  <c r="AM21" i="2" s="1"/>
  <c r="AP3" i="2"/>
  <c r="AP87" i="2" s="1"/>
  <c r="AO15" i="2" l="1"/>
  <c r="AO16" i="2"/>
  <c r="AO86" i="2"/>
  <c r="AO7" i="2"/>
  <c r="AO31" i="2"/>
  <c r="AO11" i="2"/>
  <c r="AO8" i="2"/>
  <c r="AO29" i="2"/>
  <c r="AO12" i="2"/>
  <c r="AO28" i="2"/>
  <c r="AO27" i="2"/>
  <c r="AO25" i="2"/>
  <c r="AO30" i="2"/>
  <c r="AP2" i="2"/>
  <c r="AO24" i="2"/>
  <c r="AO26" i="2"/>
  <c r="AN18" i="2"/>
  <c r="AN21" i="2" s="1"/>
  <c r="AQ3" i="2"/>
  <c r="AQ87" i="2" s="1"/>
  <c r="AP15" i="2" l="1"/>
  <c r="AP16" i="2"/>
  <c r="AP75" i="2"/>
  <c r="AP86" i="2"/>
  <c r="AP12" i="2"/>
  <c r="AP11" i="2"/>
  <c r="AP7" i="2"/>
  <c r="AP8" i="2"/>
  <c r="AP24" i="2"/>
  <c r="AP26" i="2"/>
  <c r="AP27" i="2"/>
  <c r="AP29" i="2"/>
  <c r="AP30" i="2"/>
  <c r="AQ2" i="2"/>
  <c r="AP28" i="2"/>
  <c r="AP25" i="2"/>
  <c r="AP31" i="2"/>
  <c r="AO18" i="2"/>
  <c r="AO21" i="2" s="1"/>
  <c r="AR3" i="2"/>
  <c r="AR87" i="2" s="1"/>
  <c r="AQ16" i="2" l="1"/>
  <c r="AQ15" i="2"/>
  <c r="AQ75" i="2"/>
  <c r="AQ86" i="2"/>
  <c r="AQ11" i="2"/>
  <c r="AQ25" i="2"/>
  <c r="AQ8" i="2"/>
  <c r="AQ7" i="2"/>
  <c r="AQ12" i="2"/>
  <c r="AQ29" i="2"/>
  <c r="AQ28" i="2"/>
  <c r="AQ31" i="2"/>
  <c r="AQ26" i="2"/>
  <c r="AQ27" i="2"/>
  <c r="AQ24" i="2"/>
  <c r="AR2" i="2"/>
  <c r="AQ30" i="2"/>
  <c r="AP18" i="2"/>
  <c r="AP21" i="2" s="1"/>
  <c r="AS3" i="2"/>
  <c r="AS87" i="2" s="1"/>
  <c r="AR16" i="2" l="1"/>
  <c r="AR15" i="2"/>
  <c r="AR75" i="2"/>
  <c r="AR86" i="2"/>
  <c r="AR11" i="2"/>
  <c r="AR30" i="2"/>
  <c r="AR12" i="2"/>
  <c r="AR7" i="2"/>
  <c r="AR8" i="2"/>
  <c r="AR24" i="2"/>
  <c r="AR31" i="2"/>
  <c r="AR28" i="2"/>
  <c r="AR27" i="2"/>
  <c r="AR25" i="2"/>
  <c r="AS2" i="2"/>
  <c r="AR26" i="2"/>
  <c r="AR29" i="2"/>
  <c r="AQ18" i="2"/>
  <c r="AQ21" i="2" s="1"/>
  <c r="AT3" i="2"/>
  <c r="AT87" i="2" s="1"/>
  <c r="AS15" i="2" l="1"/>
  <c r="AS16" i="2"/>
  <c r="AS75" i="2"/>
  <c r="AS86" i="2"/>
  <c r="AS30" i="2"/>
  <c r="AS29" i="2"/>
  <c r="AS8" i="2"/>
  <c r="AS12" i="2"/>
  <c r="AS7" i="2"/>
  <c r="AS11" i="2"/>
  <c r="AS27" i="2"/>
  <c r="AS26" i="2"/>
  <c r="AT2" i="2"/>
  <c r="AS31" i="2"/>
  <c r="AS24" i="2"/>
  <c r="AS25" i="2"/>
  <c r="AS28" i="2"/>
  <c r="AR18" i="2"/>
  <c r="AR21" i="2" s="1"/>
  <c r="AU3" i="2"/>
  <c r="AU87" i="2" s="1"/>
  <c r="AT16" i="2" l="1"/>
  <c r="AT15" i="2"/>
  <c r="AT75" i="2"/>
  <c r="AT86" i="2"/>
  <c r="AT8" i="2"/>
  <c r="AT11" i="2"/>
  <c r="AT12" i="2"/>
  <c r="AT7" i="2"/>
  <c r="AT28" i="2"/>
  <c r="AT25" i="2"/>
  <c r="AT26" i="2"/>
  <c r="AT27" i="2"/>
  <c r="AT31" i="2"/>
  <c r="AT24" i="2"/>
  <c r="AU2" i="2"/>
  <c r="AT29" i="2"/>
  <c r="AT30" i="2"/>
  <c r="AS18" i="2"/>
  <c r="AS21" i="2" s="1"/>
  <c r="AV3" i="2"/>
  <c r="AV87" i="2" s="1"/>
  <c r="AU16" i="2" l="1"/>
  <c r="AU15" i="2"/>
  <c r="AU75" i="2"/>
  <c r="AU86" i="2"/>
  <c r="AU7" i="2"/>
  <c r="AU12" i="2"/>
  <c r="AU11" i="2"/>
  <c r="AU8" i="2"/>
  <c r="AU31" i="2"/>
  <c r="AU29" i="2"/>
  <c r="AU26" i="2"/>
  <c r="AU30" i="2"/>
  <c r="AU28" i="2"/>
  <c r="AU25" i="2"/>
  <c r="AU27" i="2"/>
  <c r="AU24" i="2"/>
  <c r="AV2" i="2"/>
  <c r="AT18" i="2"/>
  <c r="AT21" i="2" s="1"/>
  <c r="AW3" i="2"/>
  <c r="AW87" i="2" s="1"/>
  <c r="AV15" i="2" l="1"/>
  <c r="AV16" i="2"/>
  <c r="AV75" i="2"/>
  <c r="AV86" i="2"/>
  <c r="AV7" i="2"/>
  <c r="AV8" i="2"/>
  <c r="AV11" i="2"/>
  <c r="AV12" i="2"/>
  <c r="AV27" i="2"/>
  <c r="AV25" i="2"/>
  <c r="AV29" i="2"/>
  <c r="AV31" i="2"/>
  <c r="AW2" i="2"/>
  <c r="AV30" i="2"/>
  <c r="AV28" i="2"/>
  <c r="AV24" i="2"/>
  <c r="AV26" i="2"/>
  <c r="AW26" i="2" s="1"/>
  <c r="AU33" i="2"/>
  <c r="AU18" i="2"/>
  <c r="AU21" i="2" s="1"/>
  <c r="AX3" i="2"/>
  <c r="AX87" i="2" s="1"/>
  <c r="AW15" i="2" l="1"/>
  <c r="AW16" i="2"/>
  <c r="AW75" i="2"/>
  <c r="AW86" i="2"/>
  <c r="AW11" i="2"/>
  <c r="AW12" i="2"/>
  <c r="AW8" i="2"/>
  <c r="AW7" i="2"/>
  <c r="AU35" i="2"/>
  <c r="AW28" i="2"/>
  <c r="AW30" i="2"/>
  <c r="AW29" i="2"/>
  <c r="AW24" i="2"/>
  <c r="AX2" i="2"/>
  <c r="AW25" i="2"/>
  <c r="AW31" i="2"/>
  <c r="AW27" i="2"/>
  <c r="AV18" i="2"/>
  <c r="AV21" i="2" s="1"/>
  <c r="AY3" i="2"/>
  <c r="AY87" i="2" s="1"/>
  <c r="AX15" i="2" l="1"/>
  <c r="AX16" i="2"/>
  <c r="AX75" i="2"/>
  <c r="AX86" i="2"/>
  <c r="AX26" i="2"/>
  <c r="AX11" i="2"/>
  <c r="AX8" i="2"/>
  <c r="AX7" i="2"/>
  <c r="AX12" i="2"/>
  <c r="AX27" i="2"/>
  <c r="AX31" i="2"/>
  <c r="AX28" i="2"/>
  <c r="AX25" i="2"/>
  <c r="AX30" i="2"/>
  <c r="AX24" i="2"/>
  <c r="AY2" i="2"/>
  <c r="AX29" i="2"/>
  <c r="AW18" i="2"/>
  <c r="AW21" i="2" s="1"/>
  <c r="AZ3" i="2"/>
  <c r="AZ87" i="2" s="1"/>
  <c r="AY16" i="2" l="1"/>
  <c r="AY15" i="2"/>
  <c r="AY75" i="2"/>
  <c r="AY86" i="2"/>
  <c r="AY7" i="2"/>
  <c r="AY8" i="2"/>
  <c r="AY11" i="2"/>
  <c r="AY12" i="2"/>
  <c r="AZ2" i="2"/>
  <c r="AY30" i="2"/>
  <c r="AY29" i="2"/>
  <c r="AY25" i="2"/>
  <c r="AY31" i="2"/>
  <c r="AY28" i="2"/>
  <c r="AY26" i="2"/>
  <c r="AY24" i="2"/>
  <c r="AY27" i="2"/>
  <c r="AX18" i="2"/>
  <c r="AX21" i="2" s="1"/>
  <c r="BA3" i="2"/>
  <c r="BA87" i="2" s="1"/>
  <c r="AU37" i="2"/>
  <c r="AU48" i="2" s="1"/>
  <c r="AZ16" i="2" l="1"/>
  <c r="AZ15" i="2"/>
  <c r="AZ75" i="2"/>
  <c r="AZ86" i="2"/>
  <c r="AZ12" i="2"/>
  <c r="AZ11" i="2"/>
  <c r="AZ8" i="2"/>
  <c r="AZ7" i="2"/>
  <c r="AZ24" i="2"/>
  <c r="AZ29" i="2"/>
  <c r="AZ27" i="2"/>
  <c r="AZ26" i="2"/>
  <c r="AZ28" i="2"/>
  <c r="AZ25" i="2"/>
  <c r="AZ30" i="2"/>
  <c r="AZ31" i="2"/>
  <c r="BA2" i="2"/>
  <c r="AY18" i="2"/>
  <c r="AY21" i="2" s="1"/>
  <c r="BB3" i="2"/>
  <c r="BB87" i="2" s="1"/>
  <c r="BA15" i="2" l="1"/>
  <c r="BA16" i="2"/>
  <c r="BA86" i="2"/>
  <c r="BA7" i="2"/>
  <c r="BA8" i="2"/>
  <c r="BA11" i="2"/>
  <c r="BA12" i="2"/>
  <c r="BA24" i="2"/>
  <c r="BA29" i="2"/>
  <c r="BA25" i="2"/>
  <c r="BA31" i="2"/>
  <c r="BA28" i="2"/>
  <c r="BA27" i="2"/>
  <c r="BB2" i="2"/>
  <c r="BA30" i="2"/>
  <c r="BA26" i="2"/>
  <c r="AZ18" i="2"/>
  <c r="AZ21" i="2" s="1"/>
  <c r="BC3" i="2"/>
  <c r="BC87" i="2" s="1"/>
  <c r="BB15" i="2" l="1"/>
  <c r="BB16" i="2"/>
  <c r="BB75" i="2"/>
  <c r="BB86" i="2"/>
  <c r="BB30" i="2"/>
  <c r="BB12" i="2"/>
  <c r="BB11" i="2"/>
  <c r="BB8" i="2"/>
  <c r="BB7" i="2"/>
  <c r="BB27" i="2"/>
  <c r="BB25" i="2"/>
  <c r="BB26" i="2"/>
  <c r="BB24" i="2"/>
  <c r="BC2" i="2"/>
  <c r="BB28" i="2"/>
  <c r="BB29" i="2"/>
  <c r="BB31" i="2"/>
  <c r="BA18" i="2"/>
  <c r="BA21" i="2" s="1"/>
  <c r="BD3" i="2"/>
  <c r="BD87" i="2" s="1"/>
  <c r="BC16" i="2" l="1"/>
  <c r="BC15" i="2"/>
  <c r="BC75" i="2"/>
  <c r="BC86" i="2"/>
  <c r="BC12" i="2"/>
  <c r="BC7" i="2"/>
  <c r="BC8" i="2"/>
  <c r="BC11" i="2"/>
  <c r="BC27" i="2"/>
  <c r="BD2" i="2"/>
  <c r="BC26" i="2"/>
  <c r="BC30" i="2"/>
  <c r="BC31" i="2"/>
  <c r="BC28" i="2"/>
  <c r="BC24" i="2"/>
  <c r="BC29" i="2"/>
  <c r="BC25" i="2"/>
  <c r="BB18" i="2"/>
  <c r="BB21" i="2" s="1"/>
  <c r="BE3" i="2"/>
  <c r="BE87" i="2" s="1"/>
  <c r="BD15" i="2" l="1"/>
  <c r="BD16" i="2"/>
  <c r="BD75" i="2"/>
  <c r="BD86" i="2"/>
  <c r="BE2" i="2"/>
  <c r="BD12" i="2"/>
  <c r="BD11" i="2"/>
  <c r="BD8" i="2"/>
  <c r="BD7" i="2"/>
  <c r="BD28" i="2"/>
  <c r="BD25" i="2"/>
  <c r="BD24" i="2"/>
  <c r="BD30" i="2"/>
  <c r="BD29" i="2"/>
  <c r="BD31" i="2"/>
  <c r="BE31" i="2" s="1"/>
  <c r="BD26" i="2"/>
  <c r="BD27" i="2"/>
  <c r="BC18" i="2"/>
  <c r="BC21" i="2" s="1"/>
  <c r="BF3" i="2"/>
  <c r="BF87" i="2" s="1"/>
  <c r="BE15" i="2" l="1"/>
  <c r="BE16" i="2"/>
  <c r="BE25" i="2"/>
  <c r="BE26" i="2"/>
  <c r="BE24" i="2"/>
  <c r="BE75" i="2"/>
  <c r="BE86" i="2"/>
  <c r="BE29" i="2"/>
  <c r="BE28" i="2"/>
  <c r="BE11" i="2"/>
  <c r="BE27" i="2"/>
  <c r="BE30" i="2"/>
  <c r="BE7" i="2"/>
  <c r="BE12" i="2"/>
  <c r="BE8" i="2"/>
  <c r="BF2" i="2"/>
  <c r="BD18" i="2"/>
  <c r="BD21" i="2" s="1"/>
  <c r="BG3" i="2"/>
  <c r="BG87" i="2" s="1"/>
  <c r="BF16" i="2" l="1"/>
  <c r="BF15" i="2"/>
  <c r="BF75" i="2"/>
  <c r="BF86" i="2"/>
  <c r="BG2" i="2"/>
  <c r="BF31" i="2"/>
  <c r="BF11" i="2"/>
  <c r="BF12" i="2"/>
  <c r="BF28" i="2"/>
  <c r="BF8" i="2"/>
  <c r="BF7" i="2"/>
  <c r="BF27" i="2"/>
  <c r="BF26" i="2"/>
  <c r="BF29" i="2"/>
  <c r="BF25" i="2"/>
  <c r="BF24" i="2"/>
  <c r="BF30" i="2"/>
  <c r="BE18" i="2"/>
  <c r="BE21" i="2" s="1"/>
  <c r="BH3" i="2"/>
  <c r="BH87" i="2" s="1"/>
  <c r="BG16" i="2" l="1"/>
  <c r="BG15" i="2"/>
  <c r="BG75" i="2"/>
  <c r="BG86" i="2"/>
  <c r="BG7" i="2"/>
  <c r="BG25" i="2"/>
  <c r="BG31" i="2"/>
  <c r="BG27" i="2"/>
  <c r="BG28" i="2"/>
  <c r="BG26" i="2"/>
  <c r="BH2" i="2"/>
  <c r="BG24" i="2"/>
  <c r="BG30" i="2"/>
  <c r="BG29" i="2"/>
  <c r="BG11" i="2"/>
  <c r="BG8" i="2"/>
  <c r="BG12" i="2"/>
  <c r="BF18" i="2"/>
  <c r="BF21" i="2" s="1"/>
  <c r="BI3" i="2"/>
  <c r="BI87" i="2" s="1"/>
  <c r="BH16" i="2" l="1"/>
  <c r="BH15" i="2"/>
  <c r="BH75" i="2"/>
  <c r="BH86" i="2"/>
  <c r="BI2" i="2"/>
  <c r="BH12" i="2"/>
  <c r="BH8" i="2"/>
  <c r="BH30" i="2"/>
  <c r="BH26" i="2"/>
  <c r="BH7" i="2"/>
  <c r="BH29" i="2"/>
  <c r="BH31" i="2"/>
  <c r="BH28" i="2"/>
  <c r="BH24" i="2"/>
  <c r="BH11" i="2"/>
  <c r="BH27" i="2"/>
  <c r="BH25" i="2"/>
  <c r="BG33" i="2"/>
  <c r="BG18" i="2"/>
  <c r="BG21" i="2" s="1"/>
  <c r="BJ3" i="2"/>
  <c r="BJ87" i="2" s="1"/>
  <c r="BI15" i="2" l="1"/>
  <c r="BI16" i="2"/>
  <c r="BI75" i="2"/>
  <c r="BI86" i="2"/>
  <c r="BI11" i="2"/>
  <c r="BJ2" i="2"/>
  <c r="BI12" i="2"/>
  <c r="BI25" i="2"/>
  <c r="BI27" i="2"/>
  <c r="BI8" i="2"/>
  <c r="BI24" i="2"/>
  <c r="BI30" i="2"/>
  <c r="BI7" i="2"/>
  <c r="BI26" i="2"/>
  <c r="BI28" i="2"/>
  <c r="BI31" i="2"/>
  <c r="BI29" i="2"/>
  <c r="BG35" i="2"/>
  <c r="BH18" i="2"/>
  <c r="BH21" i="2" s="1"/>
  <c r="BK3" i="2"/>
  <c r="BK87" i="2" s="1"/>
  <c r="BJ15" i="2" l="1"/>
  <c r="BJ16" i="2"/>
  <c r="BJ75" i="2"/>
  <c r="BJ86" i="2"/>
  <c r="BJ8" i="2"/>
  <c r="BK2" i="2"/>
  <c r="BJ11" i="2"/>
  <c r="BJ25" i="2"/>
  <c r="BJ29" i="2"/>
  <c r="BJ7" i="2"/>
  <c r="BJ30" i="2"/>
  <c r="BJ26" i="2"/>
  <c r="BJ31" i="2"/>
  <c r="BJ27" i="2"/>
  <c r="BJ24" i="2"/>
  <c r="BJ28" i="2"/>
  <c r="BJ12" i="2"/>
  <c r="BI18" i="2"/>
  <c r="BI21" i="2" s="1"/>
  <c r="BL3" i="2"/>
  <c r="BL87" i="2" s="1"/>
  <c r="BK16" i="2" l="1"/>
  <c r="BK15" i="2"/>
  <c r="BK75" i="2"/>
  <c r="BK86" i="2"/>
  <c r="BL2" i="2"/>
  <c r="BK12" i="2"/>
  <c r="BK7" i="2"/>
  <c r="BK30" i="2"/>
  <c r="BK31" i="2"/>
  <c r="BK25" i="2"/>
  <c r="BK26" i="2"/>
  <c r="BK8" i="2"/>
  <c r="BK29" i="2"/>
  <c r="BK27" i="2"/>
  <c r="BK11" i="2"/>
  <c r="BK24" i="2"/>
  <c r="BK28" i="2"/>
  <c r="BJ18" i="2"/>
  <c r="BJ21" i="2" s="1"/>
  <c r="BM3" i="2"/>
  <c r="BM87" i="2" s="1"/>
  <c r="BG37" i="2"/>
  <c r="BG48" i="2" s="1"/>
  <c r="BL16" i="2" l="1"/>
  <c r="BL15" i="2"/>
  <c r="BL75" i="2"/>
  <c r="BL86" i="2"/>
  <c r="BM2" i="2"/>
  <c r="BL12" i="2"/>
  <c r="BL7" i="2"/>
  <c r="BL29" i="2"/>
  <c r="BL25" i="2"/>
  <c r="BL11" i="2"/>
  <c r="BL28" i="2"/>
  <c r="BL30" i="2"/>
  <c r="BL8" i="2"/>
  <c r="BL26" i="2"/>
  <c r="BL24" i="2"/>
  <c r="BL31" i="2"/>
  <c r="BL27" i="2"/>
  <c r="BK18" i="2"/>
  <c r="BK21" i="2" s="1"/>
  <c r="BN3" i="2"/>
  <c r="BN87" i="2" s="1"/>
  <c r="BM15" i="2" l="1"/>
  <c r="BM16" i="2"/>
  <c r="BM86" i="2"/>
  <c r="BN2" i="2"/>
  <c r="BM12" i="2"/>
  <c r="BM26" i="2"/>
  <c r="BM24" i="2"/>
  <c r="BM8" i="2"/>
  <c r="BM25" i="2"/>
  <c r="BM31" i="2"/>
  <c r="BM7" i="2"/>
  <c r="BM27" i="2"/>
  <c r="BM28" i="2"/>
  <c r="BM30" i="2"/>
  <c r="BM29" i="2"/>
  <c r="BM11" i="2"/>
  <c r="BL18" i="2"/>
  <c r="BL21" i="2" s="1"/>
  <c r="BO3" i="2"/>
  <c r="BO87" i="2" s="1"/>
  <c r="BN15" i="2" l="1"/>
  <c r="BN16" i="2"/>
  <c r="BN75" i="2"/>
  <c r="BN86" i="2"/>
  <c r="BN12" i="2"/>
  <c r="BO2" i="2"/>
  <c r="BN8" i="2"/>
  <c r="BN24" i="2"/>
  <c r="BN25" i="2"/>
  <c r="BN28" i="2"/>
  <c r="BN11" i="2"/>
  <c r="BN29" i="2"/>
  <c r="BN30" i="2"/>
  <c r="BN26" i="2"/>
  <c r="BN7" i="2"/>
  <c r="BN31" i="2"/>
  <c r="BN27" i="2"/>
  <c r="BM18" i="2"/>
  <c r="BM21" i="2" s="1"/>
  <c r="BP3" i="2"/>
  <c r="BP87" i="2" s="1"/>
  <c r="BO16" i="2" l="1"/>
  <c r="BO15" i="2"/>
  <c r="BO75" i="2"/>
  <c r="BO86" i="2"/>
  <c r="BP2" i="2"/>
  <c r="BO12" i="2"/>
  <c r="BO7" i="2"/>
  <c r="BO31" i="2"/>
  <c r="BO29" i="2"/>
  <c r="BO27" i="2"/>
  <c r="BO11" i="2"/>
  <c r="BO25" i="2"/>
  <c r="BO26" i="2"/>
  <c r="BO28" i="2"/>
  <c r="BO24" i="2"/>
  <c r="BO8" i="2"/>
  <c r="BO30" i="2"/>
  <c r="BN18" i="2"/>
  <c r="BN21" i="2" s="1"/>
  <c r="BQ3" i="2"/>
  <c r="BQ87" i="2" s="1"/>
  <c r="BP15" i="2" l="1"/>
  <c r="BP16" i="2"/>
  <c r="BP75" i="2"/>
  <c r="BP86" i="2"/>
  <c r="BQ2" i="2"/>
  <c r="BP12" i="2"/>
  <c r="BP11" i="2"/>
  <c r="BP29" i="2"/>
  <c r="BP25" i="2"/>
  <c r="BP7" i="2"/>
  <c r="BP27" i="2"/>
  <c r="BP8" i="2"/>
  <c r="BP30" i="2"/>
  <c r="BP28" i="2"/>
  <c r="BP24" i="2"/>
  <c r="BP26" i="2"/>
  <c r="BP31" i="2"/>
  <c r="BO18" i="2"/>
  <c r="BO21" i="2" s="1"/>
  <c r="BR3" i="2"/>
  <c r="BR87" i="2" s="1"/>
  <c r="BQ15" i="2" l="1"/>
  <c r="BQ16" i="2"/>
  <c r="BQ75" i="2"/>
  <c r="BQ86" i="2"/>
  <c r="BR2" i="2"/>
  <c r="BQ12" i="2"/>
  <c r="BQ30" i="2"/>
  <c r="BQ11" i="2"/>
  <c r="BQ25" i="2"/>
  <c r="BQ29" i="2"/>
  <c r="BQ8" i="2"/>
  <c r="BQ31" i="2"/>
  <c r="BQ27" i="2"/>
  <c r="BQ7" i="2"/>
  <c r="BQ26" i="2"/>
  <c r="BQ24" i="2"/>
  <c r="BQ28" i="2"/>
  <c r="BP18" i="2"/>
  <c r="BP21" i="2" s="1"/>
  <c r="BS3" i="2"/>
  <c r="BS87" i="2" s="1"/>
  <c r="BR16" i="2" l="1"/>
  <c r="BR15" i="2"/>
  <c r="BR75" i="2"/>
  <c r="BR86" i="2"/>
  <c r="BS2" i="2"/>
  <c r="BR12" i="2"/>
  <c r="BR8" i="2"/>
  <c r="BR28" i="2"/>
  <c r="BR27" i="2"/>
  <c r="BR11" i="2"/>
  <c r="BR25" i="2"/>
  <c r="BR7" i="2"/>
  <c r="BR30" i="2"/>
  <c r="BR29" i="2"/>
  <c r="BR31" i="2"/>
  <c r="BR26" i="2"/>
  <c r="BR24" i="2"/>
  <c r="BQ18" i="2"/>
  <c r="BQ21" i="2" s="1"/>
  <c r="BT3" i="2"/>
  <c r="BT87" i="2" s="1"/>
  <c r="BS16" i="2" l="1"/>
  <c r="BS15" i="2"/>
  <c r="BS75" i="2"/>
  <c r="BS86" i="2"/>
  <c r="BS7" i="2"/>
  <c r="BS26" i="2"/>
  <c r="BS31" i="2"/>
  <c r="BT2" i="2"/>
  <c r="BS30" i="2"/>
  <c r="BS29" i="2"/>
  <c r="BS28" i="2"/>
  <c r="BS24" i="2"/>
  <c r="BS25" i="2"/>
  <c r="BS27" i="2"/>
  <c r="BS12" i="2"/>
  <c r="BS8" i="2"/>
  <c r="BS11" i="2"/>
  <c r="BR18" i="2"/>
  <c r="BR21" i="2" s="1"/>
  <c r="BU3" i="2"/>
  <c r="BU87" i="2" s="1"/>
  <c r="BT16" i="2" l="1"/>
  <c r="BT15" i="2"/>
  <c r="BT75" i="2"/>
  <c r="BT86" i="2"/>
  <c r="BU2" i="2"/>
  <c r="BT7" i="2"/>
  <c r="BT8" i="2"/>
  <c r="BT29" i="2"/>
  <c r="BT31" i="2"/>
  <c r="BT25" i="2"/>
  <c r="BT12" i="2"/>
  <c r="BT27" i="2"/>
  <c r="BT11" i="2"/>
  <c r="BT28" i="2"/>
  <c r="BT24" i="2"/>
  <c r="BT30" i="2"/>
  <c r="BT26" i="2"/>
  <c r="BS33" i="2"/>
  <c r="BS18" i="2"/>
  <c r="BS21" i="2" s="1"/>
  <c r="BV3" i="2"/>
  <c r="BV87" i="2" s="1"/>
  <c r="BU15" i="2" l="1"/>
  <c r="BU16" i="2"/>
  <c r="BU75" i="2"/>
  <c r="BU86" i="2"/>
  <c r="BU11" i="2"/>
  <c r="BV2" i="2"/>
  <c r="BU8" i="2"/>
  <c r="BU7" i="2"/>
  <c r="BU27" i="2"/>
  <c r="BU26" i="2"/>
  <c r="BU24" i="2"/>
  <c r="BU25" i="2"/>
  <c r="BU30" i="2"/>
  <c r="BU28" i="2"/>
  <c r="BU31" i="2"/>
  <c r="BU12" i="2"/>
  <c r="BU29" i="2"/>
  <c r="BS35" i="2"/>
  <c r="BT18" i="2"/>
  <c r="BT21" i="2" s="1"/>
  <c r="BW3" i="2"/>
  <c r="BW87" i="2" s="1"/>
  <c r="BV15" i="2" l="1"/>
  <c r="BV16" i="2"/>
  <c r="BV75" i="2"/>
  <c r="BV86" i="2"/>
  <c r="BW2" i="2"/>
  <c r="BV8" i="2"/>
  <c r="BV11" i="2"/>
  <c r="BV12" i="2"/>
  <c r="BV29" i="2"/>
  <c r="BV24" i="2"/>
  <c r="BV26" i="2"/>
  <c r="BV28" i="2"/>
  <c r="BV30" i="2"/>
  <c r="BV31" i="2"/>
  <c r="BV7" i="2"/>
  <c r="BV25" i="2"/>
  <c r="BV27" i="2"/>
  <c r="BU18" i="2"/>
  <c r="BU21" i="2" s="1"/>
  <c r="BX3" i="2"/>
  <c r="BX87" i="2" s="1"/>
  <c r="BW16" i="2" l="1"/>
  <c r="BW15" i="2"/>
  <c r="BW75" i="2"/>
  <c r="BW86" i="2"/>
  <c r="BX2" i="2"/>
  <c r="BW8" i="2"/>
  <c r="BW7" i="2"/>
  <c r="BW29" i="2"/>
  <c r="BW25" i="2"/>
  <c r="BW12" i="2"/>
  <c r="BW27" i="2"/>
  <c r="BW26" i="2"/>
  <c r="BW11" i="2"/>
  <c r="BW28" i="2"/>
  <c r="BW24" i="2"/>
  <c r="BW31" i="2"/>
  <c r="BW30" i="2"/>
  <c r="BV18" i="2"/>
  <c r="BV21" i="2" s="1"/>
  <c r="BY3" i="2"/>
  <c r="BY87" i="2" s="1"/>
  <c r="BS37" i="2"/>
  <c r="BS48" i="2" s="1"/>
  <c r="BX16" i="2" l="1"/>
  <c r="BX15" i="2"/>
  <c r="BX75" i="2"/>
  <c r="BX86" i="2"/>
  <c r="BY2" i="2"/>
  <c r="BX30" i="2"/>
  <c r="BX26" i="2"/>
  <c r="BX27" i="2"/>
  <c r="BX8" i="2"/>
  <c r="BX24" i="2"/>
  <c r="BX11" i="2"/>
  <c r="BX28" i="2"/>
  <c r="BX29" i="2"/>
  <c r="BX12" i="2"/>
  <c r="BX25" i="2"/>
  <c r="BX7" i="2"/>
  <c r="BX31" i="2"/>
  <c r="BW18" i="2"/>
  <c r="BW21" i="2" s="1"/>
  <c r="BZ3" i="2"/>
  <c r="BZ87" i="2" s="1"/>
  <c r="BY15" i="2" l="1"/>
  <c r="BY16" i="2"/>
  <c r="BY86" i="2"/>
  <c r="BZ2" i="2"/>
  <c r="BY12" i="2"/>
  <c r="BY7" i="2"/>
  <c r="BY26" i="2"/>
  <c r="BY27" i="2"/>
  <c r="BY11" i="2"/>
  <c r="BY31" i="2"/>
  <c r="BY24" i="2"/>
  <c r="BY25" i="2"/>
  <c r="BY28" i="2"/>
  <c r="BY30" i="2"/>
  <c r="BY8" i="2"/>
  <c r="BY29" i="2"/>
  <c r="BX18" i="2"/>
  <c r="BX21" i="2" s="1"/>
  <c r="CA3" i="2"/>
  <c r="CA87" i="2" s="1"/>
  <c r="BZ15" i="2" l="1"/>
  <c r="BZ16" i="2"/>
  <c r="BZ75" i="2"/>
  <c r="BZ86" i="2"/>
  <c r="BZ12" i="2"/>
  <c r="CA2" i="2"/>
  <c r="BZ11" i="2"/>
  <c r="BZ8" i="2"/>
  <c r="BZ29" i="2"/>
  <c r="BZ28" i="2"/>
  <c r="BZ30" i="2"/>
  <c r="BZ27" i="2"/>
  <c r="BZ25" i="2"/>
  <c r="BZ7" i="2"/>
  <c r="BZ24" i="2"/>
  <c r="BZ31" i="2"/>
  <c r="BZ26" i="2"/>
  <c r="BY18" i="2"/>
  <c r="BY21" i="2" s="1"/>
  <c r="CB3" i="2"/>
  <c r="CB87" i="2" s="1"/>
  <c r="CA16" i="2" l="1"/>
  <c r="CA15" i="2"/>
  <c r="CA75" i="2"/>
  <c r="CA86" i="2"/>
  <c r="CB2" i="2"/>
  <c r="CA12" i="2"/>
  <c r="CA8" i="2"/>
  <c r="CA26" i="2"/>
  <c r="CA29" i="2"/>
  <c r="CA28" i="2"/>
  <c r="CA7" i="2"/>
  <c r="CA11" i="2"/>
  <c r="CA25" i="2"/>
  <c r="CA31" i="2"/>
  <c r="CA24" i="2"/>
  <c r="CA30" i="2"/>
  <c r="CA27" i="2"/>
  <c r="BZ18" i="2"/>
  <c r="BZ21" i="2" s="1"/>
  <c r="CC3" i="2"/>
  <c r="CC87" i="2" s="1"/>
  <c r="CB15" i="2" l="1"/>
  <c r="CB16" i="2"/>
  <c r="CB75" i="2"/>
  <c r="CB86" i="2"/>
  <c r="CC2" i="2"/>
  <c r="CB8" i="2"/>
  <c r="CB7" i="2"/>
  <c r="CB30" i="2"/>
  <c r="CB24" i="2"/>
  <c r="CB12" i="2"/>
  <c r="CB27" i="2"/>
  <c r="CB31" i="2"/>
  <c r="CB26" i="2"/>
  <c r="CB11" i="2"/>
  <c r="CB28" i="2"/>
  <c r="CB29" i="2"/>
  <c r="CB25" i="2"/>
  <c r="CA18" i="2"/>
  <c r="CA21" i="2" s="1"/>
  <c r="CD3" i="2"/>
  <c r="CD87" i="2" s="1"/>
  <c r="CC15" i="2" l="1"/>
  <c r="CC16" i="2"/>
  <c r="CC75" i="2"/>
  <c r="CC86" i="2"/>
  <c r="CD2" i="2"/>
  <c r="CC8" i="2"/>
  <c r="CC11" i="2"/>
  <c r="CC28" i="2"/>
  <c r="CC24" i="2"/>
  <c r="CC12" i="2"/>
  <c r="CC30" i="2"/>
  <c r="CC27" i="2"/>
  <c r="CC25" i="2"/>
  <c r="CC31" i="2"/>
  <c r="CC7" i="2"/>
  <c r="CC29" i="2"/>
  <c r="CC26" i="2"/>
  <c r="CB18" i="2"/>
  <c r="CB21" i="2" s="1"/>
  <c r="CE3" i="2"/>
  <c r="CE87" i="2" s="1"/>
  <c r="CD16" i="2" l="1"/>
  <c r="CD15" i="2"/>
  <c r="CD75" i="2"/>
  <c r="CD86" i="2"/>
  <c r="CE2" i="2"/>
  <c r="CD8" i="2"/>
  <c r="CD24" i="2"/>
  <c r="CD26" i="2"/>
  <c r="CD11" i="2"/>
  <c r="CD31" i="2"/>
  <c r="CD30" i="2"/>
  <c r="CD12" i="2"/>
  <c r="CD27" i="2"/>
  <c r="CD29" i="2"/>
  <c r="CD7" i="2"/>
  <c r="CD25" i="2"/>
  <c r="CD28" i="2"/>
  <c r="CC18" i="2"/>
  <c r="CC21" i="2" s="1"/>
  <c r="CF3" i="2"/>
  <c r="CF87" i="2" s="1"/>
  <c r="CE16" i="2" l="1"/>
  <c r="CE15" i="2"/>
  <c r="CE75" i="2"/>
  <c r="CE86" i="2"/>
  <c r="CE7" i="2"/>
  <c r="CE24" i="2"/>
  <c r="CE30" i="2"/>
  <c r="CE31" i="2"/>
  <c r="CE28" i="2"/>
  <c r="CE27" i="2"/>
  <c r="CE29" i="2"/>
  <c r="CF2" i="2"/>
  <c r="CE25" i="2"/>
  <c r="CE26" i="2"/>
  <c r="CE12" i="2"/>
  <c r="CE8" i="2"/>
  <c r="CE11" i="2"/>
  <c r="CD18" i="2"/>
  <c r="CD21" i="2" s="1"/>
  <c r="CG3" i="2"/>
  <c r="CG87" i="2" s="1"/>
  <c r="CF16" i="2" l="1"/>
  <c r="CF15" i="2"/>
  <c r="CF75" i="2"/>
  <c r="CF86" i="2"/>
  <c r="CG2" i="2"/>
  <c r="CF7" i="2"/>
  <c r="CF29" i="2"/>
  <c r="CF24" i="2"/>
  <c r="CF28" i="2"/>
  <c r="CF31" i="2"/>
  <c r="CF11" i="2"/>
  <c r="CF8" i="2"/>
  <c r="CF25" i="2"/>
  <c r="CF27" i="2"/>
  <c r="CF12" i="2"/>
  <c r="CF30" i="2"/>
  <c r="CF26" i="2"/>
  <c r="CE33" i="2"/>
  <c r="CE18" i="2"/>
  <c r="CE21" i="2" s="1"/>
  <c r="CH3" i="2"/>
  <c r="CH87" i="2" s="1"/>
  <c r="CG15" i="2" l="1"/>
  <c r="CG16" i="2"/>
  <c r="CG75" i="2"/>
  <c r="CG86" i="2"/>
  <c r="CG11" i="2"/>
  <c r="CH2" i="2"/>
  <c r="CG7" i="2"/>
  <c r="CG8" i="2"/>
  <c r="CG30" i="2"/>
  <c r="CG31" i="2"/>
  <c r="CG12" i="2"/>
  <c r="CG26" i="2"/>
  <c r="CG29" i="2"/>
  <c r="CG27" i="2"/>
  <c r="CG25" i="2"/>
  <c r="CG28" i="2"/>
  <c r="CG24" i="2"/>
  <c r="CE35" i="2"/>
  <c r="CF18" i="2"/>
  <c r="CF21" i="2" s="1"/>
  <c r="CI3" i="2"/>
  <c r="CI87" i="2" s="1"/>
  <c r="CH15" i="2" l="1"/>
  <c r="CH16" i="2"/>
  <c r="CH75" i="2"/>
  <c r="CH86" i="2"/>
  <c r="CI2" i="2"/>
  <c r="CH8" i="2"/>
  <c r="CH11" i="2"/>
  <c r="CH7" i="2"/>
  <c r="CH24" i="2"/>
  <c r="CH29" i="2"/>
  <c r="CH27" i="2"/>
  <c r="CH28" i="2"/>
  <c r="CH30" i="2"/>
  <c r="CH25" i="2"/>
  <c r="CH26" i="2"/>
  <c r="CH12" i="2"/>
  <c r="CH31" i="2"/>
  <c r="CG18" i="2"/>
  <c r="CG21" i="2" s="1"/>
  <c r="CJ3" i="2"/>
  <c r="CJ87" i="2" s="1"/>
  <c r="CI16" i="2" l="1"/>
  <c r="CI15" i="2"/>
  <c r="CI75" i="2"/>
  <c r="CI86" i="2"/>
  <c r="CJ2" i="2"/>
  <c r="CI8" i="2"/>
  <c r="CI11" i="2"/>
  <c r="CI29" i="2"/>
  <c r="CI25" i="2"/>
  <c r="CI12" i="2"/>
  <c r="CI26" i="2"/>
  <c r="CI30" i="2"/>
  <c r="CI7" i="2"/>
  <c r="CI31" i="2"/>
  <c r="CI24" i="2"/>
  <c r="CI27" i="2"/>
  <c r="CI28" i="2"/>
  <c r="CH18" i="2"/>
  <c r="CH21" i="2" s="1"/>
  <c r="CK3" i="2"/>
  <c r="CK87" i="2" s="1"/>
  <c r="CE37" i="2"/>
  <c r="CE48" i="2" s="1"/>
  <c r="CJ16" i="2" l="1"/>
  <c r="CJ15" i="2"/>
  <c r="CJ75" i="2"/>
  <c r="CJ86" i="2"/>
  <c r="CK2" i="2"/>
  <c r="CJ8" i="2"/>
  <c r="CJ28" i="2"/>
  <c r="CJ7" i="2"/>
  <c r="CJ24" i="2"/>
  <c r="CJ27" i="2"/>
  <c r="CJ29" i="2"/>
  <c r="CJ31" i="2"/>
  <c r="CJ12" i="2"/>
  <c r="CJ26" i="2"/>
  <c r="CJ30" i="2"/>
  <c r="CJ11" i="2"/>
  <c r="CJ25" i="2"/>
  <c r="CI18" i="2"/>
  <c r="CI21" i="2" s="1"/>
  <c r="CL3" i="2"/>
  <c r="CL87" i="2" s="1"/>
  <c r="CK15" i="2" l="1"/>
  <c r="CK16" i="2"/>
  <c r="CK86" i="2"/>
  <c r="CL2" i="2"/>
  <c r="CK8" i="2"/>
  <c r="CK12" i="2"/>
  <c r="CK28" i="2"/>
  <c r="CK27" i="2"/>
  <c r="CK31" i="2"/>
  <c r="CK30" i="2"/>
  <c r="CK29" i="2"/>
  <c r="CK11" i="2"/>
  <c r="CK24" i="2"/>
  <c r="CK26" i="2"/>
  <c r="CK7" i="2"/>
  <c r="CK25" i="2"/>
  <c r="CJ18" i="2"/>
  <c r="CJ21" i="2" s="1"/>
  <c r="CM3" i="2"/>
  <c r="CM87" i="2" s="1"/>
  <c r="CL15" i="2" l="1"/>
  <c r="CL16" i="2"/>
  <c r="CL75" i="2"/>
  <c r="CL86" i="2"/>
  <c r="CL12" i="2"/>
  <c r="CM2" i="2"/>
  <c r="CL29" i="2"/>
  <c r="CL30" i="2"/>
  <c r="CL31" i="2"/>
  <c r="CL7" i="2"/>
  <c r="CL27" i="2"/>
  <c r="CL25" i="2"/>
  <c r="CL8" i="2"/>
  <c r="CL11" i="2"/>
  <c r="CL28" i="2"/>
  <c r="CL24" i="2"/>
  <c r="CL26" i="2"/>
  <c r="CK18" i="2"/>
  <c r="CK21" i="2" s="1"/>
  <c r="CN3" i="2"/>
  <c r="CN87" i="2" s="1"/>
  <c r="CM16" i="2" l="1"/>
  <c r="CM15" i="2"/>
  <c r="CM75" i="2"/>
  <c r="CM86" i="2"/>
  <c r="CN2" i="2"/>
  <c r="CM12" i="2"/>
  <c r="CM11" i="2"/>
  <c r="CM24" i="2"/>
  <c r="CM28" i="2"/>
  <c r="CM26" i="2"/>
  <c r="CM8" i="2"/>
  <c r="CM29" i="2"/>
  <c r="CM7" i="2"/>
  <c r="CM30" i="2"/>
  <c r="CM31" i="2"/>
  <c r="CM25" i="2"/>
  <c r="CM27" i="2"/>
  <c r="CL18" i="2"/>
  <c r="CL21" i="2" s="1"/>
  <c r="CO3" i="2"/>
  <c r="CO87" i="2" s="1"/>
  <c r="CN15" i="2" l="1"/>
  <c r="CN16" i="2"/>
  <c r="CN75" i="2"/>
  <c r="CN86" i="2"/>
  <c r="CO2" i="2"/>
  <c r="CN12" i="2"/>
  <c r="CN11" i="2"/>
  <c r="CN28" i="2"/>
  <c r="CN30" i="2"/>
  <c r="CN8" i="2"/>
  <c r="CN25" i="2"/>
  <c r="CN24" i="2"/>
  <c r="CN7" i="2"/>
  <c r="CN31" i="2"/>
  <c r="CN29" i="2"/>
  <c r="CN26" i="2"/>
  <c r="CN27" i="2"/>
  <c r="CM18" i="2"/>
  <c r="CM21" i="2" s="1"/>
  <c r="CP3" i="2"/>
  <c r="CP87" i="2" s="1"/>
  <c r="CO15" i="2" l="1"/>
  <c r="CO16" i="2"/>
  <c r="CO75" i="2"/>
  <c r="CO86" i="2"/>
  <c r="CP2" i="2"/>
  <c r="CO12" i="2"/>
  <c r="CO8" i="2"/>
  <c r="CO30" i="2"/>
  <c r="CO29" i="2"/>
  <c r="CO31" i="2"/>
  <c r="CO27" i="2"/>
  <c r="CO7" i="2"/>
  <c r="CO24" i="2"/>
  <c r="CO11" i="2"/>
  <c r="CO28" i="2"/>
  <c r="CO26" i="2"/>
  <c r="CO25" i="2"/>
  <c r="CN18" i="2"/>
  <c r="CN21" i="2" s="1"/>
  <c r="CQ3" i="2"/>
  <c r="CQ87" i="2" s="1"/>
  <c r="CP16" i="2" l="1"/>
  <c r="CP15" i="2"/>
  <c r="CP75" i="2"/>
  <c r="CP86" i="2"/>
  <c r="CQ2" i="2"/>
  <c r="CP12" i="2"/>
  <c r="CP7" i="2"/>
  <c r="CP29" i="2"/>
  <c r="CP24" i="2"/>
  <c r="CP11" i="2"/>
  <c r="CP30" i="2"/>
  <c r="CP28" i="2"/>
  <c r="CP31" i="2"/>
  <c r="CP26" i="2"/>
  <c r="CP27" i="2"/>
  <c r="CP8" i="2"/>
  <c r="CP25" i="2"/>
  <c r="CO18" i="2"/>
  <c r="CO21" i="2" s="1"/>
  <c r="CR3" i="2"/>
  <c r="CR87" i="2" s="1"/>
  <c r="CQ16" i="2" l="1"/>
  <c r="CQ15" i="2"/>
  <c r="CQ75" i="2"/>
  <c r="CQ86" i="2"/>
  <c r="CQ7" i="2"/>
  <c r="CQ29" i="2"/>
  <c r="CQ24" i="2"/>
  <c r="CQ27" i="2"/>
  <c r="CQ26" i="2"/>
  <c r="CQ25" i="2"/>
  <c r="CQ31" i="2"/>
  <c r="CQ30" i="2"/>
  <c r="CR2" i="2"/>
  <c r="CQ28" i="2"/>
  <c r="CQ12" i="2"/>
  <c r="CQ8" i="2"/>
  <c r="CQ11" i="2"/>
  <c r="CP18" i="2"/>
  <c r="CP21" i="2" s="1"/>
  <c r="CS3" i="2"/>
  <c r="CS87" i="2" s="1"/>
  <c r="CR16" i="2" l="1"/>
  <c r="CR15" i="2"/>
  <c r="CR75" i="2"/>
  <c r="CR86" i="2"/>
  <c r="CS2" i="2"/>
  <c r="CR7" i="2"/>
  <c r="CR30" i="2"/>
  <c r="CR31" i="2"/>
  <c r="CR28" i="2"/>
  <c r="CR12" i="2"/>
  <c r="CR26" i="2"/>
  <c r="CR29" i="2"/>
  <c r="CR11" i="2"/>
  <c r="CR8" i="2"/>
  <c r="CR25" i="2"/>
  <c r="CR27" i="2"/>
  <c r="CR24" i="2"/>
  <c r="CQ33" i="2"/>
  <c r="CQ18" i="2"/>
  <c r="CQ21" i="2" s="1"/>
  <c r="CT3" i="2"/>
  <c r="CT87" i="2" s="1"/>
  <c r="CS15" i="2" l="1"/>
  <c r="CS16" i="2"/>
  <c r="CS75" i="2"/>
  <c r="CS86" i="2"/>
  <c r="CS11" i="2"/>
  <c r="CT2" i="2"/>
  <c r="CS7" i="2"/>
  <c r="CS8" i="2"/>
  <c r="CS30" i="2"/>
  <c r="CS29" i="2"/>
  <c r="CS12" i="2"/>
  <c r="CS24" i="2"/>
  <c r="CS31" i="2"/>
  <c r="CS28" i="2"/>
  <c r="CS27" i="2"/>
  <c r="CS26" i="2"/>
  <c r="CS25" i="2"/>
  <c r="CQ35" i="2"/>
  <c r="CQ37" i="2" s="1"/>
  <c r="CQ48" i="2" s="1"/>
  <c r="CR18" i="2"/>
  <c r="CR21" i="2" s="1"/>
  <c r="CU3" i="2"/>
  <c r="CU87" i="2" s="1"/>
  <c r="CT15" i="2" l="1"/>
  <c r="CT16" i="2"/>
  <c r="CT75" i="2"/>
  <c r="CT86" i="2"/>
  <c r="CT8" i="2"/>
  <c r="CU2" i="2"/>
  <c r="CT11" i="2"/>
  <c r="CT7" i="2"/>
  <c r="CT30" i="2"/>
  <c r="CT26" i="2"/>
  <c r="CT28" i="2"/>
  <c r="CT31" i="2"/>
  <c r="CT24" i="2"/>
  <c r="CT27" i="2"/>
  <c r="CT29" i="2"/>
  <c r="CT12" i="2"/>
  <c r="CT25" i="2"/>
  <c r="CS18" i="2"/>
  <c r="CS21" i="2" s="1"/>
  <c r="CV3" i="2"/>
  <c r="CV87" i="2" s="1"/>
  <c r="CU16" i="2" l="1"/>
  <c r="CU15" i="2"/>
  <c r="CU75" i="2"/>
  <c r="CU86" i="2"/>
  <c r="CV2" i="2"/>
  <c r="CU8" i="2"/>
  <c r="CU12" i="2"/>
  <c r="CU28" i="2"/>
  <c r="CU26" i="2"/>
  <c r="CU7" i="2"/>
  <c r="CU24" i="2"/>
  <c r="CU27" i="2"/>
  <c r="CU11" i="2"/>
  <c r="CU25" i="2"/>
  <c r="CU30" i="2"/>
  <c r="CU29" i="2"/>
  <c r="CU31" i="2"/>
  <c r="CT18" i="2"/>
  <c r="CT21" i="2" s="1"/>
  <c r="CW3" i="2"/>
  <c r="CW87" i="2" s="1"/>
  <c r="CV16" i="2" l="1"/>
  <c r="CV15" i="2"/>
  <c r="CV75" i="2"/>
  <c r="CV86" i="2"/>
  <c r="CW2" i="2"/>
  <c r="CV8" i="2"/>
  <c r="CV12" i="2"/>
  <c r="CV24" i="2"/>
  <c r="CV30" i="2"/>
  <c r="CV7" i="2"/>
  <c r="CV26" i="2"/>
  <c r="CV29" i="2"/>
  <c r="CV28" i="2"/>
  <c r="CV11" i="2"/>
  <c r="CV31" i="2"/>
  <c r="CV27" i="2"/>
  <c r="CV25" i="2"/>
  <c r="CU18" i="2"/>
  <c r="CU21" i="2" s="1"/>
  <c r="CX3" i="2"/>
  <c r="CX87" i="2" s="1"/>
  <c r="CW15" i="2" l="1"/>
  <c r="CW16" i="2"/>
  <c r="CW86" i="2"/>
  <c r="CX2" i="2"/>
  <c r="DS71" i="2" s="1"/>
  <c r="DS72" i="2" s="1"/>
  <c r="DS73" i="2" s="1"/>
  <c r="CW8" i="2"/>
  <c r="CW28" i="2"/>
  <c r="CW25" i="2"/>
  <c r="CW24" i="2"/>
  <c r="CW27" i="2"/>
  <c r="CW11" i="2"/>
  <c r="CW30" i="2"/>
  <c r="CW26" i="2"/>
  <c r="CW7" i="2"/>
  <c r="CW31" i="2"/>
  <c r="CW29" i="2"/>
  <c r="CW12" i="2"/>
  <c r="CV18" i="2"/>
  <c r="CV21" i="2" s="1"/>
  <c r="CY3" i="2"/>
  <c r="CY87" i="2" s="1"/>
  <c r="CX15" i="2" l="1"/>
  <c r="CX16" i="2"/>
  <c r="CX75" i="2"/>
  <c r="CX86" i="2"/>
  <c r="CX12" i="2"/>
  <c r="CY2" i="2"/>
  <c r="DT71" i="2" s="1"/>
  <c r="DT72" i="2" s="1"/>
  <c r="DT73" i="2" s="1"/>
  <c r="CX8" i="2"/>
  <c r="CX7" i="2"/>
  <c r="CX27" i="2"/>
  <c r="CX25" i="2"/>
  <c r="CX28" i="2"/>
  <c r="CX11" i="2"/>
  <c r="CX31" i="2"/>
  <c r="CX26" i="2"/>
  <c r="CX29" i="2"/>
  <c r="CX24" i="2"/>
  <c r="CX30" i="2"/>
  <c r="CW18" i="2"/>
  <c r="CW21" i="2" s="1"/>
  <c r="CZ3" i="2"/>
  <c r="CZ87" i="2" s="1"/>
  <c r="CY16" i="2" l="1"/>
  <c r="CY15" i="2"/>
  <c r="CY75" i="2"/>
  <c r="CY86" i="2"/>
  <c r="CZ2" i="2"/>
  <c r="CY12" i="2"/>
  <c r="CY25" i="2"/>
  <c r="CY27" i="2"/>
  <c r="CY7" i="2"/>
  <c r="CY24" i="2"/>
  <c r="CY31" i="2"/>
  <c r="CY11" i="2"/>
  <c r="CY28" i="2"/>
  <c r="CY29" i="2"/>
  <c r="CY8" i="2"/>
  <c r="CY30" i="2"/>
  <c r="CY26" i="2"/>
  <c r="CX18" i="2"/>
  <c r="CX21" i="2" s="1"/>
  <c r="DA3" i="2"/>
  <c r="DA87" i="2" s="1"/>
  <c r="CZ15" i="2" l="1"/>
  <c r="CZ16" i="2"/>
  <c r="CZ75" i="2"/>
  <c r="CZ86" i="2"/>
  <c r="DA2" i="2"/>
  <c r="CZ12" i="2"/>
  <c r="CZ11" i="2"/>
  <c r="CZ29" i="2"/>
  <c r="CZ24" i="2"/>
  <c r="CZ7" i="2"/>
  <c r="CZ27" i="2"/>
  <c r="CZ25" i="2"/>
  <c r="CZ8" i="2"/>
  <c r="CZ28" i="2"/>
  <c r="CZ26" i="2"/>
  <c r="CZ30" i="2"/>
  <c r="CZ31" i="2"/>
  <c r="CY18" i="2"/>
  <c r="CY21" i="2" s="1"/>
  <c r="DB3" i="2"/>
  <c r="DB87" i="2" s="1"/>
  <c r="DA15" i="2" l="1"/>
  <c r="DA16" i="2"/>
  <c r="DA75" i="2"/>
  <c r="DA86" i="2"/>
  <c r="DB2" i="2"/>
  <c r="DA12" i="2"/>
  <c r="DA8" i="2"/>
  <c r="DA26" i="2"/>
  <c r="DA28" i="2"/>
  <c r="DA25" i="2"/>
  <c r="DA27" i="2"/>
  <c r="DA24" i="2"/>
  <c r="DA7" i="2"/>
  <c r="DA30" i="2"/>
  <c r="DA11" i="2"/>
  <c r="DA31" i="2"/>
  <c r="DA29" i="2"/>
  <c r="CZ18" i="2"/>
  <c r="CZ21" i="2" s="1"/>
  <c r="DC3" i="2"/>
  <c r="DC87" i="2" s="1"/>
  <c r="DB16" i="2" l="1"/>
  <c r="DB15" i="2"/>
  <c r="DB75" i="2"/>
  <c r="DB86" i="2"/>
  <c r="DC2" i="2"/>
  <c r="DB7" i="2"/>
  <c r="DB26" i="2"/>
  <c r="DB24" i="2"/>
  <c r="DB29" i="2"/>
  <c r="DB31" i="2"/>
  <c r="DB8" i="2"/>
  <c r="DB27" i="2"/>
  <c r="DB28" i="2"/>
  <c r="DB12" i="2"/>
  <c r="DB11" i="2"/>
  <c r="DB30" i="2"/>
  <c r="DB25" i="2"/>
  <c r="DA18" i="2"/>
  <c r="DA21" i="2" s="1"/>
  <c r="DD3" i="2"/>
  <c r="DD87" i="2" s="1"/>
  <c r="DC16" i="2" l="1"/>
  <c r="DC15" i="2"/>
  <c r="DC75" i="2"/>
  <c r="DC86" i="2"/>
  <c r="DC7" i="2"/>
  <c r="DC25" i="2"/>
  <c r="DC24" i="2"/>
  <c r="DC28" i="2"/>
  <c r="DC31" i="2"/>
  <c r="DD2" i="2"/>
  <c r="DC30" i="2"/>
  <c r="DC29" i="2"/>
  <c r="DC27" i="2"/>
  <c r="DC26" i="2"/>
  <c r="DC12" i="2"/>
  <c r="DC11" i="2"/>
  <c r="DC8" i="2"/>
  <c r="DB18" i="2"/>
  <c r="DB21" i="2" s="1"/>
  <c r="DE3" i="2"/>
  <c r="DE87" i="2" s="1"/>
  <c r="DD16" i="2" l="1"/>
  <c r="DD15" i="2"/>
  <c r="DD75" i="2"/>
  <c r="DD86" i="2"/>
  <c r="DE2" i="2"/>
  <c r="DD11" i="2"/>
  <c r="DD12" i="2"/>
  <c r="DD29" i="2"/>
  <c r="DD28" i="2"/>
  <c r="DD26" i="2"/>
  <c r="DD30" i="2"/>
  <c r="DD8" i="2"/>
  <c r="DD31" i="2"/>
  <c r="DD27" i="2"/>
  <c r="DD7" i="2"/>
  <c r="DD25" i="2"/>
  <c r="DD24" i="2"/>
  <c r="DC33" i="2"/>
  <c r="DC18" i="2"/>
  <c r="DC21" i="2" s="1"/>
  <c r="DF3" i="2"/>
  <c r="DF87" i="2" s="1"/>
  <c r="DE15" i="2" l="1"/>
  <c r="DE16" i="2"/>
  <c r="DE75" i="2"/>
  <c r="DE86" i="2"/>
  <c r="DE11" i="2"/>
  <c r="DF2" i="2"/>
  <c r="DE8" i="2"/>
  <c r="DE27" i="2"/>
  <c r="DE24" i="2"/>
  <c r="DE12" i="2"/>
  <c r="DE29" i="2"/>
  <c r="DE30" i="2"/>
  <c r="DE7" i="2"/>
  <c r="DE26" i="2"/>
  <c r="DE31" i="2"/>
  <c r="DE28" i="2"/>
  <c r="DE25" i="2"/>
  <c r="DC35" i="2"/>
  <c r="DD18" i="2"/>
  <c r="DD21" i="2" s="1"/>
  <c r="DG3" i="2"/>
  <c r="DG87" i="2" s="1"/>
  <c r="DF15" i="2" l="1"/>
  <c r="DF16" i="2"/>
  <c r="DF75" i="2"/>
  <c r="DF86" i="2"/>
  <c r="DF8" i="2"/>
  <c r="DG2" i="2"/>
  <c r="DF7" i="2"/>
  <c r="DF25" i="2"/>
  <c r="DF30" i="2"/>
  <c r="DF11" i="2"/>
  <c r="DF12" i="2"/>
  <c r="DF27" i="2"/>
  <c r="DF28" i="2"/>
  <c r="DF31" i="2"/>
  <c r="DF26" i="2"/>
  <c r="DF24" i="2"/>
  <c r="DF29" i="2"/>
  <c r="DE18" i="2"/>
  <c r="DE21" i="2" s="1"/>
  <c r="DH3" i="2"/>
  <c r="DH87" i="2" s="1"/>
  <c r="DC37" i="2"/>
  <c r="DC48" i="2" s="1"/>
  <c r="DG16" i="2" l="1"/>
  <c r="DG15" i="2"/>
  <c r="DG75" i="2"/>
  <c r="DG86" i="2"/>
  <c r="DH2" i="2"/>
  <c r="DG8" i="2"/>
  <c r="DG11" i="2"/>
  <c r="DG24" i="2"/>
  <c r="DG30" i="2"/>
  <c r="DG27" i="2"/>
  <c r="DG31" i="2"/>
  <c r="DG12" i="2"/>
  <c r="DG25" i="2"/>
  <c r="DG28" i="2"/>
  <c r="DG7" i="2"/>
  <c r="DG26" i="2"/>
  <c r="DG29" i="2"/>
  <c r="DF18" i="2"/>
  <c r="DF21" i="2" s="1"/>
  <c r="DI3" i="2"/>
  <c r="DI87" i="2" s="1"/>
  <c r="DH16" i="2" l="1"/>
  <c r="DH15" i="2"/>
  <c r="DH75" i="2"/>
  <c r="DH86" i="2"/>
  <c r="DI2" i="2"/>
  <c r="DH11" i="2"/>
  <c r="DH27" i="2"/>
  <c r="DH25" i="2"/>
  <c r="DH28" i="2"/>
  <c r="DH24" i="2"/>
  <c r="DH29" i="2"/>
  <c r="DH31" i="2"/>
  <c r="DH8" i="2"/>
  <c r="DH7" i="2"/>
  <c r="DH26" i="2"/>
  <c r="DH30" i="2"/>
  <c r="DH12" i="2"/>
  <c r="DG18" i="2"/>
  <c r="DG21" i="2" s="1"/>
  <c r="DJ3" i="2"/>
  <c r="DJ87" i="2" s="1"/>
  <c r="DI15" i="2" l="1"/>
  <c r="DI16" i="2"/>
  <c r="DI86" i="2"/>
  <c r="DJ2" i="2"/>
  <c r="DI8" i="2"/>
  <c r="DI12" i="2"/>
  <c r="DI28" i="2"/>
  <c r="DI27" i="2"/>
  <c r="DI11" i="2"/>
  <c r="DI25" i="2"/>
  <c r="DI26" i="2"/>
  <c r="DI29" i="2"/>
  <c r="DI7" i="2"/>
  <c r="DI30" i="2"/>
  <c r="DI24" i="2"/>
  <c r="DI31" i="2"/>
  <c r="DH18" i="2"/>
  <c r="DH21" i="2" s="1"/>
  <c r="DK3" i="2"/>
  <c r="DK87" i="2" s="1"/>
  <c r="DJ15" i="2" l="1"/>
  <c r="DJ16" i="2"/>
  <c r="DJ86" i="2"/>
  <c r="DJ75" i="2"/>
  <c r="DJ12" i="2"/>
  <c r="DK2" i="2"/>
  <c r="DJ29" i="2"/>
  <c r="DJ28" i="2"/>
  <c r="DJ26" i="2"/>
  <c r="DJ11" i="2"/>
  <c r="DJ24" i="2"/>
  <c r="DJ27" i="2"/>
  <c r="DJ8" i="2"/>
  <c r="DJ7" i="2"/>
  <c r="DJ30" i="2"/>
  <c r="DJ31" i="2"/>
  <c r="DJ25" i="2"/>
  <c r="DI18" i="2"/>
  <c r="DI21" i="2" s="1"/>
  <c r="DL3" i="2"/>
  <c r="DL87" i="2" s="1"/>
  <c r="DK16" i="2" l="1"/>
  <c r="DK15" i="2"/>
  <c r="DK86" i="2"/>
  <c r="DK75" i="2"/>
  <c r="DL2" i="2"/>
  <c r="DK12" i="2"/>
  <c r="DK8" i="2"/>
  <c r="DK28" i="2"/>
  <c r="DK29" i="2"/>
  <c r="DK31" i="2"/>
  <c r="DK30" i="2"/>
  <c r="DK7" i="2"/>
  <c r="DK25" i="2"/>
  <c r="DK27" i="2"/>
  <c r="DK11" i="2"/>
  <c r="DK24" i="2"/>
  <c r="DK26" i="2"/>
  <c r="DJ18" i="2"/>
  <c r="DJ21" i="2" s="1"/>
  <c r="DM3" i="2"/>
  <c r="DM87" i="2" s="1"/>
  <c r="DL15" i="2" l="1"/>
  <c r="DL16" i="2"/>
  <c r="DL86" i="2"/>
  <c r="DL75" i="2"/>
  <c r="DM2" i="2"/>
  <c r="DL12" i="2"/>
  <c r="DL7" i="2"/>
  <c r="DL30" i="2"/>
  <c r="DL24" i="2"/>
  <c r="DL25" i="2"/>
  <c r="DL29" i="2"/>
  <c r="DL8" i="2"/>
  <c r="DL27" i="2"/>
  <c r="DL28" i="2"/>
  <c r="DL11" i="2"/>
  <c r="DL26" i="2"/>
  <c r="DL31" i="2"/>
  <c r="DK18" i="2"/>
  <c r="DK21" i="2" s="1"/>
  <c r="DN3" i="2"/>
  <c r="DN87" i="2" s="1"/>
  <c r="DM15" i="2" l="1"/>
  <c r="DM16" i="2"/>
  <c r="DM86" i="2"/>
  <c r="DM75" i="2"/>
  <c r="DN2" i="2"/>
  <c r="DM12" i="2"/>
  <c r="DM8" i="2"/>
  <c r="DM30" i="2"/>
  <c r="DM29" i="2"/>
  <c r="DM28" i="2"/>
  <c r="DM11" i="2"/>
  <c r="DM27" i="2"/>
  <c r="DM25" i="2"/>
  <c r="DM24" i="2"/>
  <c r="DM31" i="2"/>
  <c r="DM7" i="2"/>
  <c r="DM26" i="2"/>
  <c r="DL18" i="2"/>
  <c r="DL21" i="2" s="1"/>
  <c r="DO3" i="2"/>
  <c r="DO87" i="2" s="1"/>
  <c r="DN16" i="2" l="1"/>
  <c r="DN15" i="2"/>
  <c r="DN86" i="2"/>
  <c r="DN75" i="2"/>
  <c r="DO2" i="2"/>
  <c r="DN12" i="2"/>
  <c r="DN7" i="2"/>
  <c r="DN26" i="2"/>
  <c r="DN24" i="2"/>
  <c r="DN29" i="2"/>
  <c r="DN30" i="2"/>
  <c r="DN8" i="2"/>
  <c r="DN25" i="2"/>
  <c r="DN31" i="2"/>
  <c r="DN28" i="2"/>
  <c r="DN27" i="2"/>
  <c r="DN11" i="2"/>
  <c r="DM18" i="2"/>
  <c r="DM21" i="2" s="1"/>
  <c r="DP3" i="2"/>
  <c r="DP87" i="2" s="1"/>
  <c r="DO16" i="2" l="1"/>
  <c r="DO15" i="2"/>
  <c r="DO86" i="2"/>
  <c r="DO75" i="2"/>
  <c r="DO7" i="2"/>
  <c r="DO28" i="2"/>
  <c r="DO25" i="2"/>
  <c r="DP2" i="2"/>
  <c r="DO26" i="2"/>
  <c r="DO24" i="2"/>
  <c r="DO27" i="2"/>
  <c r="DO30" i="2"/>
  <c r="DO31" i="2"/>
  <c r="DO29" i="2"/>
  <c r="DO12" i="2"/>
  <c r="DO8" i="2"/>
  <c r="DO11" i="2"/>
  <c r="DN18" i="2"/>
  <c r="DN21" i="2" s="1"/>
  <c r="DQ3" i="2"/>
  <c r="DQ87" i="2" s="1"/>
  <c r="DP16" i="2" l="1"/>
  <c r="DP15" i="2"/>
  <c r="DP86" i="2"/>
  <c r="DP75" i="2"/>
  <c r="DQ2" i="2"/>
  <c r="DP7" i="2"/>
  <c r="DP8" i="2"/>
  <c r="DP12" i="2"/>
  <c r="DP26" i="2"/>
  <c r="DP30" i="2"/>
  <c r="DP31" i="2"/>
  <c r="DP11" i="2"/>
  <c r="DP24" i="2"/>
  <c r="DP28" i="2"/>
  <c r="DP25" i="2"/>
  <c r="DP27" i="2"/>
  <c r="DP29" i="2"/>
  <c r="DO33" i="2"/>
  <c r="DO18" i="2"/>
  <c r="DO21" i="2" s="1"/>
  <c r="DR3" i="2"/>
  <c r="DR87" i="2" s="1"/>
  <c r="DQ15" i="2" l="1"/>
  <c r="DQ16" i="2"/>
  <c r="DQ86" i="2"/>
  <c r="DQ75" i="2"/>
  <c r="DQ11" i="2"/>
  <c r="DR2" i="2"/>
  <c r="DQ8" i="2"/>
  <c r="DQ27" i="2"/>
  <c r="DQ30" i="2"/>
  <c r="DQ31" i="2"/>
  <c r="DQ26" i="2"/>
  <c r="DQ28" i="2"/>
  <c r="DQ7" i="2"/>
  <c r="DQ25" i="2"/>
  <c r="DQ29" i="2"/>
  <c r="DQ24" i="2"/>
  <c r="DQ12" i="2"/>
  <c r="DO35" i="2"/>
  <c r="DP18" i="2"/>
  <c r="DP21" i="2" s="1"/>
  <c r="DS3" i="2"/>
  <c r="DS87" i="2" s="1"/>
  <c r="DR15" i="2" l="1"/>
  <c r="DR16" i="2"/>
  <c r="DR86" i="2"/>
  <c r="DR75" i="2"/>
  <c r="DR8" i="2"/>
  <c r="DS2" i="2"/>
  <c r="DR11" i="2"/>
  <c r="DR31" i="2"/>
  <c r="DR26" i="2"/>
  <c r="DR12" i="2"/>
  <c r="DR28" i="2"/>
  <c r="DR25" i="2"/>
  <c r="DR29" i="2"/>
  <c r="DR7" i="2"/>
  <c r="DR24" i="2"/>
  <c r="DR30" i="2"/>
  <c r="DR27" i="2"/>
  <c r="DQ18" i="2"/>
  <c r="DQ21" i="2" s="1"/>
  <c r="DT3" i="2"/>
  <c r="DT87" i="2" s="1"/>
  <c r="DO37" i="2"/>
  <c r="DO48" i="2" s="1"/>
  <c r="DS16" i="2" l="1"/>
  <c r="DS15" i="2"/>
  <c r="DS86" i="2"/>
  <c r="DS75" i="2"/>
  <c r="DT2" i="2"/>
  <c r="DS8" i="2"/>
  <c r="DS11" i="2"/>
  <c r="DS25" i="2"/>
  <c r="DS24" i="2"/>
  <c r="DS27" i="2"/>
  <c r="DS31" i="2"/>
  <c r="DS7" i="2"/>
  <c r="DS26" i="2"/>
  <c r="DS12" i="2"/>
  <c r="DS30" i="2"/>
  <c r="DS28" i="2"/>
  <c r="DS29" i="2"/>
  <c r="DR18" i="2"/>
  <c r="DR21" i="2" s="1"/>
  <c r="DU3" i="2"/>
  <c r="DU87" i="2" s="1"/>
  <c r="DT16" i="2" l="1"/>
  <c r="DT15" i="2"/>
  <c r="DT86" i="2"/>
  <c r="DT75" i="2"/>
  <c r="DU2" i="2"/>
  <c r="DT8" i="2"/>
  <c r="DT12" i="2"/>
  <c r="DT27" i="2"/>
  <c r="DT24" i="2"/>
  <c r="DT30" i="2"/>
  <c r="DT29" i="2"/>
  <c r="DT7" i="2"/>
  <c r="DT26" i="2"/>
  <c r="DT25" i="2"/>
  <c r="DT11" i="2"/>
  <c r="DT31" i="2"/>
  <c r="DT28" i="2"/>
  <c r="DS18" i="2"/>
  <c r="DS21" i="2" s="1"/>
  <c r="DU15" i="2" l="1"/>
  <c r="D15" i="2" s="1"/>
  <c r="DU16" i="2"/>
  <c r="D16" i="2" s="1"/>
  <c r="DU86" i="2"/>
  <c r="DU8" i="2"/>
  <c r="D8" i="2" s="1"/>
  <c r="DU12" i="2"/>
  <c r="D12" i="2" s="1"/>
  <c r="DU30" i="2"/>
  <c r="D30" i="2" s="1"/>
  <c r="DU29" i="2"/>
  <c r="D29" i="2" s="1"/>
  <c r="DU28" i="2"/>
  <c r="D28" i="2" s="1"/>
  <c r="DU27" i="2"/>
  <c r="D27" i="2" s="1"/>
  <c r="DU7" i="2"/>
  <c r="D7" i="2" s="1"/>
  <c r="DU25" i="2"/>
  <c r="D25" i="2" s="1"/>
  <c r="DU31" i="2"/>
  <c r="D31" i="2" s="1"/>
  <c r="DU26" i="2"/>
  <c r="D26" i="2" s="1"/>
  <c r="DU11" i="2"/>
  <c r="D11" i="2" s="1"/>
  <c r="DU24" i="2"/>
  <c r="D24" i="2" s="1"/>
  <c r="DT18" i="2"/>
  <c r="DT21" i="2" s="1"/>
  <c r="DU18" i="2" l="1"/>
  <c r="DU21" i="2" s="1"/>
  <c r="L43" i="1" l="1"/>
  <c r="AO75" i="2"/>
  <c r="M43" i="1"/>
  <c r="N43" i="1"/>
  <c r="BA75" i="2"/>
  <c r="CW75" i="2"/>
  <c r="CK75" i="2"/>
  <c r="O43" i="1"/>
  <c r="P43" i="1"/>
  <c r="DI75" i="2"/>
  <c r="AH21" i="2" l="1"/>
  <c r="AH35" i="2" l="1"/>
  <c r="AH37" i="2" s="1"/>
  <c r="AH48" i="2" s="1"/>
  <c r="K43" i="1"/>
  <c r="X18" i="2" l="1"/>
  <c r="X21" i="2" s="1"/>
  <c r="X35" i="2" s="1"/>
  <c r="D21" i="2" l="1"/>
  <c r="D18" i="2"/>
  <c r="X37" i="2" l="1"/>
  <c r="AJ33" i="2" l="1"/>
  <c r="AK33" i="2"/>
  <c r="AL33" i="2"/>
  <c r="AM33" i="2"/>
  <c r="AM35" i="2" s="1"/>
  <c r="AM37" i="2" s="1"/>
  <c r="AM48" i="2" s="1"/>
  <c r="AN33" i="2"/>
  <c r="AO33" i="2"/>
  <c r="AP33" i="2"/>
  <c r="AQ33" i="2"/>
  <c r="AR33" i="2"/>
  <c r="AS33" i="2"/>
  <c r="AT33" i="2"/>
  <c r="AV33" i="2"/>
  <c r="AW33" i="2"/>
  <c r="AX33" i="2"/>
  <c r="AY33" i="2"/>
  <c r="AZ33" i="2"/>
  <c r="BA33" i="2"/>
  <c r="BB33" i="2"/>
  <c r="BC33" i="2"/>
  <c r="BD33" i="2"/>
  <c r="BE33" i="2"/>
  <c r="BF33" i="2"/>
  <c r="BF35" i="2" s="1"/>
  <c r="BF37" i="2" s="1"/>
  <c r="BF48" i="2" s="1"/>
  <c r="BH33" i="2"/>
  <c r="BI33" i="2"/>
  <c r="BJ33" i="2"/>
  <c r="BK33" i="2"/>
  <c r="BL33" i="2"/>
  <c r="BM33" i="2"/>
  <c r="BN33" i="2"/>
  <c r="BO33" i="2"/>
  <c r="BP33" i="2"/>
  <c r="BQ33" i="2"/>
  <c r="BR33" i="2"/>
  <c r="BT33" i="2"/>
  <c r="BU33" i="2"/>
  <c r="BV33" i="2"/>
  <c r="BW33" i="2"/>
  <c r="BX33" i="2"/>
  <c r="BY33" i="2"/>
  <c r="BZ33" i="2"/>
  <c r="CA33" i="2"/>
  <c r="CB33" i="2"/>
  <c r="CC33" i="2"/>
  <c r="CD33" i="2"/>
  <c r="CF33" i="2"/>
  <c r="CG33" i="2"/>
  <c r="CH33" i="2"/>
  <c r="CI33" i="2"/>
  <c r="CI35" i="2" s="1"/>
  <c r="CI37" i="2" s="1"/>
  <c r="CI48" i="2" s="1"/>
  <c r="CJ33" i="2"/>
  <c r="CK33" i="2"/>
  <c r="CL33" i="2"/>
  <c r="CM33" i="2"/>
  <c r="CN33" i="2"/>
  <c r="CO33" i="2"/>
  <c r="CP33" i="2"/>
  <c r="CR33" i="2"/>
  <c r="CS33" i="2"/>
  <c r="CT33" i="2"/>
  <c r="CU33" i="2"/>
  <c r="CV33" i="2"/>
  <c r="CW33" i="2"/>
  <c r="CX33" i="2"/>
  <c r="CY33" i="2"/>
  <c r="CY35" i="2" s="1"/>
  <c r="CZ33" i="2"/>
  <c r="DA33" i="2"/>
  <c r="DB33" i="2"/>
  <c r="DD33" i="2"/>
  <c r="DE33" i="2"/>
  <c r="DF33" i="2"/>
  <c r="DG33" i="2"/>
  <c r="DH33" i="2"/>
  <c r="DI33" i="2"/>
  <c r="DJ33" i="2"/>
  <c r="DK33" i="2"/>
  <c r="DL33" i="2"/>
  <c r="DM33" i="2"/>
  <c r="DN33" i="2"/>
  <c r="DP33" i="2"/>
  <c r="DQ33" i="2"/>
  <c r="DR33" i="2"/>
  <c r="DS33" i="2"/>
  <c r="DT33" i="2"/>
  <c r="DU33" i="2"/>
  <c r="D33" i="2" s="1"/>
  <c r="DU35" i="2" l="1"/>
  <c r="K45" i="1"/>
  <c r="K46" i="1" s="1"/>
  <c r="L45" i="1"/>
  <c r="L46" i="1" s="1"/>
  <c r="CL35" i="2"/>
  <c r="CL37" i="2" s="1"/>
  <c r="CL48" i="2" s="1"/>
  <c r="N45" i="1"/>
  <c r="N46" i="1" s="1"/>
  <c r="AP35" i="2"/>
  <c r="AP37" i="2" s="1"/>
  <c r="AP48" i="2" s="1"/>
  <c r="BN35" i="2"/>
  <c r="M45" i="1"/>
  <c r="M46" i="1" s="1"/>
  <c r="P45" i="1"/>
  <c r="P46" i="1" s="1"/>
  <c r="O45" i="1"/>
  <c r="O46" i="1" s="1"/>
  <c r="DQ35" i="2"/>
  <c r="DQ37" i="2" s="1"/>
  <c r="DQ48" i="2" s="1"/>
  <c r="DL35" i="2"/>
  <c r="DL37" i="2" s="1"/>
  <c r="DL48" i="2" s="1"/>
  <c r="DH35" i="2"/>
  <c r="DH37" i="2" s="1"/>
  <c r="DH48" i="2" s="1"/>
  <c r="DD35" i="2"/>
  <c r="DD37" i="2" s="1"/>
  <c r="DD48" i="2" s="1"/>
  <c r="CU35" i="2"/>
  <c r="CU37" i="2" s="1"/>
  <c r="CU48" i="2" s="1"/>
  <c r="CP35" i="2"/>
  <c r="CP37" i="2" s="1"/>
  <c r="CP48" i="2" s="1"/>
  <c r="CH35" i="2"/>
  <c r="CH37" i="2" s="1"/>
  <c r="CH48" i="2" s="1"/>
  <c r="CC35" i="2"/>
  <c r="CC37" i="2" s="1"/>
  <c r="CC48" i="2" s="1"/>
  <c r="BY35" i="2"/>
  <c r="BY37" i="2" s="1"/>
  <c r="BY48" i="2" s="1"/>
  <c r="BU35" i="2"/>
  <c r="BU37" i="2" s="1"/>
  <c r="BU48" i="2" s="1"/>
  <c r="BP35" i="2"/>
  <c r="BP37" i="2" s="1"/>
  <c r="BP48" i="2" s="1"/>
  <c r="BL35" i="2"/>
  <c r="BL37" i="2" s="1"/>
  <c r="BL48" i="2" s="1"/>
  <c r="BH35" i="2"/>
  <c r="BH37" i="2" s="1"/>
  <c r="BH48" i="2" s="1"/>
  <c r="BC35" i="2"/>
  <c r="BC37" i="2" s="1"/>
  <c r="BC48" i="2" s="1"/>
  <c r="AY35" i="2"/>
  <c r="AY37" i="2" s="1"/>
  <c r="AY48" i="2" s="1"/>
  <c r="AT35" i="2"/>
  <c r="AT37" i="2" s="1"/>
  <c r="AT48" i="2" s="1"/>
  <c r="AL35" i="2"/>
  <c r="AL37" i="2" s="1"/>
  <c r="AL48" i="2" s="1"/>
  <c r="DT35" i="2"/>
  <c r="DT37" i="2" s="1"/>
  <c r="DP35" i="2"/>
  <c r="DP37" i="2" s="1"/>
  <c r="DP48" i="2" s="1"/>
  <c r="DK35" i="2"/>
  <c r="DK37" i="2" s="1"/>
  <c r="DK48" i="2" s="1"/>
  <c r="DG35" i="2"/>
  <c r="DG37" i="2" s="1"/>
  <c r="DG48" i="2" s="1"/>
  <c r="DB35" i="2"/>
  <c r="DB37" i="2" s="1"/>
  <c r="DB48" i="2" s="1"/>
  <c r="CX35" i="2"/>
  <c r="CT35" i="2"/>
  <c r="CT37" i="2" s="1"/>
  <c r="CT48" i="2" s="1"/>
  <c r="CO35" i="2"/>
  <c r="CO37" i="2" s="1"/>
  <c r="CO48" i="2" s="1"/>
  <c r="CK35" i="2"/>
  <c r="CK37" i="2" s="1"/>
  <c r="CK48" i="2" s="1"/>
  <c r="CG35" i="2"/>
  <c r="CG37" i="2" s="1"/>
  <c r="CG48" i="2" s="1"/>
  <c r="CB35" i="2"/>
  <c r="CB37" i="2" s="1"/>
  <c r="CB48" i="2" s="1"/>
  <c r="BX35" i="2"/>
  <c r="BX37" i="2" s="1"/>
  <c r="BX48" i="2" s="1"/>
  <c r="BT35" i="2"/>
  <c r="BT37" i="2" s="1"/>
  <c r="BT48" i="2" s="1"/>
  <c r="BO35" i="2"/>
  <c r="BO37" i="2" s="1"/>
  <c r="BO48" i="2" s="1"/>
  <c r="BK35" i="2"/>
  <c r="BK37" i="2" s="1"/>
  <c r="BK48" i="2" s="1"/>
  <c r="BB35" i="2"/>
  <c r="AX35" i="2"/>
  <c r="AX37" i="2" s="1"/>
  <c r="AX48" i="2" s="1"/>
  <c r="AS35" i="2"/>
  <c r="AS37" i="2" s="1"/>
  <c r="AS48" i="2" s="1"/>
  <c r="AO35" i="2"/>
  <c r="AO37" i="2" s="1"/>
  <c r="AO48" i="2" s="1"/>
  <c r="AK35" i="2"/>
  <c r="AK37" i="2" s="1"/>
  <c r="AK48" i="2" s="1"/>
  <c r="DS35" i="2"/>
  <c r="DS37" i="2" s="1"/>
  <c r="DN35" i="2"/>
  <c r="DN37" i="2" s="1"/>
  <c r="DN48" i="2" s="1"/>
  <c r="DJ35" i="2"/>
  <c r="DU46" i="2" s="1"/>
  <c r="DF35" i="2"/>
  <c r="DF37" i="2" s="1"/>
  <c r="DF48" i="2" s="1"/>
  <c r="DA35" i="2"/>
  <c r="DA37" i="2" s="1"/>
  <c r="DA48" i="2" s="1"/>
  <c r="CW35" i="2"/>
  <c r="CW37" i="2" s="1"/>
  <c r="CW48" i="2" s="1"/>
  <c r="CS35" i="2"/>
  <c r="CS37" i="2" s="1"/>
  <c r="CS48" i="2" s="1"/>
  <c r="CN35" i="2"/>
  <c r="CN37" i="2" s="1"/>
  <c r="CN48" i="2" s="1"/>
  <c r="CJ35" i="2"/>
  <c r="CJ37" i="2" s="1"/>
  <c r="CJ48" i="2" s="1"/>
  <c r="CF35" i="2"/>
  <c r="CF37" i="2" s="1"/>
  <c r="CF48" i="2" s="1"/>
  <c r="CA35" i="2"/>
  <c r="CA37" i="2" s="1"/>
  <c r="CA48" i="2" s="1"/>
  <c r="BW35" i="2"/>
  <c r="BW37" i="2" s="1"/>
  <c r="BW48" i="2" s="1"/>
  <c r="BR35" i="2"/>
  <c r="BR37" i="2" s="1"/>
  <c r="BR48" i="2" s="1"/>
  <c r="BJ35" i="2"/>
  <c r="BJ37" i="2" s="1"/>
  <c r="BJ48" i="2" s="1"/>
  <c r="BE35" i="2"/>
  <c r="BE37" i="2" s="1"/>
  <c r="BE48" i="2" s="1"/>
  <c r="BA35" i="2"/>
  <c r="BA37" i="2" s="1"/>
  <c r="BA48" i="2" s="1"/>
  <c r="AW35" i="2"/>
  <c r="AW37" i="2" s="1"/>
  <c r="AW48" i="2" s="1"/>
  <c r="AR35" i="2"/>
  <c r="AR37" i="2" s="1"/>
  <c r="AR48" i="2" s="1"/>
  <c r="AN35" i="2"/>
  <c r="AN37" i="2" s="1"/>
  <c r="AN48" i="2" s="1"/>
  <c r="AJ35" i="2"/>
  <c r="DR35" i="2"/>
  <c r="DR37" i="2" s="1"/>
  <c r="DR48" i="2" s="1"/>
  <c r="DM35" i="2"/>
  <c r="DI35" i="2"/>
  <c r="DI37" i="2" s="1"/>
  <c r="DI48" i="2" s="1"/>
  <c r="DE35" i="2"/>
  <c r="DE37" i="2" s="1"/>
  <c r="DE48" i="2" s="1"/>
  <c r="CZ35" i="2"/>
  <c r="CZ37" i="2" s="1"/>
  <c r="CZ48" i="2" s="1"/>
  <c r="CV35" i="2"/>
  <c r="CV37" i="2" s="1"/>
  <c r="CV48" i="2" s="1"/>
  <c r="CR35" i="2"/>
  <c r="CR37" i="2" s="1"/>
  <c r="CR48" i="2" s="1"/>
  <c r="CM35" i="2"/>
  <c r="CD35" i="2"/>
  <c r="CD37" i="2" s="1"/>
  <c r="CD48" i="2" s="1"/>
  <c r="BZ35" i="2"/>
  <c r="BV35" i="2"/>
  <c r="BV37" i="2" s="1"/>
  <c r="BV48" i="2" s="1"/>
  <c r="BQ35" i="2"/>
  <c r="BQ37" i="2" s="1"/>
  <c r="BQ48" i="2" s="1"/>
  <c r="BM35" i="2"/>
  <c r="BM37" i="2" s="1"/>
  <c r="BM48" i="2" s="1"/>
  <c r="BI35" i="2"/>
  <c r="BI37" i="2" s="1"/>
  <c r="BI48" i="2" s="1"/>
  <c r="BD35" i="2"/>
  <c r="BD37" i="2" s="1"/>
  <c r="BD48" i="2" s="1"/>
  <c r="AZ35" i="2"/>
  <c r="AZ37" i="2" s="1"/>
  <c r="AZ48" i="2" s="1"/>
  <c r="AV35" i="2"/>
  <c r="AV37" i="2" s="1"/>
  <c r="AV48" i="2" s="1"/>
  <c r="AQ35" i="2"/>
  <c r="CY37" i="2"/>
  <c r="CY48" i="2" s="1"/>
  <c r="D35" i="2" l="1"/>
  <c r="DS48" i="2"/>
  <c r="DS80" i="2" s="1"/>
  <c r="DS77" i="2" s="1"/>
  <c r="DT48" i="2"/>
  <c r="DT80" i="2" s="1"/>
  <c r="DT77" i="2" s="1"/>
  <c r="DJ37" i="2"/>
  <c r="DJ48" i="2" s="1"/>
  <c r="DU37" i="2"/>
  <c r="BN37" i="2"/>
  <c r="BN48" i="2" s="1"/>
  <c r="L47" i="1"/>
  <c r="K47" i="1"/>
  <c r="AJ37" i="2"/>
  <c r="P47" i="1"/>
  <c r="M47" i="1"/>
  <c r="N47" i="1"/>
  <c r="BZ37" i="2"/>
  <c r="BZ48" i="2" s="1"/>
  <c r="CX37" i="2"/>
  <c r="CX48" i="2" s="1"/>
  <c r="O47" i="1"/>
  <c r="BB37" i="2"/>
  <c r="BB48" i="2" s="1"/>
  <c r="AQ37" i="2"/>
  <c r="AQ48" i="2" s="1"/>
  <c r="CM37" i="2"/>
  <c r="CM48" i="2" s="1"/>
  <c r="DM37" i="2"/>
  <c r="DM48" i="2" s="1"/>
  <c r="AJ48" i="2" l="1"/>
  <c r="D37" i="2"/>
  <c r="DU48" i="2"/>
  <c r="D46" i="2"/>
  <c r="P50" i="1" l="1"/>
  <c r="K48" i="1"/>
  <c r="N50" i="1"/>
  <c r="O50" i="1"/>
  <c r="K50" i="1"/>
  <c r="L50" i="1"/>
  <c r="M50" i="1"/>
  <c r="AP71" i="2"/>
  <c r="AP72" i="2" s="1"/>
  <c r="AP80" i="2" s="1"/>
  <c r="AP77" i="2" s="1"/>
  <c r="BF71" i="2"/>
  <c r="BF72" i="2" s="1"/>
  <c r="BF80" i="2" s="1"/>
  <c r="BF77" i="2" s="1"/>
  <c r="CN71" i="2"/>
  <c r="CN72" i="2" s="1"/>
  <c r="CN80" i="2" s="1"/>
  <c r="CN77" i="2" s="1"/>
  <c r="BN71" i="2"/>
  <c r="BN72" i="2" s="1"/>
  <c r="BN80" i="2" s="1"/>
  <c r="BN77" i="2" s="1"/>
  <c r="AI71" i="2"/>
  <c r="AI72" i="2" s="1"/>
  <c r="AI80" i="2" s="1"/>
  <c r="AI77" i="2" s="1"/>
  <c r="CM71" i="2"/>
  <c r="CM72" i="2" s="1"/>
  <c r="CM80" i="2" s="1"/>
  <c r="CM77" i="2" s="1"/>
  <c r="AX71" i="2"/>
  <c r="AX72" i="2" s="1"/>
  <c r="AX80" i="2" s="1"/>
  <c r="AX77" i="2" s="1"/>
  <c r="BH71" i="2"/>
  <c r="BH72" i="2" s="1"/>
  <c r="BH80" i="2" s="1"/>
  <c r="BH77" i="2" s="1"/>
  <c r="O48" i="1"/>
  <c r="DF71" i="2"/>
  <c r="DF72" i="2" s="1"/>
  <c r="DF80" i="2" s="1"/>
  <c r="DF77" i="2" s="1"/>
  <c r="BC71" i="2"/>
  <c r="BC72" i="2" s="1"/>
  <c r="BC80" i="2" s="1"/>
  <c r="BC77" i="2" s="1"/>
  <c r="CU71" i="2"/>
  <c r="CU72" i="2" s="1"/>
  <c r="CU80" i="2" s="1"/>
  <c r="CU77" i="2" s="1"/>
  <c r="DB71" i="2"/>
  <c r="DB72" i="2" s="1"/>
  <c r="DB80" i="2" s="1"/>
  <c r="DB77" i="2" s="1"/>
  <c r="AQ71" i="2"/>
  <c r="AQ72" i="2" s="1"/>
  <c r="AQ80" i="2" s="1"/>
  <c r="AQ77" i="2" s="1"/>
  <c r="AM71" i="2"/>
  <c r="AM72" i="2" s="1"/>
  <c r="AM80" i="2" s="1"/>
  <c r="AM77" i="2" s="1"/>
  <c r="BX71" i="2"/>
  <c r="BX72" i="2" s="1"/>
  <c r="BX80" i="2" s="1"/>
  <c r="BX77" i="2" s="1"/>
  <c r="DM71" i="2"/>
  <c r="DM72" i="2" s="1"/>
  <c r="DM80" i="2" s="1"/>
  <c r="DM77" i="2" s="1"/>
  <c r="AS71" i="2"/>
  <c r="AS72" i="2" s="1"/>
  <c r="AS80" i="2" s="1"/>
  <c r="AS77" i="2" s="1"/>
  <c r="CJ71" i="2"/>
  <c r="CJ72" i="2" s="1"/>
  <c r="CJ80" i="2" s="1"/>
  <c r="CJ77" i="2" s="1"/>
  <c r="AL71" i="2"/>
  <c r="AL72" i="2" s="1"/>
  <c r="AL80" i="2" s="1"/>
  <c r="AL77" i="2" s="1"/>
  <c r="AC71" i="2"/>
  <c r="AC72" i="2" s="1"/>
  <c r="AC80" i="2" s="1"/>
  <c r="AC77" i="2" s="1"/>
  <c r="BA71" i="2"/>
  <c r="BA72" i="2" s="1"/>
  <c r="BA80" i="2" s="1"/>
  <c r="BA77" i="2" s="1"/>
  <c r="AU71" i="2"/>
  <c r="AU72" i="2" s="1"/>
  <c r="AU80" i="2" s="1"/>
  <c r="AU77" i="2" s="1"/>
  <c r="AZ71" i="2"/>
  <c r="AZ72" i="2" s="1"/>
  <c r="AZ80" i="2" s="1"/>
  <c r="AZ77" i="2" s="1"/>
  <c r="DO71" i="2"/>
  <c r="DO72" i="2" s="1"/>
  <c r="DO80" i="2" s="1"/>
  <c r="DO77" i="2" s="1"/>
  <c r="CK71" i="2"/>
  <c r="CK72" i="2" s="1"/>
  <c r="CK80" i="2" s="1"/>
  <c r="CK77" i="2" s="1"/>
  <c r="AN71" i="2"/>
  <c r="AN72" i="2" s="1"/>
  <c r="AN80" i="2" s="1"/>
  <c r="AN77" i="2" s="1"/>
  <c r="CT71" i="2"/>
  <c r="CT72" i="2" s="1"/>
  <c r="CT80" i="2" s="1"/>
  <c r="CT77" i="2" s="1"/>
  <c r="CP71" i="2"/>
  <c r="CP72" i="2" s="1"/>
  <c r="CP80" i="2" s="1"/>
  <c r="CP77" i="2" s="1"/>
  <c r="CX71" i="2"/>
  <c r="CX72" i="2" s="1"/>
  <c r="CX80" i="2" s="1"/>
  <c r="CX77" i="2" s="1"/>
  <c r="AA71" i="2"/>
  <c r="AF71" i="2"/>
  <c r="AF72" i="2" s="1"/>
  <c r="AF80" i="2" s="1"/>
  <c r="AF77" i="2" s="1"/>
  <c r="P48" i="1"/>
  <c r="BI71" i="2"/>
  <c r="BI72" i="2" s="1"/>
  <c r="BI80" i="2" s="1"/>
  <c r="BI77" i="2" s="1"/>
  <c r="BT71" i="2"/>
  <c r="BT72" i="2" s="1"/>
  <c r="BT80" i="2" s="1"/>
  <c r="BT77" i="2" s="1"/>
  <c r="CE71" i="2"/>
  <c r="CE72" i="2" s="1"/>
  <c r="CE80" i="2" s="1"/>
  <c r="CE77" i="2" s="1"/>
  <c r="BU71" i="2"/>
  <c r="BU72" i="2" s="1"/>
  <c r="BU80" i="2" s="1"/>
  <c r="BU77" i="2" s="1"/>
  <c r="BP71" i="2"/>
  <c r="BP72" i="2" s="1"/>
  <c r="BP80" i="2" s="1"/>
  <c r="BP77" i="2" s="1"/>
  <c r="BE71" i="2"/>
  <c r="BE72" i="2" s="1"/>
  <c r="BE80" i="2" s="1"/>
  <c r="BE77" i="2" s="1"/>
  <c r="M48" i="1"/>
  <c r="BJ71" i="2"/>
  <c r="BJ72" i="2" s="1"/>
  <c r="BJ80" i="2" s="1"/>
  <c r="BJ77" i="2" s="1"/>
  <c r="BD71" i="2"/>
  <c r="BD72" i="2" s="1"/>
  <c r="BD80" i="2" s="1"/>
  <c r="BD77" i="2" s="1"/>
  <c r="AH71" i="2"/>
  <c r="AH72" i="2" s="1"/>
  <c r="AH80" i="2" s="1"/>
  <c r="AH77" i="2" s="1"/>
  <c r="AO71" i="2"/>
  <c r="AO72" i="2" s="1"/>
  <c r="AO80" i="2" s="1"/>
  <c r="AO77" i="2" s="1"/>
  <c r="BK71" i="2"/>
  <c r="BK72" i="2" s="1"/>
  <c r="BK80" i="2" s="1"/>
  <c r="BK77" i="2" s="1"/>
  <c r="CZ71" i="2"/>
  <c r="CZ72" i="2" s="1"/>
  <c r="CZ80" i="2" s="1"/>
  <c r="CZ77" i="2" s="1"/>
  <c r="AR71" i="2"/>
  <c r="AR72" i="2" s="1"/>
  <c r="AR80" i="2" s="1"/>
  <c r="AR77" i="2" s="1"/>
  <c r="DI71" i="2"/>
  <c r="DI72" i="2" s="1"/>
  <c r="DI80" i="2" s="1"/>
  <c r="DI77" i="2" s="1"/>
  <c r="BQ71" i="2"/>
  <c r="BQ72" i="2" s="1"/>
  <c r="BQ80" i="2" s="1"/>
  <c r="BQ77" i="2" s="1"/>
  <c r="DP71" i="2"/>
  <c r="DP72" i="2" s="1"/>
  <c r="DP80" i="2" s="1"/>
  <c r="DP77" i="2" s="1"/>
  <c r="AW71" i="2"/>
  <c r="AW72" i="2" s="1"/>
  <c r="AW80" i="2" s="1"/>
  <c r="AW77" i="2" s="1"/>
  <c r="AT71" i="2"/>
  <c r="AT72" i="2" s="1"/>
  <c r="AT80" i="2" s="1"/>
  <c r="AT77" i="2" s="1"/>
  <c r="DD71" i="2"/>
  <c r="DD72" i="2" s="1"/>
  <c r="DD80" i="2" s="1"/>
  <c r="DD77" i="2" s="1"/>
  <c r="BS71" i="2"/>
  <c r="BS72" i="2" s="1"/>
  <c r="BS80" i="2" s="1"/>
  <c r="BS77" i="2" s="1"/>
  <c r="CW71" i="2"/>
  <c r="CW72" i="2" s="1"/>
  <c r="CW80" i="2" s="1"/>
  <c r="CW77" i="2" s="1"/>
  <c r="DK71" i="2"/>
  <c r="DK72" i="2" s="1"/>
  <c r="DK80" i="2" s="1"/>
  <c r="DK77" i="2" s="1"/>
  <c r="BW71" i="2"/>
  <c r="BW72" i="2" s="1"/>
  <c r="BW80" i="2" s="1"/>
  <c r="BW77" i="2" s="1"/>
  <c r="DA71" i="2"/>
  <c r="DA72" i="2" s="1"/>
  <c r="DA80" i="2" s="1"/>
  <c r="DA77" i="2" s="1"/>
  <c r="AG71" i="2"/>
  <c r="AG72" i="2" s="1"/>
  <c r="AG80" i="2" s="1"/>
  <c r="AG77" i="2" s="1"/>
  <c r="AD71" i="2"/>
  <c r="AD72" i="2" s="1"/>
  <c r="AD80" i="2" s="1"/>
  <c r="AD77" i="2" s="1"/>
  <c r="AK71" i="2"/>
  <c r="AK72" i="2" s="1"/>
  <c r="AK80" i="2" s="1"/>
  <c r="AK77" i="2" s="1"/>
  <c r="CI71" i="2"/>
  <c r="CI72" i="2" s="1"/>
  <c r="CI80" i="2" s="1"/>
  <c r="CI77" i="2" s="1"/>
  <c r="DR71" i="2"/>
  <c r="DR72" i="2" s="1"/>
  <c r="DR80" i="2" s="1"/>
  <c r="DR77" i="2" s="1"/>
  <c r="N48" i="1"/>
  <c r="BR71" i="2"/>
  <c r="BR72" i="2" s="1"/>
  <c r="BR80" i="2" s="1"/>
  <c r="BR77" i="2" s="1"/>
  <c r="BO71" i="2"/>
  <c r="BO72" i="2" s="1"/>
  <c r="BO80" i="2" s="1"/>
  <c r="BO77" i="2" s="1"/>
  <c r="DC71" i="2"/>
  <c r="DC72" i="2" s="1"/>
  <c r="DC80" i="2" s="1"/>
  <c r="DC77" i="2" s="1"/>
  <c r="DL71" i="2"/>
  <c r="DL72" i="2" s="1"/>
  <c r="DL80" i="2" s="1"/>
  <c r="DL77" i="2" s="1"/>
  <c r="AV71" i="2"/>
  <c r="AV72" i="2" s="1"/>
  <c r="AV80" i="2" s="1"/>
  <c r="AV77" i="2" s="1"/>
  <c r="DG71" i="2"/>
  <c r="DG72" i="2" s="1"/>
  <c r="DG80" i="2" s="1"/>
  <c r="DG77" i="2" s="1"/>
  <c r="DH71" i="2"/>
  <c r="DH72" i="2" s="1"/>
  <c r="DH80" i="2" s="1"/>
  <c r="DH77" i="2" s="1"/>
  <c r="AE71" i="2"/>
  <c r="AE72" i="2" s="1"/>
  <c r="AE80" i="2" s="1"/>
  <c r="AE77" i="2" s="1"/>
  <c r="L48" i="1"/>
  <c r="BB71" i="2"/>
  <c r="BB72" i="2" s="1"/>
  <c r="BB80" i="2" s="1"/>
  <c r="BB77" i="2" s="1"/>
  <c r="CQ71" i="2"/>
  <c r="CQ72" i="2" s="1"/>
  <c r="CQ80" i="2" s="1"/>
  <c r="CQ77" i="2" s="1"/>
  <c r="CC71" i="2"/>
  <c r="CC72" i="2" s="1"/>
  <c r="CC80" i="2" s="1"/>
  <c r="CC77" i="2" s="1"/>
  <c r="BZ71" i="2"/>
  <c r="BZ72" i="2" s="1"/>
  <c r="BZ80" i="2" s="1"/>
  <c r="BZ77" i="2" s="1"/>
  <c r="CG71" i="2"/>
  <c r="CG72" i="2" s="1"/>
  <c r="CG80" i="2" s="1"/>
  <c r="CG77" i="2" s="1"/>
  <c r="BG71" i="2"/>
  <c r="BG72" i="2" s="1"/>
  <c r="BG80" i="2" s="1"/>
  <c r="BG77" i="2" s="1"/>
  <c r="AB71" i="2"/>
  <c r="AB72" i="2" s="1"/>
  <c r="AB80" i="2" s="1"/>
  <c r="AB77" i="2" s="1"/>
  <c r="DQ71" i="2"/>
  <c r="DQ72" i="2" s="1"/>
  <c r="DQ80" i="2" s="1"/>
  <c r="DQ77" i="2" s="1"/>
  <c r="BM71" i="2"/>
  <c r="BM72" i="2" s="1"/>
  <c r="BM80" i="2" s="1"/>
  <c r="BM77" i="2" s="1"/>
  <c r="AJ71" i="2"/>
  <c r="AJ72" i="2" s="1"/>
  <c r="AJ80" i="2" s="1"/>
  <c r="AJ77" i="2" s="1"/>
  <c r="CY71" i="2"/>
  <c r="CY72" i="2" s="1"/>
  <c r="CY80" i="2" s="1"/>
  <c r="CY77" i="2" s="1"/>
  <c r="CO71" i="2"/>
  <c r="CO72" i="2" s="1"/>
  <c r="CO80" i="2" s="1"/>
  <c r="CO77" i="2" s="1"/>
  <c r="CL71" i="2"/>
  <c r="CL72" i="2" s="1"/>
  <c r="CL80" i="2" s="1"/>
  <c r="CL77" i="2" s="1"/>
  <c r="CV71" i="2"/>
  <c r="CV72" i="2" s="1"/>
  <c r="CV80" i="2" s="1"/>
  <c r="CV77" i="2" s="1"/>
  <c r="CR71" i="2"/>
  <c r="CR72" i="2" s="1"/>
  <c r="CR80" i="2" s="1"/>
  <c r="CR77" i="2" s="1"/>
  <c r="CS71" i="2"/>
  <c r="CS72" i="2" s="1"/>
  <c r="CS80" i="2" s="1"/>
  <c r="CS77" i="2" s="1"/>
  <c r="CD71" i="2"/>
  <c r="CD72" i="2" s="1"/>
  <c r="CD80" i="2" s="1"/>
  <c r="CD77" i="2" s="1"/>
  <c r="CF71" i="2"/>
  <c r="CF72" i="2" s="1"/>
  <c r="CF80" i="2" s="1"/>
  <c r="CF77" i="2" s="1"/>
  <c r="CH71" i="2"/>
  <c r="CH72" i="2" s="1"/>
  <c r="CH80" i="2" s="1"/>
  <c r="CH77" i="2" s="1"/>
  <c r="BY71" i="2"/>
  <c r="BY72" i="2" s="1"/>
  <c r="BY80" i="2" s="1"/>
  <c r="BY77" i="2" s="1"/>
  <c r="BV71" i="2"/>
  <c r="BV72" i="2" s="1"/>
  <c r="BV80" i="2" s="1"/>
  <c r="BV77" i="2" s="1"/>
  <c r="AY71" i="2"/>
  <c r="AY72" i="2" s="1"/>
  <c r="AY80" i="2" s="1"/>
  <c r="AY77" i="2" s="1"/>
  <c r="DE71" i="2"/>
  <c r="DE72" i="2" s="1"/>
  <c r="DE80" i="2" s="1"/>
  <c r="DE77" i="2" s="1"/>
  <c r="DJ71" i="2"/>
  <c r="DJ72" i="2" s="1"/>
  <c r="DJ80" i="2" s="1"/>
  <c r="DJ77" i="2" s="1"/>
  <c r="CB71" i="2"/>
  <c r="CB72" i="2" s="1"/>
  <c r="CB80" i="2" s="1"/>
  <c r="CB77" i="2" s="1"/>
  <c r="CA71" i="2"/>
  <c r="CA72" i="2" s="1"/>
  <c r="CA80" i="2" s="1"/>
  <c r="CA77" i="2" s="1"/>
  <c r="BL71" i="2"/>
  <c r="BL72" i="2" s="1"/>
  <c r="BL80" i="2" s="1"/>
  <c r="BL77" i="2" s="1"/>
  <c r="DN71" i="2"/>
  <c r="DN72" i="2" s="1"/>
  <c r="DN80" i="2" s="1"/>
  <c r="DN77" i="2" s="1"/>
  <c r="BY75" i="2"/>
  <c r="DU75" i="2" l="1"/>
  <c r="D71" i="2"/>
  <c r="AA72" i="2"/>
  <c r="AA80" i="2" s="1"/>
  <c r="AA77" i="2" s="1"/>
  <c r="BM75" i="2"/>
  <c r="AA73" i="2"/>
  <c r="DU77" i="2" l="1"/>
  <c r="DU89" i="2"/>
  <c r="D75" i="2"/>
  <c r="AB73" i="2"/>
  <c r="AC73" i="2" l="1"/>
  <c r="AD73" i="2" l="1"/>
  <c r="AE73" i="2" l="1"/>
  <c r="AF73" i="2" s="1"/>
  <c r="AG73" i="2" s="1"/>
  <c r="AH73" i="2" s="1"/>
  <c r="AI73" i="2" l="1"/>
  <c r="AJ73" i="2" l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BU73" i="2" s="1"/>
  <c r="BV73" i="2" s="1"/>
  <c r="BW73" i="2" s="1"/>
  <c r="BX73" i="2" s="1"/>
  <c r="BY73" i="2" s="1"/>
  <c r="BZ73" i="2" s="1"/>
  <c r="CA73" i="2" s="1"/>
  <c r="CB73" i="2" s="1"/>
  <c r="CC73" i="2" s="1"/>
  <c r="CD73" i="2" s="1"/>
  <c r="CE73" i="2" s="1"/>
  <c r="CF73" i="2" s="1"/>
  <c r="CG73" i="2" s="1"/>
  <c r="CH73" i="2" s="1"/>
  <c r="CI73" i="2" s="1"/>
  <c r="CJ73" i="2" s="1"/>
  <c r="CK73" i="2" s="1"/>
  <c r="CL73" i="2" s="1"/>
  <c r="CM73" i="2" s="1"/>
  <c r="CN73" i="2" s="1"/>
  <c r="CO73" i="2" s="1"/>
  <c r="CP73" i="2" s="1"/>
  <c r="CQ73" i="2" s="1"/>
  <c r="CR73" i="2" s="1"/>
  <c r="CS73" i="2" s="1"/>
  <c r="CT73" i="2" s="1"/>
  <c r="CU73" i="2" s="1"/>
  <c r="CV73" i="2" s="1"/>
  <c r="CW73" i="2" s="1"/>
  <c r="CX73" i="2" s="1"/>
  <c r="CY73" i="2" s="1"/>
  <c r="CZ73" i="2" s="1"/>
  <c r="DA73" i="2" s="1"/>
  <c r="DB73" i="2" s="1"/>
  <c r="DC73" i="2" s="1"/>
  <c r="DD73" i="2" s="1"/>
  <c r="DE73" i="2" s="1"/>
  <c r="DF73" i="2" s="1"/>
  <c r="DG73" i="2" s="1"/>
  <c r="DH73" i="2" s="1"/>
  <c r="DI73" i="2" s="1"/>
  <c r="DJ73" i="2" s="1"/>
  <c r="DK73" i="2" s="1"/>
  <c r="DL73" i="2" s="1"/>
  <c r="DM73" i="2" s="1"/>
  <c r="DN73" i="2" s="1"/>
  <c r="DO73" i="2" s="1"/>
  <c r="DP73" i="2" s="1"/>
  <c r="DQ73" i="2" s="1"/>
  <c r="DR73" i="2"/>
  <c r="D73" i="2" l="1"/>
  <c r="AJ89" i="2"/>
  <c r="AJ102" i="2" s="1"/>
  <c r="AK89" i="2"/>
  <c r="AK102" i="2" s="1"/>
  <c r="AL89" i="2"/>
  <c r="AL102" i="2" s="1"/>
  <c r="AM89" i="2"/>
  <c r="AM102" i="2" s="1"/>
  <c r="AN89" i="2"/>
  <c r="AN102" i="2" s="1"/>
  <c r="AO89" i="2"/>
  <c r="AO102" i="2" s="1"/>
  <c r="AP89" i="2"/>
  <c r="AP102" i="2" s="1"/>
  <c r="AQ89" i="2"/>
  <c r="AQ102" i="2" s="1"/>
  <c r="AR89" i="2"/>
  <c r="AR102" i="2" s="1"/>
  <c r="AS89" i="2"/>
  <c r="AS102" i="2" s="1"/>
  <c r="AT89" i="2"/>
  <c r="AT102" i="2" s="1"/>
  <c r="AU89" i="2"/>
  <c r="AU102" i="2" s="1"/>
  <c r="AV89" i="2"/>
  <c r="AV102" i="2" s="1"/>
  <c r="AW89" i="2"/>
  <c r="AW102" i="2" s="1"/>
  <c r="AX89" i="2"/>
  <c r="AX102" i="2" s="1"/>
  <c r="AY89" i="2"/>
  <c r="AY102" i="2" s="1"/>
  <c r="AZ89" i="2"/>
  <c r="AZ102" i="2" s="1"/>
  <c r="BA89" i="2"/>
  <c r="BA102" i="2" s="1"/>
  <c r="BB89" i="2"/>
  <c r="BB102" i="2" s="1"/>
  <c r="BC89" i="2"/>
  <c r="BC102" i="2" s="1"/>
  <c r="BD89" i="2"/>
  <c r="BD102" i="2" s="1"/>
  <c r="BE89" i="2"/>
  <c r="BE102" i="2" s="1"/>
  <c r="BF89" i="2"/>
  <c r="BF102" i="2" s="1"/>
  <c r="BG89" i="2"/>
  <c r="BG102" i="2" s="1"/>
  <c r="BH89" i="2"/>
  <c r="BH102" i="2" s="1"/>
  <c r="BI89" i="2"/>
  <c r="BI102" i="2" s="1"/>
  <c r="BJ89" i="2"/>
  <c r="BJ102" i="2" s="1"/>
  <c r="BK89" i="2"/>
  <c r="BK102" i="2" s="1"/>
  <c r="BL89" i="2"/>
  <c r="BL102" i="2" s="1"/>
  <c r="BM89" i="2"/>
  <c r="BM102" i="2" s="1"/>
  <c r="BN89" i="2"/>
  <c r="BN102" i="2" s="1"/>
  <c r="BO89" i="2"/>
  <c r="BO102" i="2" s="1"/>
  <c r="BP89" i="2"/>
  <c r="BP102" i="2" s="1"/>
  <c r="BQ89" i="2"/>
  <c r="BQ102" i="2" s="1"/>
  <c r="BR89" i="2"/>
  <c r="BR102" i="2" s="1"/>
  <c r="BS89" i="2"/>
  <c r="BS102" i="2" s="1"/>
  <c r="BT89" i="2"/>
  <c r="BT102" i="2" s="1"/>
  <c r="BU89" i="2"/>
  <c r="BU102" i="2" s="1"/>
  <c r="BV89" i="2"/>
  <c r="BV102" i="2" s="1"/>
  <c r="BW89" i="2"/>
  <c r="BW102" i="2" s="1"/>
  <c r="BX89" i="2"/>
  <c r="BX102" i="2" s="1"/>
  <c r="BY89" i="2"/>
  <c r="BY102" i="2" s="1"/>
  <c r="BZ89" i="2"/>
  <c r="BZ102" i="2" s="1"/>
  <c r="CA89" i="2"/>
  <c r="CA102" i="2" s="1"/>
  <c r="CB89" i="2"/>
  <c r="CB102" i="2" s="1"/>
  <c r="CC89" i="2"/>
  <c r="CC102" i="2" s="1"/>
  <c r="CD89" i="2"/>
  <c r="CD102" i="2" s="1"/>
  <c r="CE89" i="2"/>
  <c r="CE102" i="2" s="1"/>
  <c r="CF89" i="2"/>
  <c r="CF102" i="2" s="1"/>
  <c r="CG89" i="2"/>
  <c r="CG102" i="2" s="1"/>
  <c r="CH89" i="2"/>
  <c r="CH102" i="2" s="1"/>
  <c r="CI89" i="2"/>
  <c r="CI102" i="2" s="1"/>
  <c r="CJ89" i="2"/>
  <c r="CJ102" i="2" s="1"/>
  <c r="CK89" i="2"/>
  <c r="CK102" i="2" s="1"/>
  <c r="CL89" i="2"/>
  <c r="CL102" i="2" s="1"/>
  <c r="CM89" i="2"/>
  <c r="CM102" i="2" s="1"/>
  <c r="CN89" i="2"/>
  <c r="CN102" i="2" s="1"/>
  <c r="CO89" i="2"/>
  <c r="CO102" i="2" s="1"/>
  <c r="CP89" i="2"/>
  <c r="CP102" i="2" s="1"/>
  <c r="CQ89" i="2"/>
  <c r="CQ102" i="2" s="1"/>
  <c r="CR89" i="2"/>
  <c r="CR102" i="2" s="1"/>
  <c r="CS89" i="2"/>
  <c r="CS102" i="2" s="1"/>
  <c r="CT89" i="2"/>
  <c r="CT102" i="2" s="1"/>
  <c r="CU89" i="2"/>
  <c r="CU102" i="2" s="1"/>
  <c r="CV89" i="2"/>
  <c r="CV102" i="2" s="1"/>
  <c r="CW89" i="2"/>
  <c r="CW102" i="2" s="1"/>
  <c r="CX89" i="2"/>
  <c r="CX102" i="2" s="1"/>
  <c r="CY89" i="2"/>
  <c r="CY102" i="2" s="1"/>
  <c r="CZ89" i="2"/>
  <c r="CZ102" i="2" s="1"/>
  <c r="DA89" i="2"/>
  <c r="DA102" i="2" s="1"/>
  <c r="DB89" i="2"/>
  <c r="DB102" i="2" s="1"/>
  <c r="DC89" i="2"/>
  <c r="DC102" i="2" s="1"/>
  <c r="DD89" i="2"/>
  <c r="DD102" i="2" s="1"/>
  <c r="DE89" i="2"/>
  <c r="DE102" i="2" s="1"/>
  <c r="DF89" i="2"/>
  <c r="DF102" i="2" s="1"/>
  <c r="DG89" i="2"/>
  <c r="DG102" i="2" s="1"/>
  <c r="DH89" i="2"/>
  <c r="DH102" i="2" s="1"/>
  <c r="DI89" i="2"/>
  <c r="DI102" i="2" s="1"/>
  <c r="DJ89" i="2"/>
  <c r="DJ102" i="2" s="1"/>
  <c r="DK89" i="2"/>
  <c r="DK102" i="2" s="1"/>
  <c r="DL89" i="2"/>
  <c r="DL102" i="2" s="1"/>
  <c r="DM89" i="2"/>
  <c r="DM102" i="2" s="1"/>
  <c r="DN89" i="2"/>
  <c r="DN102" i="2" s="1"/>
  <c r="DO89" i="2"/>
  <c r="DO102" i="2" s="1"/>
  <c r="DP89" i="2"/>
  <c r="DP102" i="2" s="1"/>
  <c r="DQ89" i="2"/>
  <c r="DQ102" i="2" s="1"/>
  <c r="DR89" i="2"/>
  <c r="DR102" i="2" s="1"/>
  <c r="DS89" i="2"/>
  <c r="DS102" i="2" s="1"/>
  <c r="DT89" i="2"/>
  <c r="DT102" i="2" s="1"/>
  <c r="L51" i="1" l="1"/>
  <c r="P51" i="1"/>
  <c r="N51" i="1"/>
  <c r="O51" i="1"/>
  <c r="M51" i="1"/>
  <c r="AF89" i="2" l="1"/>
  <c r="AF102" i="2" s="1"/>
  <c r="AI89" i="2"/>
  <c r="AI102" i="2" s="1"/>
  <c r="AE89" i="2"/>
  <c r="AE102" i="2" s="1"/>
  <c r="AH89" i="2"/>
  <c r="AH102" i="2" s="1"/>
  <c r="AD89" i="2"/>
  <c r="AD102" i="2" s="1"/>
  <c r="K51" i="1" l="1"/>
  <c r="AG89" i="2"/>
  <c r="AG102" i="2" s="1"/>
  <c r="AA90" i="2" l="1"/>
  <c r="AB90" i="2"/>
  <c r="AB94" i="2" s="1"/>
  <c r="AB135" i="2" s="1"/>
  <c r="AC90" i="2"/>
  <c r="AC94" i="2" s="1"/>
  <c r="AD90" i="2"/>
  <c r="AD95" i="2" s="1"/>
  <c r="AE90" i="2"/>
  <c r="AF90" i="2"/>
  <c r="AF95" i="2" s="1"/>
  <c r="AF101" i="2" s="1"/>
  <c r="AG90" i="2"/>
  <c r="AG94" i="2" s="1"/>
  <c r="AH90" i="2"/>
  <c r="AH94" i="2" s="1"/>
  <c r="AH106" i="2" s="1"/>
  <c r="AI90" i="2"/>
  <c r="AJ90" i="2"/>
  <c r="AJ94" i="2" s="1"/>
  <c r="AJ135" i="2" s="1"/>
  <c r="AK90" i="2"/>
  <c r="AK94" i="2" s="1"/>
  <c r="AL90" i="2"/>
  <c r="AL94" i="2" s="1"/>
  <c r="AL106" i="2" s="1"/>
  <c r="AM90" i="2"/>
  <c r="AN90" i="2"/>
  <c r="AN94" i="2" s="1"/>
  <c r="AN135" i="2" s="1"/>
  <c r="AO90" i="2"/>
  <c r="AO94" i="2" s="1"/>
  <c r="AP90" i="2"/>
  <c r="AP95" i="2" s="1"/>
  <c r="AQ90" i="2"/>
  <c r="AR90" i="2"/>
  <c r="AR94" i="2" s="1"/>
  <c r="AR106" i="2" s="1"/>
  <c r="AS90" i="2"/>
  <c r="AS94" i="2" s="1"/>
  <c r="AS106" i="2" s="1"/>
  <c r="AT90" i="2"/>
  <c r="AT95" i="2" s="1"/>
  <c r="AU90" i="2"/>
  <c r="AV90" i="2"/>
  <c r="AV95" i="2" s="1"/>
  <c r="AV101" i="2" s="1"/>
  <c r="AW90" i="2"/>
  <c r="AW94" i="2" s="1"/>
  <c r="AX90" i="2"/>
  <c r="AX94" i="2" s="1"/>
  <c r="AX106" i="2" s="1"/>
  <c r="AY90" i="2"/>
  <c r="AZ90" i="2"/>
  <c r="AZ95" i="2" s="1"/>
  <c r="BA90" i="2"/>
  <c r="BA94" i="2" s="1"/>
  <c r="BB90" i="2"/>
  <c r="BB94" i="2" s="1"/>
  <c r="BB106" i="2" s="1"/>
  <c r="BC90" i="2"/>
  <c r="BD90" i="2"/>
  <c r="BD94" i="2" s="1"/>
  <c r="BD135" i="2" s="1"/>
  <c r="BE90" i="2"/>
  <c r="BE94" i="2" s="1"/>
  <c r="BF90" i="2"/>
  <c r="BF95" i="2" s="1"/>
  <c r="BG90" i="2"/>
  <c r="BH90" i="2"/>
  <c r="BH94" i="2" s="1"/>
  <c r="BH135" i="2" s="1"/>
  <c r="BI90" i="2"/>
  <c r="BI94" i="2" s="1"/>
  <c r="BJ90" i="2"/>
  <c r="BJ94" i="2" s="1"/>
  <c r="BJ106" i="2" s="1"/>
  <c r="BK90" i="2"/>
  <c r="BL90" i="2"/>
  <c r="BL94" i="2" s="1"/>
  <c r="BL106" i="2" s="1"/>
  <c r="BM90" i="2"/>
  <c r="BM94" i="2" s="1"/>
  <c r="BN90" i="2"/>
  <c r="BN94" i="2" s="1"/>
  <c r="BN106" i="2" s="1"/>
  <c r="BO90" i="2"/>
  <c r="BP90" i="2"/>
  <c r="BP94" i="2" s="1"/>
  <c r="BQ90" i="2"/>
  <c r="BQ94" i="2" s="1"/>
  <c r="BR90" i="2"/>
  <c r="BR94" i="2" s="1"/>
  <c r="BS90" i="2"/>
  <c r="BT90" i="2"/>
  <c r="BT94" i="2" s="1"/>
  <c r="BT106" i="2" s="1"/>
  <c r="BU90" i="2"/>
  <c r="BU94" i="2" s="1"/>
  <c r="BV90" i="2"/>
  <c r="BV95" i="2" s="1"/>
  <c r="BW90" i="2"/>
  <c r="BX90" i="2"/>
  <c r="BX94" i="2" s="1"/>
  <c r="BX106" i="2" s="1"/>
  <c r="BY90" i="2"/>
  <c r="BY94" i="2" s="1"/>
  <c r="BZ90" i="2"/>
  <c r="BZ94" i="2" s="1"/>
  <c r="CA90" i="2"/>
  <c r="CB90" i="2"/>
  <c r="CB94" i="2" s="1"/>
  <c r="CC90" i="2"/>
  <c r="CC95" i="2" s="1"/>
  <c r="CD90" i="2"/>
  <c r="CD94" i="2" s="1"/>
  <c r="CD106" i="2" s="1"/>
  <c r="CE90" i="2"/>
  <c r="CF90" i="2"/>
  <c r="CF94" i="2" s="1"/>
  <c r="CG90" i="2"/>
  <c r="CG94" i="2" s="1"/>
  <c r="CH90" i="2"/>
  <c r="CH95" i="2" s="1"/>
  <c r="CI90" i="2"/>
  <c r="CJ90" i="2"/>
  <c r="CJ94" i="2" s="1"/>
  <c r="CJ106" i="2" s="1"/>
  <c r="CK90" i="2"/>
  <c r="CK94" i="2" s="1"/>
  <c r="CL90" i="2"/>
  <c r="CL94" i="2" s="1"/>
  <c r="CL106" i="2" s="1"/>
  <c r="CM90" i="2"/>
  <c r="CN90" i="2"/>
  <c r="CN94" i="2" s="1"/>
  <c r="CN106" i="2" s="1"/>
  <c r="CO90" i="2"/>
  <c r="CO94" i="2" s="1"/>
  <c r="CP90" i="2"/>
  <c r="CP95" i="2" s="1"/>
  <c r="CQ90" i="2"/>
  <c r="CR90" i="2"/>
  <c r="CR94" i="2" s="1"/>
  <c r="CR106" i="2" s="1"/>
  <c r="CS90" i="2"/>
  <c r="CS94" i="2" s="1"/>
  <c r="CT90" i="2"/>
  <c r="CT94" i="2" s="1"/>
  <c r="CU90" i="2"/>
  <c r="CV90" i="2"/>
  <c r="CV94" i="2" s="1"/>
  <c r="CW90" i="2"/>
  <c r="CW94" i="2" s="1"/>
  <c r="CX90" i="2"/>
  <c r="CX94" i="2" s="1"/>
  <c r="CY90" i="2"/>
  <c r="CZ90" i="2"/>
  <c r="CZ94" i="2" s="1"/>
  <c r="CZ106" i="2" s="1"/>
  <c r="DA90" i="2"/>
  <c r="DA94" i="2" s="1"/>
  <c r="DB90" i="2"/>
  <c r="DB94" i="2" s="1"/>
  <c r="DB106" i="2" s="1"/>
  <c r="DC90" i="2"/>
  <c r="DD90" i="2"/>
  <c r="DD95" i="2" s="1"/>
  <c r="DD101" i="2" s="1"/>
  <c r="DE90" i="2"/>
  <c r="DE94" i="2" s="1"/>
  <c r="DF90" i="2"/>
  <c r="DF94" i="2" s="1"/>
  <c r="DG90" i="2"/>
  <c r="DH90" i="2"/>
  <c r="DH94" i="2" s="1"/>
  <c r="DI90" i="2"/>
  <c r="DI94" i="2" s="1"/>
  <c r="DJ90" i="2"/>
  <c r="DJ94" i="2" s="1"/>
  <c r="DK90" i="2"/>
  <c r="DL90" i="2"/>
  <c r="DL94" i="2" s="1"/>
  <c r="DL135" i="2" s="1"/>
  <c r="DM90" i="2"/>
  <c r="DM94" i="2" s="1"/>
  <c r="DN90" i="2"/>
  <c r="DN94" i="2" s="1"/>
  <c r="DN106" i="2" s="1"/>
  <c r="DO90" i="2"/>
  <c r="DP90" i="2"/>
  <c r="DP94" i="2" s="1"/>
  <c r="DP106" i="2" s="1"/>
  <c r="DQ90" i="2"/>
  <c r="DQ94" i="2" s="1"/>
  <c r="DR90" i="2"/>
  <c r="DR95" i="2" s="1"/>
  <c r="DS90" i="2"/>
  <c r="DT90" i="2"/>
  <c r="DT94" i="2" s="1"/>
  <c r="DT106" i="2" s="1"/>
  <c r="DU90" i="2"/>
  <c r="DU94" i="2" s="1"/>
  <c r="DU106" i="2" s="1"/>
  <c r="BV94" i="2"/>
  <c r="BV106" i="2" s="1"/>
  <c r="AL95" i="2"/>
  <c r="AL128" i="2" s="1"/>
  <c r="BX95" i="2"/>
  <c r="BX128" i="2" s="1"/>
  <c r="CH94" i="2" l="1"/>
  <c r="CH135" i="2" s="1"/>
  <c r="DU95" i="2"/>
  <c r="DU116" i="2" s="1"/>
  <c r="CT95" i="2"/>
  <c r="CJ95" i="2"/>
  <c r="CJ101" i="2" s="1"/>
  <c r="CZ95" i="2"/>
  <c r="BN95" i="2"/>
  <c r="AF94" i="2"/>
  <c r="AF135" i="2" s="1"/>
  <c r="AC106" i="2"/>
  <c r="AC135" i="2"/>
  <c r="DN95" i="2"/>
  <c r="CD95" i="2"/>
  <c r="CD128" i="2" s="1"/>
  <c r="DR94" i="2"/>
  <c r="DR106" i="2" s="1"/>
  <c r="CR95" i="2"/>
  <c r="CR101" i="2" s="1"/>
  <c r="DD94" i="2"/>
  <c r="DD106" i="2" s="1"/>
  <c r="DL95" i="2"/>
  <c r="DL101" i="2" s="1"/>
  <c r="CT106" i="2"/>
  <c r="CT135" i="2"/>
  <c r="DF95" i="2"/>
  <c r="BR95" i="2"/>
  <c r="CP94" i="2"/>
  <c r="CP106" i="2" s="1"/>
  <c r="DR128" i="2"/>
  <c r="DB95" i="2"/>
  <c r="BZ95" i="2"/>
  <c r="BZ128" i="2" s="1"/>
  <c r="BP95" i="2"/>
  <c r="DJ106" i="2"/>
  <c r="DJ135" i="2"/>
  <c r="DR135" i="2"/>
  <c r="CT128" i="2"/>
  <c r="DT95" i="2"/>
  <c r="DT101" i="2" s="1"/>
  <c r="DJ95" i="2"/>
  <c r="DJ128" i="2" s="1"/>
  <c r="CX95" i="2"/>
  <c r="CX96" i="2" s="1"/>
  <c r="CL95" i="2"/>
  <c r="CB95" i="2"/>
  <c r="CB101" i="2" s="1"/>
  <c r="CB106" i="2"/>
  <c r="CB135" i="2"/>
  <c r="BP106" i="2"/>
  <c r="BP135" i="2"/>
  <c r="CX135" i="2"/>
  <c r="CX106" i="2"/>
  <c r="CH106" i="2"/>
  <c r="DE95" i="2"/>
  <c r="DE101" i="2" s="1"/>
  <c r="CV95" i="2"/>
  <c r="CV101" i="2" s="1"/>
  <c r="CO95" i="2"/>
  <c r="CO101" i="2" s="1"/>
  <c r="BT95" i="2"/>
  <c r="BT128" i="2" s="1"/>
  <c r="CC94" i="2"/>
  <c r="CC106" i="2" s="1"/>
  <c r="DP95" i="2"/>
  <c r="DP101" i="2" s="1"/>
  <c r="DH95" i="2"/>
  <c r="DH101" i="2" s="1"/>
  <c r="CN95" i="2"/>
  <c r="CF95" i="2"/>
  <c r="BY95" i="2"/>
  <c r="BY128" i="2" s="1"/>
  <c r="CD135" i="2"/>
  <c r="CJ128" i="2"/>
  <c r="CB128" i="2"/>
  <c r="CP128" i="2"/>
  <c r="BX101" i="2"/>
  <c r="CL128" i="2"/>
  <c r="DD128" i="2"/>
  <c r="DN135" i="2"/>
  <c r="CL135" i="2"/>
  <c r="DB128" i="2"/>
  <c r="CC101" i="2"/>
  <c r="CC128" i="2"/>
  <c r="DF135" i="2"/>
  <c r="DF106" i="2"/>
  <c r="BZ135" i="2"/>
  <c r="BZ106" i="2"/>
  <c r="BR106" i="2"/>
  <c r="BR135" i="2"/>
  <c r="CV106" i="2"/>
  <c r="CV135" i="2"/>
  <c r="CF106" i="2"/>
  <c r="CF135" i="2"/>
  <c r="BN135" i="2"/>
  <c r="DM95" i="2"/>
  <c r="DM101" i="2" s="1"/>
  <c r="CW95" i="2"/>
  <c r="CG95" i="2"/>
  <c r="CG128" i="2" s="1"/>
  <c r="BQ95" i="2"/>
  <c r="BQ96" i="2" s="1"/>
  <c r="CR135" i="2"/>
  <c r="DL106" i="2"/>
  <c r="DQ95" i="2"/>
  <c r="DQ101" i="2" s="1"/>
  <c r="DA95" i="2"/>
  <c r="CK95" i="2"/>
  <c r="BU95" i="2"/>
  <c r="BU101" i="2" s="1"/>
  <c r="DI95" i="2"/>
  <c r="DI101" i="2" s="1"/>
  <c r="CS95" i="2"/>
  <c r="CS96" i="2" s="1"/>
  <c r="BE95" i="2"/>
  <c r="BE101" i="2" s="1"/>
  <c r="AS135" i="2"/>
  <c r="AW95" i="2"/>
  <c r="AW128" i="2" s="1"/>
  <c r="AR95" i="2"/>
  <c r="BD95" i="2"/>
  <c r="BD101" i="2" s="1"/>
  <c r="AZ94" i="2"/>
  <c r="AZ106" i="2" s="1"/>
  <c r="AZ101" i="2"/>
  <c r="AZ128" i="2"/>
  <c r="BL95" i="2"/>
  <c r="BL101" i="2" s="1"/>
  <c r="AN95" i="2"/>
  <c r="AN128" i="2" s="1"/>
  <c r="AB95" i="2"/>
  <c r="AB128" i="2" s="1"/>
  <c r="AV94" i="2"/>
  <c r="AV135" i="2" s="1"/>
  <c r="BH95" i="2"/>
  <c r="AJ95" i="2"/>
  <c r="AJ101" i="2" s="1"/>
  <c r="AX95" i="2"/>
  <c r="AX101" i="2" s="1"/>
  <c r="BJ95" i="2"/>
  <c r="BJ128" i="2" s="1"/>
  <c r="AO95" i="2"/>
  <c r="AO101" i="2" s="1"/>
  <c r="AG95" i="2"/>
  <c r="AJ106" i="2"/>
  <c r="AF128" i="2"/>
  <c r="BI95" i="2"/>
  <c r="BI101" i="2" s="1"/>
  <c r="AS95" i="2"/>
  <c r="AS128" i="2" s="1"/>
  <c r="AC95" i="2"/>
  <c r="AC101" i="2" s="1"/>
  <c r="AD94" i="2"/>
  <c r="AD106" i="2" s="1"/>
  <c r="BF94" i="2"/>
  <c r="BF106" i="2" s="1"/>
  <c r="BM95" i="2"/>
  <c r="BM101" i="2" s="1"/>
  <c r="AR135" i="2"/>
  <c r="AP94" i="2"/>
  <c r="AP106" i="2" s="1"/>
  <c r="AT101" i="2"/>
  <c r="AT128" i="2"/>
  <c r="AD101" i="2"/>
  <c r="AD128" i="2"/>
  <c r="BL135" i="2"/>
  <c r="BB95" i="2"/>
  <c r="BB128" i="2" s="1"/>
  <c r="AT94" i="2"/>
  <c r="AH95" i="2"/>
  <c r="AH101" i="2" s="1"/>
  <c r="AV128" i="2"/>
  <c r="BA95" i="2"/>
  <c r="BA101" i="2" s="1"/>
  <c r="AK95" i="2"/>
  <c r="AK96" i="2" s="1"/>
  <c r="AB106" i="2"/>
  <c r="CF128" i="2"/>
  <c r="DF128" i="2"/>
  <c r="BI135" i="2"/>
  <c r="BI106" i="2"/>
  <c r="AK135" i="2"/>
  <c r="AK106" i="2"/>
  <c r="CF101" i="2"/>
  <c r="BP101" i="2"/>
  <c r="CW106" i="2"/>
  <c r="CW135" i="2"/>
  <c r="BQ135" i="2"/>
  <c r="BQ106" i="2"/>
  <c r="AW106" i="2"/>
  <c r="AW135" i="2"/>
  <c r="AF96" i="2"/>
  <c r="CS135" i="2"/>
  <c r="CS106" i="2"/>
  <c r="DI106" i="2"/>
  <c r="DI135" i="2"/>
  <c r="DU96" i="2"/>
  <c r="DU135" i="2"/>
  <c r="CO96" i="2"/>
  <c r="CO106" i="2"/>
  <c r="CO135" i="2"/>
  <c r="AG135" i="2"/>
  <c r="AG106" i="2"/>
  <c r="DH135" i="2"/>
  <c r="DH106" i="2"/>
  <c r="DB135" i="2"/>
  <c r="BV135" i="2"/>
  <c r="CZ128" i="2"/>
  <c r="BN128" i="2"/>
  <c r="DU101" i="2"/>
  <c r="CZ101" i="2"/>
  <c r="CC96" i="2"/>
  <c r="AG96" i="2"/>
  <c r="DU128" i="2"/>
  <c r="DP128" i="2"/>
  <c r="AN106" i="2"/>
  <c r="BY101" i="2"/>
  <c r="AH96" i="2"/>
  <c r="CW96" i="2"/>
  <c r="DM106" i="2"/>
  <c r="DM96" i="2"/>
  <c r="DM135" i="2"/>
  <c r="DE135" i="2"/>
  <c r="DE96" i="2"/>
  <c r="DE106" i="2"/>
  <c r="CG135" i="2"/>
  <c r="CG106" i="2"/>
  <c r="BY106" i="2"/>
  <c r="BY96" i="2"/>
  <c r="BY135" i="2"/>
  <c r="BM135" i="2"/>
  <c r="BM106" i="2"/>
  <c r="BA135" i="2"/>
  <c r="BA106" i="2"/>
  <c r="AO106" i="2"/>
  <c r="AO135" i="2"/>
  <c r="DQ135" i="2"/>
  <c r="DQ106" i="2"/>
  <c r="DQ96" i="2"/>
  <c r="DA106" i="2"/>
  <c r="DA135" i="2"/>
  <c r="DA96" i="2"/>
  <c r="CK106" i="2"/>
  <c r="CK96" i="2"/>
  <c r="CK135" i="2"/>
  <c r="BU106" i="2"/>
  <c r="BU135" i="2"/>
  <c r="BE106" i="2"/>
  <c r="BE135" i="2"/>
  <c r="CZ96" i="2"/>
  <c r="CJ96" i="2"/>
  <c r="BT96" i="2"/>
  <c r="DT96" i="2"/>
  <c r="DD96" i="2"/>
  <c r="CN96" i="2"/>
  <c r="BX96" i="2"/>
  <c r="CR96" i="2"/>
  <c r="CB96" i="2"/>
  <c r="CV96" i="2"/>
  <c r="CF96" i="2"/>
  <c r="BP96" i="2"/>
  <c r="AZ96" i="2"/>
  <c r="DN96" i="2"/>
  <c r="DN101" i="2"/>
  <c r="CH96" i="2"/>
  <c r="CH101" i="2"/>
  <c r="BR96" i="2"/>
  <c r="BR101" i="2"/>
  <c r="DS95" i="2"/>
  <c r="DS94" i="2"/>
  <c r="DO95" i="2"/>
  <c r="DO94" i="2"/>
  <c r="DK95" i="2"/>
  <c r="DK94" i="2"/>
  <c r="DG95" i="2"/>
  <c r="DG94" i="2"/>
  <c r="DC95" i="2"/>
  <c r="DC94" i="2"/>
  <c r="CY95" i="2"/>
  <c r="CY94" i="2"/>
  <c r="CU95" i="2"/>
  <c r="CU94" i="2"/>
  <c r="CQ95" i="2"/>
  <c r="CQ94" i="2"/>
  <c r="CM95" i="2"/>
  <c r="CM94" i="2"/>
  <c r="CI95" i="2"/>
  <c r="CI94" i="2"/>
  <c r="CE95" i="2"/>
  <c r="CE94" i="2"/>
  <c r="CA95" i="2"/>
  <c r="CA94" i="2"/>
  <c r="BW95" i="2"/>
  <c r="BW94" i="2"/>
  <c r="BS95" i="2"/>
  <c r="BS94" i="2"/>
  <c r="BO95" i="2"/>
  <c r="BO94" i="2"/>
  <c r="BK95" i="2"/>
  <c r="BK94" i="2"/>
  <c r="BG95" i="2"/>
  <c r="BG94" i="2"/>
  <c r="BC95" i="2"/>
  <c r="BC94" i="2"/>
  <c r="AY94" i="2"/>
  <c r="AY106" i="2" s="1"/>
  <c r="AY95" i="2"/>
  <c r="AU94" i="2"/>
  <c r="AU106" i="2" s="1"/>
  <c r="AU95" i="2"/>
  <c r="AQ94" i="2"/>
  <c r="AQ106" i="2" s="1"/>
  <c r="AQ95" i="2"/>
  <c r="AM94" i="2"/>
  <c r="AM135" i="2" s="1"/>
  <c r="AM95" i="2"/>
  <c r="AI94" i="2"/>
  <c r="AI135" i="2" s="1"/>
  <c r="AI95" i="2"/>
  <c r="AE94" i="2"/>
  <c r="AE106" i="2" s="1"/>
  <c r="AE95" i="2"/>
  <c r="AA94" i="2"/>
  <c r="AA135" i="2" s="1"/>
  <c r="AA95" i="2"/>
  <c r="DN128" i="2"/>
  <c r="CH128" i="2"/>
  <c r="DR96" i="2"/>
  <c r="DR101" i="2"/>
  <c r="CL96" i="2"/>
  <c r="CL101" i="2"/>
  <c r="BF101" i="2"/>
  <c r="DT135" i="2"/>
  <c r="DD135" i="2"/>
  <c r="CZ135" i="2"/>
  <c r="CN135" i="2"/>
  <c r="CJ135" i="2"/>
  <c r="BX135" i="2"/>
  <c r="BT135" i="2"/>
  <c r="BR128" i="2"/>
  <c r="DF96" i="2"/>
  <c r="DF101" i="2"/>
  <c r="CP96" i="2"/>
  <c r="CP101" i="2"/>
  <c r="BJ96" i="2"/>
  <c r="AL101" i="2"/>
  <c r="AL96" i="2"/>
  <c r="BD106" i="2"/>
  <c r="DB96" i="2"/>
  <c r="DB101" i="2"/>
  <c r="BV96" i="2"/>
  <c r="BV101" i="2"/>
  <c r="AP101" i="2"/>
  <c r="AP96" i="2"/>
  <c r="BH106" i="2"/>
  <c r="DP135" i="2"/>
  <c r="BV128" i="2"/>
  <c r="BF128" i="2"/>
  <c r="AP128" i="2"/>
  <c r="DJ96" i="2"/>
  <c r="DJ101" i="2"/>
  <c r="CT96" i="2"/>
  <c r="CT101" i="2"/>
  <c r="CD96" i="2"/>
  <c r="CD101" i="2"/>
  <c r="BN96" i="2"/>
  <c r="BN101" i="2"/>
  <c r="AT106" i="2"/>
  <c r="AT96" i="2"/>
  <c r="BJ135" i="2"/>
  <c r="BB135" i="2"/>
  <c r="AX135" i="2"/>
  <c r="AT135" i="2"/>
  <c r="AP135" i="2"/>
  <c r="AL135" i="2"/>
  <c r="AH135" i="2"/>
  <c r="DL128" i="2" l="1"/>
  <c r="CP135" i="2"/>
  <c r="DP96" i="2"/>
  <c r="BT101" i="2"/>
  <c r="BZ101" i="2"/>
  <c r="DH96" i="2"/>
  <c r="BZ96" i="2"/>
  <c r="BE96" i="2"/>
  <c r="CX128" i="2"/>
  <c r="CX101" i="2"/>
  <c r="DL96" i="2"/>
  <c r="AO96" i="2"/>
  <c r="BF96" i="2"/>
  <c r="AF106" i="2"/>
  <c r="CR128" i="2"/>
  <c r="BP128" i="2"/>
  <c r="CO128" i="2"/>
  <c r="DT128" i="2"/>
  <c r="CC135" i="2"/>
  <c r="CV128" i="2"/>
  <c r="CN128" i="2"/>
  <c r="CN101" i="2"/>
  <c r="DI96" i="2"/>
  <c r="DE128" i="2"/>
  <c r="DH128" i="2"/>
  <c r="DQ128" i="2"/>
  <c r="AR128" i="2"/>
  <c r="BU96" i="2"/>
  <c r="CG96" i="2"/>
  <c r="AR96" i="2"/>
  <c r="AB101" i="2"/>
  <c r="BU128" i="2"/>
  <c r="BE128" i="2"/>
  <c r="DA101" i="2"/>
  <c r="DA128" i="2"/>
  <c r="BH101" i="2"/>
  <c r="AW101" i="2"/>
  <c r="BD96" i="2"/>
  <c r="BM96" i="2"/>
  <c r="AW96" i="2"/>
  <c r="DI128" i="2"/>
  <c r="BQ101" i="2"/>
  <c r="BQ128" i="2"/>
  <c r="AC128" i="2"/>
  <c r="BD128" i="2"/>
  <c r="BL128" i="2"/>
  <c r="CG101" i="2"/>
  <c r="CK101" i="2"/>
  <c r="CK128" i="2"/>
  <c r="CW101" i="2"/>
  <c r="CW128" i="2"/>
  <c r="BL96" i="2"/>
  <c r="AC96" i="2"/>
  <c r="CS128" i="2"/>
  <c r="CS101" i="2"/>
  <c r="DM128" i="2"/>
  <c r="BF135" i="2"/>
  <c r="AJ96" i="2"/>
  <c r="AV106" i="2"/>
  <c r="AS101" i="2"/>
  <c r="AJ128" i="2"/>
  <c r="AS96" i="2"/>
  <c r="AZ135" i="2"/>
  <c r="AN101" i="2"/>
  <c r="BH96" i="2"/>
  <c r="AN96" i="2"/>
  <c r="BH128" i="2"/>
  <c r="AR101" i="2"/>
  <c r="AV96" i="2"/>
  <c r="AX96" i="2"/>
  <c r="AX128" i="2"/>
  <c r="BI128" i="2"/>
  <c r="AB96" i="2"/>
  <c r="AO128" i="2"/>
  <c r="AD135" i="2"/>
  <c r="BJ101" i="2"/>
  <c r="AD96" i="2"/>
  <c r="BI96" i="2"/>
  <c r="AH128" i="2"/>
  <c r="AG101" i="2"/>
  <c r="AG128" i="2"/>
  <c r="BM128" i="2"/>
  <c r="BB96" i="2"/>
  <c r="BB101" i="2"/>
  <c r="BA96" i="2"/>
  <c r="AK101" i="2"/>
  <c r="AK128" i="2"/>
  <c r="BA128" i="2"/>
  <c r="AI106" i="2"/>
  <c r="AQ135" i="2"/>
  <c r="AY96" i="2"/>
  <c r="AA106" i="2"/>
  <c r="AM106" i="2"/>
  <c r="AE135" i="2"/>
  <c r="AU135" i="2"/>
  <c r="AI96" i="2"/>
  <c r="AY135" i="2"/>
  <c r="AM96" i="2"/>
  <c r="AE128" i="2"/>
  <c r="AE101" i="2"/>
  <c r="AM101" i="2"/>
  <c r="AM128" i="2"/>
  <c r="AU128" i="2"/>
  <c r="AU101" i="2"/>
  <c r="BK135" i="2"/>
  <c r="BK106" i="2"/>
  <c r="BK96" i="2"/>
  <c r="BS135" i="2"/>
  <c r="BS106" i="2"/>
  <c r="BS96" i="2"/>
  <c r="CA135" i="2"/>
  <c r="CA106" i="2"/>
  <c r="CA96" i="2"/>
  <c r="CI135" i="2"/>
  <c r="CI106" i="2"/>
  <c r="CI96" i="2"/>
  <c r="CQ135" i="2"/>
  <c r="CQ106" i="2"/>
  <c r="CQ96" i="2"/>
  <c r="CY135" i="2"/>
  <c r="CY106" i="2"/>
  <c r="CY96" i="2"/>
  <c r="DG135" i="2"/>
  <c r="DG106" i="2"/>
  <c r="DG96" i="2"/>
  <c r="DO135" i="2"/>
  <c r="DO106" i="2"/>
  <c r="DO96" i="2"/>
  <c r="BC128" i="2"/>
  <c r="BC101" i="2"/>
  <c r="BK128" i="2"/>
  <c r="BK101" i="2"/>
  <c r="BS128" i="2"/>
  <c r="BS101" i="2"/>
  <c r="CA128" i="2"/>
  <c r="CA101" i="2"/>
  <c r="CI101" i="2"/>
  <c r="CI128" i="2"/>
  <c r="CQ101" i="2"/>
  <c r="CQ128" i="2"/>
  <c r="CY101" i="2"/>
  <c r="CY128" i="2"/>
  <c r="DG101" i="2"/>
  <c r="DG128" i="2"/>
  <c r="DO101" i="2"/>
  <c r="DO128" i="2"/>
  <c r="AU96" i="2"/>
  <c r="AA128" i="2"/>
  <c r="AA101" i="2"/>
  <c r="AI101" i="2"/>
  <c r="AI128" i="2"/>
  <c r="AQ128" i="2"/>
  <c r="AQ101" i="2"/>
  <c r="AY101" i="2"/>
  <c r="AY128" i="2"/>
  <c r="BG106" i="2"/>
  <c r="BG96" i="2"/>
  <c r="BG135" i="2"/>
  <c r="BO135" i="2"/>
  <c r="BO106" i="2"/>
  <c r="BO96" i="2"/>
  <c r="BW135" i="2"/>
  <c r="BW106" i="2"/>
  <c r="BW96" i="2"/>
  <c r="CE135" i="2"/>
  <c r="CE96" i="2"/>
  <c r="CE106" i="2"/>
  <c r="CM135" i="2"/>
  <c r="CM96" i="2"/>
  <c r="CM106" i="2"/>
  <c r="CU135" i="2"/>
  <c r="CU96" i="2"/>
  <c r="CU106" i="2"/>
  <c r="DC135" i="2"/>
  <c r="DC96" i="2"/>
  <c r="DC106" i="2"/>
  <c r="DK135" i="2"/>
  <c r="DK96" i="2"/>
  <c r="DK106" i="2"/>
  <c r="DS135" i="2"/>
  <c r="DS96" i="2"/>
  <c r="DS106" i="2"/>
  <c r="BC106" i="2"/>
  <c r="BC135" i="2"/>
  <c r="BC96" i="2"/>
  <c r="AE96" i="2"/>
  <c r="AA96" i="2"/>
  <c r="AQ96" i="2"/>
  <c r="BG128" i="2"/>
  <c r="BG101" i="2"/>
  <c r="BO128" i="2"/>
  <c r="BO101" i="2"/>
  <c r="BW128" i="2"/>
  <c r="BW101" i="2"/>
  <c r="CE101" i="2"/>
  <c r="CE128" i="2"/>
  <c r="CM101" i="2"/>
  <c r="CM128" i="2"/>
  <c r="CU101" i="2"/>
  <c r="CU128" i="2"/>
  <c r="DC128" i="2"/>
  <c r="DC101" i="2"/>
  <c r="DK101" i="2"/>
  <c r="DK128" i="2"/>
  <c r="DS101" i="2"/>
  <c r="DS128" i="2"/>
  <c r="AC89" i="2"/>
  <c r="AC102" i="2" s="1"/>
  <c r="Z62" i="2"/>
  <c r="AB89" i="2" l="1"/>
  <c r="AB102" i="2" s="1"/>
  <c r="AA89" i="2"/>
  <c r="AA102" i="2" s="1"/>
  <c r="E89" i="2" l="1"/>
  <c r="E102" i="2" l="1"/>
  <c r="E107" i="2" s="1"/>
  <c r="E110" i="2" s="1"/>
  <c r="E111" i="2" l="1"/>
  <c r="E129" i="2" l="1"/>
  <c r="E136" i="2" l="1"/>
  <c r="AA107" i="2" l="1"/>
  <c r="AA108" i="2" s="1"/>
  <c r="AA104" i="2"/>
  <c r="AA120" i="2" s="1"/>
  <c r="AA110" i="2" l="1"/>
  <c r="AA111" i="2" s="1"/>
  <c r="AB107" i="2"/>
  <c r="AB108" i="2" s="1"/>
  <c r="AB104" i="2"/>
  <c r="AB120" i="2" s="1"/>
  <c r="AB110" i="2" l="1"/>
  <c r="AB111" i="2" s="1"/>
  <c r="AC107" i="2" l="1"/>
  <c r="AC104" i="2"/>
  <c r="AC120" i="2" s="1"/>
  <c r="AC108" i="2" l="1"/>
  <c r="AC110" i="2"/>
  <c r="AC111" i="2" s="1"/>
  <c r="AD107" i="2" l="1"/>
  <c r="AA136" i="2"/>
  <c r="AA137" i="2" s="1"/>
  <c r="AA129" i="2"/>
  <c r="AA130" i="2" s="1"/>
  <c r="AD104" i="2"/>
  <c r="AD120" i="2" s="1"/>
  <c r="AD108" i="2" l="1"/>
  <c r="AD110" i="2"/>
  <c r="AD111" i="2" s="1"/>
  <c r="AE104" i="2" l="1"/>
  <c r="AE120" i="2" s="1"/>
  <c r="AE107" i="2"/>
  <c r="AE110" i="2" s="1"/>
  <c r="AB129" i="2"/>
  <c r="AB130" i="2" s="1"/>
  <c r="AB136" i="2"/>
  <c r="AB137" i="2" s="1"/>
  <c r="AE108" i="2" l="1"/>
  <c r="AF104" i="2"/>
  <c r="AF120" i="2" s="1"/>
  <c r="AC136" i="2"/>
  <c r="AC137" i="2" s="1"/>
  <c r="AC129" i="2"/>
  <c r="AC130" i="2" s="1"/>
  <c r="AE111" i="2"/>
  <c r="AF107" i="2" l="1"/>
  <c r="AF110" i="2" s="1"/>
  <c r="AE136" i="2" l="1"/>
  <c r="AE137" i="2" s="1"/>
  <c r="AF108" i="2"/>
  <c r="AD129" i="2"/>
  <c r="AD130" i="2" s="1"/>
  <c r="AD136" i="2"/>
  <c r="AD137" i="2" s="1"/>
  <c r="AG104" i="2"/>
  <c r="AG120" i="2" s="1"/>
  <c r="AF111" i="2"/>
  <c r="AE129" i="2"/>
  <c r="AE130" i="2" s="1"/>
  <c r="AG107" i="2" l="1"/>
  <c r="AG108" i="2" l="1"/>
  <c r="AG110" i="2"/>
  <c r="AF136" i="2" l="1"/>
  <c r="AF137" i="2" s="1"/>
  <c r="AH104" i="2"/>
  <c r="AH120" i="2" s="1"/>
  <c r="AG111" i="2"/>
  <c r="AF129" i="2" l="1"/>
  <c r="AF130" i="2" s="1"/>
  <c r="AH107" i="2"/>
  <c r="AH108" i="2" s="1"/>
  <c r="AH110" i="2" l="1"/>
  <c r="AH111" i="2" s="1"/>
  <c r="AG136" i="2"/>
  <c r="AG137" i="2" s="1"/>
  <c r="AG129" i="2"/>
  <c r="AG130" i="2" s="1"/>
  <c r="AI107" i="2" l="1"/>
  <c r="AI110" i="2" l="1"/>
  <c r="AI111" i="2" s="1"/>
  <c r="AI108" i="2"/>
  <c r="AJ107" i="2" l="1"/>
  <c r="AJ108" i="2" s="1"/>
  <c r="AJ104" i="2"/>
  <c r="AJ120" i="2" s="1"/>
  <c r="AH136" i="2"/>
  <c r="AH137" i="2" s="1"/>
  <c r="AH129" i="2"/>
  <c r="AH130" i="2" s="1"/>
  <c r="AJ110" i="2" l="1"/>
  <c r="AJ111" i="2" s="1"/>
  <c r="AK104" i="2" l="1"/>
  <c r="AK120" i="2" s="1"/>
  <c r="AK107" i="2"/>
  <c r="AI136" i="2"/>
  <c r="AI137" i="2" s="1"/>
  <c r="AI129" i="2"/>
  <c r="AI130" i="2" s="1"/>
  <c r="AK110" i="2" l="1"/>
  <c r="AK111" i="2" s="1"/>
  <c r="AK108" i="2"/>
  <c r="AJ136" i="2" l="1"/>
  <c r="AJ137" i="2" s="1"/>
  <c r="AJ129" i="2"/>
  <c r="AJ130" i="2" s="1"/>
  <c r="AL107" i="2" l="1"/>
  <c r="AL104" i="2"/>
  <c r="AL120" i="2" s="1"/>
  <c r="AL110" i="2" l="1"/>
  <c r="AL111" i="2" s="1"/>
  <c r="AL108" i="2"/>
  <c r="AK136" i="2"/>
  <c r="AK137" i="2" s="1"/>
  <c r="AK129" i="2"/>
  <c r="AK130" i="2" s="1"/>
  <c r="AM104" i="2" l="1"/>
  <c r="AM120" i="2" s="1"/>
  <c r="AM107" i="2"/>
  <c r="AL136" i="2" l="1"/>
  <c r="AL137" i="2" s="1"/>
  <c r="AM110" i="2"/>
  <c r="AM111" i="2" s="1"/>
  <c r="AM108" i="2"/>
  <c r="AL129" i="2" l="1"/>
  <c r="AL130" i="2" s="1"/>
  <c r="AN107" i="2"/>
  <c r="AN104" i="2"/>
  <c r="AN120" i="2" s="1"/>
  <c r="AO104" i="2" l="1"/>
  <c r="AO120" i="2" s="1"/>
  <c r="AO107" i="2"/>
  <c r="AN108" i="2"/>
  <c r="AN110" i="2"/>
  <c r="AN111" i="2" s="1"/>
  <c r="AO110" i="2" l="1"/>
  <c r="AO111" i="2" s="1"/>
  <c r="AO108" i="2"/>
  <c r="AM136" i="2"/>
  <c r="AM137" i="2" s="1"/>
  <c r="AM129" i="2"/>
  <c r="AM130" i="2" s="1"/>
  <c r="AP104" i="2" l="1"/>
  <c r="AP120" i="2" s="1"/>
  <c r="AP107" i="2"/>
  <c r="AP108" i="2" l="1"/>
  <c r="AP110" i="2"/>
  <c r="AP111" i="2" s="1"/>
  <c r="AN136" i="2"/>
  <c r="AN137" i="2" s="1"/>
  <c r="AN129" i="2"/>
  <c r="AN130" i="2" s="1"/>
  <c r="AQ107" i="2" l="1"/>
  <c r="AQ104" i="2"/>
  <c r="AQ120" i="2" s="1"/>
  <c r="AO136" i="2"/>
  <c r="AO137" i="2" s="1"/>
  <c r="AO129" i="2"/>
  <c r="AO130" i="2" s="1"/>
  <c r="AQ108" i="2" l="1"/>
  <c r="AQ110" i="2"/>
  <c r="AQ111" i="2" s="1"/>
  <c r="AR104" i="2"/>
  <c r="AR120" i="2" s="1"/>
  <c r="AR107" i="2" l="1"/>
  <c r="AP136" i="2"/>
  <c r="AP137" i="2" s="1"/>
  <c r="AP129" i="2"/>
  <c r="AP130" i="2" s="1"/>
  <c r="AR110" i="2" l="1"/>
  <c r="AR111" i="2" s="1"/>
  <c r="AR108" i="2"/>
  <c r="AQ136" i="2" l="1"/>
  <c r="AQ137" i="2" s="1"/>
  <c r="AQ129" i="2"/>
  <c r="AQ130" i="2" s="1"/>
  <c r="AS104" i="2" l="1"/>
  <c r="AS120" i="2" s="1"/>
  <c r="AS107" i="2"/>
  <c r="AS108" i="2" l="1"/>
  <c r="AS110" i="2"/>
  <c r="AS111" i="2" s="1"/>
  <c r="AR136" i="2"/>
  <c r="AR137" i="2" s="1"/>
  <c r="AR129" i="2"/>
  <c r="AR130" i="2" s="1"/>
  <c r="AT104" i="2" l="1"/>
  <c r="AT120" i="2" s="1"/>
  <c r="AT107" i="2"/>
  <c r="AU104" i="2" l="1"/>
  <c r="AU120" i="2" s="1"/>
  <c r="AU107" i="2"/>
  <c r="AT108" i="2"/>
  <c r="AT110" i="2"/>
  <c r="AT111" i="2" s="1"/>
  <c r="AS136" i="2"/>
  <c r="AS137" i="2" s="1"/>
  <c r="AS129" i="2"/>
  <c r="AS130" i="2" s="1"/>
  <c r="AV107" i="2" l="1"/>
  <c r="AU110" i="2"/>
  <c r="AU111" i="2" s="1"/>
  <c r="AU108" i="2"/>
  <c r="AV104" i="2"/>
  <c r="AV120" i="2" s="1"/>
  <c r="AT129" i="2" l="1"/>
  <c r="AT130" i="2" s="1"/>
  <c r="AV108" i="2"/>
  <c r="AV110" i="2"/>
  <c r="AV111" i="2" s="1"/>
  <c r="AT136" i="2" l="1"/>
  <c r="AT137" i="2" s="1"/>
  <c r="AW107" i="2"/>
  <c r="AW104" i="2"/>
  <c r="AW120" i="2" s="1"/>
  <c r="AU136" i="2"/>
  <c r="AU137" i="2" s="1"/>
  <c r="AU129" i="2"/>
  <c r="AU130" i="2" s="1"/>
  <c r="AW108" i="2" l="1"/>
  <c r="AW110" i="2"/>
  <c r="AW111" i="2" s="1"/>
  <c r="AX104" i="2" l="1"/>
  <c r="AX120" i="2" s="1"/>
  <c r="AX107" i="2"/>
  <c r="AV136" i="2"/>
  <c r="AV137" i="2" s="1"/>
  <c r="AX108" i="2" l="1"/>
  <c r="AX110" i="2"/>
  <c r="AX111" i="2" s="1"/>
  <c r="AV129" i="2"/>
  <c r="AV130" i="2" s="1"/>
  <c r="AW136" i="2"/>
  <c r="AW137" i="2" s="1"/>
  <c r="AW129" i="2"/>
  <c r="AW130" i="2" s="1"/>
  <c r="AY107" i="2" l="1"/>
  <c r="AY104" i="2"/>
  <c r="AY120" i="2" s="1"/>
  <c r="AY108" i="2" l="1"/>
  <c r="AY110" i="2"/>
  <c r="AY111" i="2" s="1"/>
  <c r="AX136" i="2"/>
  <c r="AX137" i="2" s="1"/>
  <c r="AX129" i="2"/>
  <c r="AX130" i="2" s="1"/>
  <c r="AZ107" i="2" l="1"/>
  <c r="AZ104" i="2"/>
  <c r="AZ120" i="2" s="1"/>
  <c r="AZ108" i="2" l="1"/>
  <c r="AZ110" i="2"/>
  <c r="AZ111" i="2" s="1"/>
  <c r="BA104" i="2" l="1"/>
  <c r="BA120" i="2" s="1"/>
  <c r="BA107" i="2"/>
  <c r="AY136" i="2"/>
  <c r="AY137" i="2" s="1"/>
  <c r="AY129" i="2"/>
  <c r="AY130" i="2" s="1"/>
  <c r="BB107" i="2" l="1"/>
  <c r="BB104" i="2"/>
  <c r="BB120" i="2" s="1"/>
  <c r="BA110" i="2"/>
  <c r="BA111" i="2" s="1"/>
  <c r="BA108" i="2"/>
  <c r="BB108" i="2" l="1"/>
  <c r="BB110" i="2"/>
  <c r="BB111" i="2" s="1"/>
  <c r="AZ136" i="2"/>
  <c r="AZ137" i="2" s="1"/>
  <c r="AZ129" i="2"/>
  <c r="AZ130" i="2" s="1"/>
  <c r="BC107" i="2" l="1"/>
  <c r="BC104" i="2"/>
  <c r="BC120" i="2" s="1"/>
  <c r="BC110" i="2" l="1"/>
  <c r="BC111" i="2" s="1"/>
  <c r="BC108" i="2"/>
  <c r="BD104" i="2"/>
  <c r="BD120" i="2" s="1"/>
  <c r="BD107" i="2"/>
  <c r="BA136" i="2"/>
  <c r="BA137" i="2" s="1"/>
  <c r="BA129" i="2"/>
  <c r="BA130" i="2" s="1"/>
  <c r="BD108" i="2" l="1"/>
  <c r="BD110" i="2"/>
  <c r="BD111" i="2" s="1"/>
  <c r="BE107" i="2" l="1"/>
  <c r="BE104" i="2"/>
  <c r="BE120" i="2" s="1"/>
  <c r="BB136" i="2"/>
  <c r="BB137" i="2" s="1"/>
  <c r="BB129" i="2"/>
  <c r="BB130" i="2" s="1"/>
  <c r="BF107" i="2" l="1"/>
  <c r="BF104" i="2"/>
  <c r="BF120" i="2" s="1"/>
  <c r="BE108" i="2"/>
  <c r="BE110" i="2"/>
  <c r="BE111" i="2" s="1"/>
  <c r="BF110" i="2" l="1"/>
  <c r="BF111" i="2" s="1"/>
  <c r="BF108" i="2"/>
  <c r="BC136" i="2"/>
  <c r="BC137" i="2" s="1"/>
  <c r="BC129" i="2"/>
  <c r="BC130" i="2" s="1"/>
  <c r="BG107" i="2" l="1"/>
  <c r="BG104" i="2"/>
  <c r="BG120" i="2" s="1"/>
  <c r="BG108" i="2" l="1"/>
  <c r="BG110" i="2"/>
  <c r="BG111" i="2" s="1"/>
  <c r="BD136" i="2"/>
  <c r="BD137" i="2" s="1"/>
  <c r="BD129" i="2"/>
  <c r="BD130" i="2" s="1"/>
  <c r="BH107" i="2" l="1"/>
  <c r="BH104" i="2"/>
  <c r="BH120" i="2" s="1"/>
  <c r="BI107" i="2" l="1"/>
  <c r="BI104" i="2"/>
  <c r="BI120" i="2" s="1"/>
  <c r="BH110" i="2"/>
  <c r="BH111" i="2" s="1"/>
  <c r="BH108" i="2"/>
  <c r="BE136" i="2"/>
  <c r="BE137" i="2" s="1"/>
  <c r="BE129" i="2"/>
  <c r="BE130" i="2" s="1"/>
  <c r="BI110" i="2" l="1"/>
  <c r="BI111" i="2" s="1"/>
  <c r="BI108" i="2"/>
  <c r="BF136" i="2" l="1"/>
  <c r="BF137" i="2" s="1"/>
  <c r="BF129" i="2"/>
  <c r="BF130" i="2" s="1"/>
  <c r="BJ107" i="2" l="1"/>
  <c r="BJ104" i="2"/>
  <c r="BJ120" i="2" s="1"/>
  <c r="BJ110" i="2" l="1"/>
  <c r="BJ111" i="2" s="1"/>
  <c r="BJ108" i="2"/>
  <c r="BG136" i="2"/>
  <c r="BG137" i="2" s="1"/>
  <c r="BG129" i="2" l="1"/>
  <c r="BG130" i="2" s="1"/>
  <c r="BK107" i="2" l="1"/>
  <c r="BK104" i="2"/>
  <c r="BK120" i="2" s="1"/>
  <c r="BH136" i="2"/>
  <c r="BH137" i="2" s="1"/>
  <c r="BH129" i="2"/>
  <c r="BH130" i="2" s="1"/>
  <c r="BK110" i="2" l="1"/>
  <c r="BK111" i="2" s="1"/>
  <c r="BK108" i="2"/>
  <c r="BL104" i="2" l="1"/>
  <c r="BL120" i="2" s="1"/>
  <c r="BL107" i="2"/>
  <c r="BI136" i="2"/>
  <c r="BI137" i="2" s="1"/>
  <c r="BI129" i="2"/>
  <c r="BI130" i="2" s="1"/>
  <c r="BM104" i="2" l="1"/>
  <c r="BM120" i="2" s="1"/>
  <c r="BM107" i="2"/>
  <c r="BL110" i="2"/>
  <c r="BL111" i="2" s="1"/>
  <c r="BL108" i="2"/>
  <c r="BJ136" i="2"/>
  <c r="BJ137" i="2" s="1"/>
  <c r="BJ129" i="2"/>
  <c r="BJ130" i="2" s="1"/>
  <c r="BN107" i="2" l="1"/>
  <c r="BM110" i="2"/>
  <c r="BM111" i="2" s="1"/>
  <c r="BM108" i="2"/>
  <c r="BN104" i="2"/>
  <c r="BN120" i="2" s="1"/>
  <c r="BO107" i="2" l="1"/>
  <c r="BO104" i="2"/>
  <c r="BO120" i="2" s="1"/>
  <c r="BN110" i="2"/>
  <c r="BN111" i="2" s="1"/>
  <c r="BN108" i="2"/>
  <c r="BK136" i="2"/>
  <c r="BK137" i="2" s="1"/>
  <c r="BK129" i="2"/>
  <c r="BK130" i="2" s="1"/>
  <c r="BP107" i="2" l="1"/>
  <c r="BP104" i="2"/>
  <c r="BP120" i="2" s="1"/>
  <c r="BO108" i="2"/>
  <c r="BO110" i="2"/>
  <c r="BO111" i="2" s="1"/>
  <c r="BP108" i="2" l="1"/>
  <c r="BP110" i="2"/>
  <c r="BP111" i="2" s="1"/>
  <c r="BL136" i="2"/>
  <c r="BL137" i="2" s="1"/>
  <c r="BL129" i="2"/>
  <c r="BL130" i="2" s="1"/>
  <c r="BQ107" i="2" l="1"/>
  <c r="BQ104" i="2"/>
  <c r="BQ120" i="2" s="1"/>
  <c r="BQ108" i="2" l="1"/>
  <c r="BQ110" i="2"/>
  <c r="BQ111" i="2" s="1"/>
  <c r="BR104" i="2"/>
  <c r="BR120" i="2" s="1"/>
  <c r="BM136" i="2"/>
  <c r="BM137" i="2" s="1"/>
  <c r="BR107" i="2" l="1"/>
  <c r="BM129" i="2"/>
  <c r="BM130" i="2" s="1"/>
  <c r="BR110" i="2" l="1"/>
  <c r="BR111" i="2" s="1"/>
  <c r="BR108" i="2"/>
  <c r="BN129" i="2" l="1"/>
  <c r="BN130" i="2" s="1"/>
  <c r="BN136" i="2"/>
  <c r="BN137" i="2" s="1"/>
  <c r="BS107" i="2" l="1"/>
  <c r="BS104" i="2"/>
  <c r="BS120" i="2" s="1"/>
  <c r="BS110" i="2" l="1"/>
  <c r="BS111" i="2" s="1"/>
  <c r="BS108" i="2"/>
  <c r="BO136" i="2"/>
  <c r="BO137" i="2" s="1"/>
  <c r="BO129" i="2"/>
  <c r="BO130" i="2" s="1"/>
  <c r="BT107" i="2" l="1"/>
  <c r="BT104" i="2"/>
  <c r="BT120" i="2" s="1"/>
  <c r="BT108" i="2" l="1"/>
  <c r="BT110" i="2"/>
  <c r="BT111" i="2" s="1"/>
  <c r="BP136" i="2"/>
  <c r="BP137" i="2" s="1"/>
  <c r="BP129" i="2"/>
  <c r="BP130" i="2" s="1"/>
  <c r="BU107" i="2" l="1"/>
  <c r="BU104" i="2"/>
  <c r="BU120" i="2" s="1"/>
  <c r="BQ136" i="2"/>
  <c r="BQ137" i="2" s="1"/>
  <c r="BQ129" i="2"/>
  <c r="BQ130" i="2" s="1"/>
  <c r="BU110" i="2" l="1"/>
  <c r="BU111" i="2" s="1"/>
  <c r="BU108" i="2"/>
  <c r="BV104" i="2" l="1"/>
  <c r="BV120" i="2" s="1"/>
  <c r="BV107" i="2"/>
  <c r="BR129" i="2"/>
  <c r="BR130" i="2" s="1"/>
  <c r="BV110" i="2" l="1"/>
  <c r="BV111" i="2" s="1"/>
  <c r="BV108" i="2"/>
  <c r="BR136" i="2"/>
  <c r="BR137" i="2" s="1"/>
  <c r="BW104" i="2" l="1"/>
  <c r="BW120" i="2" s="1"/>
  <c r="BW107" i="2"/>
  <c r="BS129" i="2"/>
  <c r="BS130" i="2" s="1"/>
  <c r="BW108" i="2" l="1"/>
  <c r="BW110" i="2"/>
  <c r="BW111" i="2" s="1"/>
  <c r="BS136" i="2"/>
  <c r="BS137" i="2" s="1"/>
  <c r="BX107" i="2" l="1"/>
  <c r="BX104" i="2"/>
  <c r="BX120" i="2" s="1"/>
  <c r="BX108" i="2" l="1"/>
  <c r="BX110" i="2"/>
  <c r="BX111" i="2" s="1"/>
  <c r="BT136" i="2"/>
  <c r="BT137" i="2" s="1"/>
  <c r="BT129" i="2"/>
  <c r="BT130" i="2" s="1"/>
  <c r="BY107" i="2" l="1"/>
  <c r="BY104" i="2"/>
  <c r="BY120" i="2" s="1"/>
  <c r="BY110" i="2" l="1"/>
  <c r="BY111" i="2" s="1"/>
  <c r="BY108" i="2"/>
  <c r="BU136" i="2" l="1"/>
  <c r="BU137" i="2" s="1"/>
  <c r="BU129" i="2"/>
  <c r="BU130" i="2" s="1"/>
  <c r="BZ107" i="2" l="1"/>
  <c r="BZ104" i="2"/>
  <c r="BZ120" i="2" s="1"/>
  <c r="BZ110" i="2" l="1"/>
  <c r="BZ111" i="2" s="1"/>
  <c r="BZ108" i="2"/>
  <c r="BV129" i="2"/>
  <c r="BV130" i="2" s="1"/>
  <c r="CA104" i="2" l="1"/>
  <c r="CA120" i="2" s="1"/>
  <c r="CA107" i="2"/>
  <c r="BV136" i="2"/>
  <c r="BV137" i="2" s="1"/>
  <c r="BW136" i="2"/>
  <c r="BW137" i="2" s="1"/>
  <c r="CA108" i="2" l="1"/>
  <c r="CA110" i="2"/>
  <c r="CA111" i="2" s="1"/>
  <c r="BW129" i="2"/>
  <c r="BW130" i="2" s="1"/>
  <c r="BX129" i="2" l="1"/>
  <c r="BX130" i="2" s="1"/>
  <c r="CB107" i="2" l="1"/>
  <c r="CB104" i="2"/>
  <c r="CB120" i="2" s="1"/>
  <c r="CB108" i="2" l="1"/>
  <c r="CB110" i="2"/>
  <c r="CB111" i="2" s="1"/>
  <c r="BX136" i="2"/>
  <c r="BX137" i="2" s="1"/>
  <c r="BY136" i="2"/>
  <c r="BY137" i="2" s="1"/>
  <c r="BY129" i="2"/>
  <c r="BY130" i="2" s="1"/>
  <c r="CC107" i="2" l="1"/>
  <c r="CC104" i="2"/>
  <c r="CC120" i="2" s="1"/>
  <c r="CD107" i="2" l="1"/>
  <c r="CC108" i="2"/>
  <c r="CC110" i="2"/>
  <c r="CC111" i="2" s="1"/>
  <c r="CD104" i="2"/>
  <c r="CD120" i="2" s="1"/>
  <c r="BZ136" i="2"/>
  <c r="BZ137" i="2" s="1"/>
  <c r="BZ129" i="2"/>
  <c r="BZ130" i="2" s="1"/>
  <c r="CD110" i="2" l="1"/>
  <c r="CD111" i="2" s="1"/>
  <c r="CD108" i="2"/>
  <c r="CA136" i="2"/>
  <c r="CA137" i="2" s="1"/>
  <c r="CA129" i="2"/>
  <c r="CA130" i="2" s="1"/>
  <c r="CB136" i="2" l="1"/>
  <c r="CB137" i="2" s="1"/>
  <c r="CE107" i="2" l="1"/>
  <c r="CE104" i="2"/>
  <c r="CE120" i="2" s="1"/>
  <c r="CB129" i="2"/>
  <c r="CB130" i="2" s="1"/>
  <c r="CC136" i="2"/>
  <c r="CC137" i="2" s="1"/>
  <c r="CC129" i="2"/>
  <c r="CC130" i="2" s="1"/>
  <c r="CE110" i="2" l="1"/>
  <c r="CE111" i="2" s="1"/>
  <c r="CE108" i="2"/>
  <c r="CF107" i="2" l="1"/>
  <c r="CF104" i="2"/>
  <c r="CF120" i="2" s="1"/>
  <c r="CD136" i="2"/>
  <c r="CD137" i="2" s="1"/>
  <c r="CD129" i="2"/>
  <c r="CD130" i="2" s="1"/>
  <c r="CE129" i="2" l="1"/>
  <c r="CE130" i="2" s="1"/>
  <c r="CF108" i="2"/>
  <c r="CF110" i="2"/>
  <c r="CF111" i="2" s="1"/>
  <c r="CE136" i="2" l="1"/>
  <c r="CE137" i="2" s="1"/>
  <c r="CG107" i="2" l="1"/>
  <c r="CG104" i="2"/>
  <c r="CG120" i="2" s="1"/>
  <c r="CF136" i="2"/>
  <c r="CF137" i="2" s="1"/>
  <c r="CF129" i="2"/>
  <c r="CF130" i="2" s="1"/>
  <c r="CG108" i="2" l="1"/>
  <c r="CG110" i="2"/>
  <c r="CG111" i="2" s="1"/>
  <c r="CH107" i="2" l="1"/>
  <c r="CG136" i="2"/>
  <c r="CG137" i="2" s="1"/>
  <c r="CH104" i="2"/>
  <c r="CH120" i="2" s="1"/>
  <c r="CG129" i="2" l="1"/>
  <c r="CG130" i="2" s="1"/>
  <c r="CH110" i="2"/>
  <c r="CH111" i="2" s="1"/>
  <c r="CH108" i="2"/>
  <c r="CI107" i="2" l="1"/>
  <c r="CH129" i="2"/>
  <c r="CH130" i="2" s="1"/>
  <c r="CI104" i="2"/>
  <c r="CI120" i="2" s="1"/>
  <c r="CH136" i="2" l="1"/>
  <c r="CH137" i="2" s="1"/>
  <c r="CI110" i="2"/>
  <c r="CI111" i="2" s="1"/>
  <c r="CI108" i="2"/>
  <c r="CJ104" i="2" l="1"/>
  <c r="CJ120" i="2" s="1"/>
  <c r="CI136" i="2" l="1"/>
  <c r="CI137" i="2" s="1"/>
  <c r="CI129" i="2"/>
  <c r="CI130" i="2" s="1"/>
  <c r="CJ107" i="2"/>
  <c r="CJ110" i="2" l="1"/>
  <c r="CJ111" i="2" s="1"/>
  <c r="CJ108" i="2"/>
  <c r="CK107" i="2" l="1"/>
  <c r="CK104" i="2"/>
  <c r="CK120" i="2" s="1"/>
  <c r="CK110" i="2" l="1"/>
  <c r="CK111" i="2" s="1"/>
  <c r="CK108" i="2"/>
  <c r="CJ136" i="2"/>
  <c r="CJ137" i="2" s="1"/>
  <c r="CJ129" i="2"/>
  <c r="CJ130" i="2" s="1"/>
  <c r="CL107" i="2" l="1"/>
  <c r="CL104" i="2"/>
  <c r="CL120" i="2" s="1"/>
  <c r="CL110" i="2" l="1"/>
  <c r="CL111" i="2" s="1"/>
  <c r="CL108" i="2"/>
  <c r="CK136" i="2" l="1"/>
  <c r="CK137" i="2" s="1"/>
  <c r="CK129" i="2"/>
  <c r="CK130" i="2" s="1"/>
  <c r="CM104" i="2" l="1"/>
  <c r="CM120" i="2" s="1"/>
  <c r="CM107" i="2"/>
  <c r="CM110" i="2" s="1"/>
  <c r="CM111" i="2" s="1"/>
  <c r="CM108" i="2" l="1"/>
  <c r="CN107" i="2"/>
  <c r="CL129" i="2"/>
  <c r="CL130" i="2" s="1"/>
  <c r="CL136" i="2"/>
  <c r="CL137" i="2" s="1"/>
  <c r="CN104" i="2"/>
  <c r="CN120" i="2" s="1"/>
  <c r="CN108" i="2" l="1"/>
  <c r="CN110" i="2"/>
  <c r="CN111" i="2" s="1"/>
  <c r="CM136" i="2" l="1"/>
  <c r="CM137" i="2" s="1"/>
  <c r="CM129" i="2"/>
  <c r="CM130" i="2" s="1"/>
  <c r="CO107" i="2"/>
  <c r="CO104" i="2"/>
  <c r="CO120" i="2" s="1"/>
  <c r="CN136" i="2" l="1"/>
  <c r="CN137" i="2" s="1"/>
  <c r="CP107" i="2"/>
  <c r="CP104" i="2"/>
  <c r="CP120" i="2" s="1"/>
  <c r="CO108" i="2"/>
  <c r="CO110" i="2"/>
  <c r="CO111" i="2" s="1"/>
  <c r="CN129" i="2" l="1"/>
  <c r="CN130" i="2" s="1"/>
  <c r="CP110" i="2"/>
  <c r="CP111" i="2" s="1"/>
  <c r="CP108" i="2"/>
  <c r="CO136" i="2" l="1"/>
  <c r="CO137" i="2" s="1"/>
  <c r="CO129" i="2"/>
  <c r="CO130" i="2" s="1"/>
  <c r="CQ107" i="2"/>
  <c r="CQ104" i="2"/>
  <c r="CQ120" i="2" s="1"/>
  <c r="CQ110" i="2" l="1"/>
  <c r="CQ111" i="2" s="1"/>
  <c r="CQ108" i="2"/>
  <c r="CP136" i="2" l="1"/>
  <c r="CP137" i="2" s="1"/>
  <c r="CP129" i="2"/>
  <c r="CP130" i="2" s="1"/>
  <c r="CR107" i="2" l="1"/>
  <c r="CR104" i="2"/>
  <c r="CR120" i="2" s="1"/>
  <c r="CQ136" i="2" l="1"/>
  <c r="CQ137" i="2" s="1"/>
  <c r="CQ129" i="2"/>
  <c r="CQ130" i="2" s="1"/>
  <c r="CR110" i="2"/>
  <c r="CR111" i="2" s="1"/>
  <c r="CR108" i="2"/>
  <c r="CS107" i="2" l="1"/>
  <c r="CS104" i="2"/>
  <c r="CS120" i="2" s="1"/>
  <c r="CS108" i="2" l="1"/>
  <c r="CS110" i="2"/>
  <c r="CS111" i="2" s="1"/>
  <c r="CR129" i="2"/>
  <c r="CR130" i="2" s="1"/>
  <c r="CR136" i="2"/>
  <c r="CR137" i="2" s="1"/>
  <c r="CT107" i="2" l="1"/>
  <c r="CT104" i="2"/>
  <c r="CT120" i="2" s="1"/>
  <c r="CS136" i="2"/>
  <c r="CS137" i="2" s="1"/>
  <c r="CS129" i="2"/>
  <c r="CS130" i="2" s="1"/>
  <c r="CT110" i="2" l="1"/>
  <c r="CT111" i="2" s="1"/>
  <c r="CT108" i="2"/>
  <c r="CU107" i="2" l="1"/>
  <c r="CT129" i="2"/>
  <c r="CT130" i="2" s="1"/>
  <c r="CT136" i="2"/>
  <c r="CT137" i="2" s="1"/>
  <c r="CU104" i="2"/>
  <c r="CU120" i="2" s="1"/>
  <c r="CU108" i="2" l="1"/>
  <c r="CU110" i="2"/>
  <c r="CU111" i="2" s="1"/>
  <c r="CV107" i="2" l="1"/>
  <c r="CV104" i="2"/>
  <c r="CV120" i="2" s="1"/>
  <c r="CU136" i="2" l="1"/>
  <c r="CU137" i="2" s="1"/>
  <c r="CU129" i="2"/>
  <c r="CU130" i="2" s="1"/>
  <c r="CV108" i="2"/>
  <c r="CV110" i="2"/>
  <c r="CV111" i="2" s="1"/>
  <c r="CW107" i="2" l="1"/>
  <c r="CW104" i="2"/>
  <c r="CW120" i="2" s="1"/>
  <c r="CW110" i="2" l="1"/>
  <c r="CW111" i="2" s="1"/>
  <c r="CW108" i="2"/>
  <c r="CV136" i="2"/>
  <c r="CV137" i="2" s="1"/>
  <c r="CV129" i="2"/>
  <c r="CV130" i="2" s="1"/>
  <c r="CW129" i="2" l="1"/>
  <c r="CW130" i="2" s="1"/>
  <c r="CX107" i="2"/>
  <c r="CX104" i="2"/>
  <c r="CX120" i="2" s="1"/>
  <c r="CW136" i="2" l="1"/>
  <c r="CW137" i="2" s="1"/>
  <c r="CX108" i="2"/>
  <c r="CX110" i="2"/>
  <c r="CX111" i="2" s="1"/>
  <c r="CY107" i="2" l="1"/>
  <c r="CY104" i="2"/>
  <c r="CY120" i="2" s="1"/>
  <c r="CX136" i="2"/>
  <c r="CX137" i="2" s="1"/>
  <c r="CX129" i="2"/>
  <c r="CX130" i="2" s="1"/>
  <c r="CZ104" i="2" l="1"/>
  <c r="CZ120" i="2" s="1"/>
  <c r="CZ107" i="2"/>
  <c r="CY108" i="2"/>
  <c r="CY110" i="2"/>
  <c r="CY111" i="2" s="1"/>
  <c r="CZ110" i="2" l="1"/>
  <c r="CZ111" i="2" s="1"/>
  <c r="CZ108" i="2"/>
  <c r="DA107" i="2" l="1"/>
  <c r="DA104" i="2"/>
  <c r="DA120" i="2" s="1"/>
  <c r="CY136" i="2"/>
  <c r="CY137" i="2" s="1"/>
  <c r="CY129" i="2"/>
  <c r="CY130" i="2" s="1"/>
  <c r="DA108" i="2" l="1"/>
  <c r="DA110" i="2"/>
  <c r="DA111" i="2" s="1"/>
  <c r="CZ136" i="2" l="1"/>
  <c r="CZ137" i="2" s="1"/>
  <c r="CZ129" i="2"/>
  <c r="CZ130" i="2" s="1"/>
  <c r="DB107" i="2" l="1"/>
  <c r="DB104" i="2"/>
  <c r="DB120" i="2" s="1"/>
  <c r="DA136" i="2" l="1"/>
  <c r="DA137" i="2" s="1"/>
  <c r="DA129" i="2"/>
  <c r="DA130" i="2" s="1"/>
  <c r="DB108" i="2"/>
  <c r="DB110" i="2"/>
  <c r="DB111" i="2" s="1"/>
  <c r="DC107" i="2" l="1"/>
  <c r="DC104" i="2"/>
  <c r="DC120" i="2" s="1"/>
  <c r="DB136" i="2" l="1"/>
  <c r="DB137" i="2" s="1"/>
  <c r="DB129" i="2"/>
  <c r="DB130" i="2" s="1"/>
  <c r="DC108" i="2"/>
  <c r="DC110" i="2"/>
  <c r="DC111" i="2" s="1"/>
  <c r="DD104" i="2" l="1"/>
  <c r="DD120" i="2" s="1"/>
  <c r="DD107" i="2"/>
  <c r="DC136" i="2" l="1"/>
  <c r="DC137" i="2" s="1"/>
  <c r="DC129" i="2"/>
  <c r="DC130" i="2" s="1"/>
  <c r="DD110" i="2"/>
  <c r="DD111" i="2" s="1"/>
  <c r="DD108" i="2"/>
  <c r="DE107" i="2" l="1"/>
  <c r="DE104" i="2"/>
  <c r="DE120" i="2" s="1"/>
  <c r="DD136" i="2" l="1"/>
  <c r="DD137" i="2" s="1"/>
  <c r="DE108" i="2"/>
  <c r="DE110" i="2"/>
  <c r="DE111" i="2" s="1"/>
  <c r="DD129" i="2" l="1"/>
  <c r="DD130" i="2" s="1"/>
  <c r="DF107" i="2"/>
  <c r="DF104" i="2"/>
  <c r="DF120" i="2" s="1"/>
  <c r="DE129" i="2" l="1"/>
  <c r="DE130" i="2" s="1"/>
  <c r="DF110" i="2"/>
  <c r="DF111" i="2" s="1"/>
  <c r="DF108" i="2"/>
  <c r="DE136" i="2" l="1"/>
  <c r="DE137" i="2" s="1"/>
  <c r="DF136" i="2" l="1"/>
  <c r="DF137" i="2" s="1"/>
  <c r="DF129" i="2"/>
  <c r="DF130" i="2" s="1"/>
  <c r="DG107" i="2"/>
  <c r="DG104" i="2"/>
  <c r="DG120" i="2" s="1"/>
  <c r="DG110" i="2" l="1"/>
  <c r="DG108" i="2"/>
  <c r="DH107" i="2"/>
  <c r="DH104" i="2"/>
  <c r="DH120" i="2" s="1"/>
  <c r="DG111" i="2" l="1"/>
  <c r="DH108" i="2"/>
  <c r="DH110" i="2"/>
  <c r="DH111" i="2" s="1"/>
  <c r="DI107" i="2" l="1"/>
  <c r="DI104" i="2"/>
  <c r="DI120" i="2" s="1"/>
  <c r="DG136" i="2" l="1"/>
  <c r="DG137" i="2" s="1"/>
  <c r="DG129" i="2"/>
  <c r="DG130" i="2" s="1"/>
  <c r="DI110" i="2"/>
  <c r="DI108" i="2"/>
  <c r="DJ107" i="2" l="1"/>
  <c r="DH136" i="2"/>
  <c r="DH137" i="2" s="1"/>
  <c r="DH129" i="2"/>
  <c r="DH130" i="2" s="1"/>
  <c r="DI111" i="2"/>
  <c r="DJ104" i="2"/>
  <c r="DJ120" i="2" s="1"/>
  <c r="DJ110" i="2" l="1"/>
  <c r="DJ108" i="2"/>
  <c r="DK107" i="2" l="1"/>
  <c r="DJ111" i="2"/>
  <c r="DK104" i="2"/>
  <c r="DK120" i="2" s="1"/>
  <c r="DL107" i="2" l="1"/>
  <c r="DK110" i="2"/>
  <c r="DK108" i="2"/>
  <c r="DI136" i="2"/>
  <c r="DI137" i="2" s="1"/>
  <c r="DI129" i="2"/>
  <c r="DI130" i="2" s="1"/>
  <c r="DL104" i="2"/>
  <c r="DL120" i="2" s="1"/>
  <c r="DK111" i="2" l="1"/>
  <c r="DJ136" i="2"/>
  <c r="DJ137" i="2" s="1"/>
  <c r="DJ129" i="2"/>
  <c r="DJ130" i="2" s="1"/>
  <c r="DL108" i="2"/>
  <c r="DL110" i="2"/>
  <c r="DL111" i="2" s="1"/>
  <c r="DM107" i="2" l="1"/>
  <c r="DM104" i="2"/>
  <c r="DM120" i="2" s="1"/>
  <c r="DK136" i="2" l="1"/>
  <c r="DK137" i="2" s="1"/>
  <c r="DK129" i="2"/>
  <c r="DK130" i="2" s="1"/>
  <c r="DL136" i="2"/>
  <c r="DL137" i="2" s="1"/>
  <c r="DM110" i="2"/>
  <c r="DM111" i="2" s="1"/>
  <c r="DM108" i="2"/>
  <c r="DL129" i="2" l="1"/>
  <c r="DL130" i="2" s="1"/>
  <c r="DN107" i="2" l="1"/>
  <c r="DN104" i="2"/>
  <c r="DN120" i="2" s="1"/>
  <c r="DM136" i="2" l="1"/>
  <c r="DM137" i="2" s="1"/>
  <c r="DM129" i="2"/>
  <c r="DM130" i="2" s="1"/>
  <c r="DN108" i="2"/>
  <c r="DN110" i="2"/>
  <c r="DN111" i="2" s="1"/>
  <c r="DN129" i="2" l="1"/>
  <c r="DN130" i="2" s="1"/>
  <c r="DO107" i="2"/>
  <c r="DO104" i="2"/>
  <c r="DO120" i="2" s="1"/>
  <c r="DO108" i="2" l="1"/>
  <c r="DO110" i="2"/>
  <c r="DO111" i="2" s="1"/>
  <c r="DN136" i="2"/>
  <c r="DN137" i="2" s="1"/>
  <c r="DP107" i="2" l="1"/>
  <c r="DP104" i="2"/>
  <c r="DP120" i="2" s="1"/>
  <c r="DP110" i="2" l="1"/>
  <c r="DP111" i="2" s="1"/>
  <c r="DP108" i="2"/>
  <c r="DO129" i="2"/>
  <c r="DO130" i="2" s="1"/>
  <c r="DQ107" i="2" l="1"/>
  <c r="DO136" i="2"/>
  <c r="DO137" i="2" s="1"/>
  <c r="DQ104" i="2"/>
  <c r="DQ120" i="2" s="1"/>
  <c r="DP129" i="2" l="1"/>
  <c r="DP130" i="2" s="1"/>
  <c r="DQ110" i="2"/>
  <c r="DQ111" i="2" s="1"/>
  <c r="DQ108" i="2"/>
  <c r="DR104" i="2" l="1"/>
  <c r="DR120" i="2" s="1"/>
  <c r="DR107" i="2"/>
  <c r="DP136" i="2"/>
  <c r="DP137" i="2" s="1"/>
  <c r="DR108" i="2" l="1"/>
  <c r="DR110" i="2"/>
  <c r="DR111" i="2" s="1"/>
  <c r="DS107" i="2" l="1"/>
  <c r="DQ129" i="2"/>
  <c r="DQ130" i="2" s="1"/>
  <c r="DS104" i="2"/>
  <c r="DS120" i="2" s="1"/>
  <c r="DT107" i="2" l="1"/>
  <c r="DT104" i="2"/>
  <c r="DT120" i="2" s="1"/>
  <c r="DS108" i="2"/>
  <c r="DS110" i="2"/>
  <c r="DS111" i="2" s="1"/>
  <c r="DQ136" i="2"/>
  <c r="DQ137" i="2" s="1"/>
  <c r="DT110" i="2" l="1"/>
  <c r="DT111" i="2" s="1"/>
  <c r="DT108" i="2"/>
  <c r="DR129" i="2" l="1"/>
  <c r="DR130" i="2" s="1"/>
  <c r="DR136" i="2" l="1"/>
  <c r="DR137" i="2" s="1"/>
  <c r="DS136" i="2" l="1"/>
  <c r="DS137" i="2" s="1"/>
  <c r="DS129" i="2"/>
  <c r="DS130" i="2" s="1"/>
  <c r="DU115" i="2" l="1"/>
  <c r="DV107" i="2"/>
  <c r="DT136" i="2"/>
  <c r="DT137" i="2" s="1"/>
  <c r="DT129" i="2"/>
  <c r="DT130" i="2" s="1"/>
  <c r="DV108" i="2" l="1"/>
  <c r="DV110" i="2"/>
  <c r="DV111" i="2" l="1"/>
  <c r="AI104" i="2"/>
  <c r="AI120" i="2" s="1"/>
  <c r="AD49" i="2" l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CO49" i="2" s="1"/>
  <c r="CP49" i="2" s="1"/>
  <c r="CQ49" i="2" s="1"/>
  <c r="CR49" i="2" s="1"/>
  <c r="CS49" i="2" s="1"/>
  <c r="CT49" i="2" s="1"/>
  <c r="CU49" i="2" s="1"/>
  <c r="CV49" i="2" s="1"/>
  <c r="CW49" i="2" s="1"/>
  <c r="CX49" i="2" s="1"/>
  <c r="CY49" i="2" s="1"/>
  <c r="CZ49" i="2" s="1"/>
  <c r="DA49" i="2" s="1"/>
  <c r="DB49" i="2" s="1"/>
  <c r="DC49" i="2" s="1"/>
  <c r="DD49" i="2" s="1"/>
  <c r="DE49" i="2" s="1"/>
  <c r="DF49" i="2" s="1"/>
  <c r="DG49" i="2" s="1"/>
  <c r="DH49" i="2" s="1"/>
  <c r="DI49" i="2" s="1"/>
  <c r="DJ49" i="2" s="1"/>
  <c r="DK49" i="2" s="1"/>
  <c r="DL49" i="2" s="1"/>
  <c r="DM49" i="2" s="1"/>
  <c r="DN49" i="2" s="1"/>
  <c r="DO49" i="2" s="1"/>
  <c r="DP49" i="2" s="1"/>
  <c r="DQ49" i="2" s="1"/>
  <c r="DR49" i="2" s="1"/>
  <c r="DS49" i="2" s="1"/>
  <c r="DT49" i="2" s="1"/>
  <c r="DU49" i="2" s="1"/>
  <c r="H26" i="1" l="1"/>
  <c r="G26" i="1"/>
  <c r="H34" i="1" l="1"/>
  <c r="H36" i="1" l="1"/>
  <c r="H53" i="1" s="1"/>
  <c r="D41" i="2"/>
  <c r="G34" i="1"/>
  <c r="H39" i="1" l="1"/>
  <c r="H42" i="1" s="1"/>
  <c r="H44" i="1" s="1"/>
  <c r="H54" i="1"/>
  <c r="H59" i="1" s="1"/>
  <c r="H55" i="1"/>
  <c r="D44" i="2" l="1"/>
  <c r="E44" i="2" s="1"/>
  <c r="E48" i="2"/>
  <c r="H50" i="1"/>
  <c r="H49" i="1" s="1"/>
  <c r="P52" i="1"/>
  <c r="H61" i="1"/>
  <c r="D53" i="2"/>
  <c r="H48" i="1"/>
  <c r="L52" i="1"/>
  <c r="E53" i="2" l="1"/>
  <c r="E77" i="2" s="1"/>
  <c r="D90" i="2"/>
  <c r="E55" i="2"/>
  <c r="E56" i="2" s="1"/>
  <c r="N52" i="1"/>
  <c r="M52" i="1"/>
  <c r="O52" i="1"/>
  <c r="K52" i="1"/>
  <c r="P55" i="1" l="1"/>
  <c r="E49" i="2"/>
  <c r="F41" i="2"/>
  <c r="G41" i="2" l="1"/>
  <c r="I41" i="2" l="1"/>
  <c r="H41" i="2"/>
  <c r="K41" i="2" l="1"/>
  <c r="J41" i="2"/>
  <c r="M41" i="2" l="1"/>
  <c r="L41" i="2"/>
  <c r="N41" i="2" s="1"/>
  <c r="P41" i="2" l="1"/>
  <c r="O41" i="2"/>
  <c r="Q41" i="2" l="1"/>
  <c r="R41" i="2"/>
  <c r="T41" i="2" l="1"/>
  <c r="S41" i="2"/>
  <c r="E90" i="2"/>
  <c r="E94" i="2" s="1"/>
  <c r="V41" i="2" l="1"/>
  <c r="U41" i="2"/>
  <c r="E95" i="2"/>
  <c r="E101" i="2" s="1"/>
  <c r="E104" i="2" s="1"/>
  <c r="E120" i="2" s="1"/>
  <c r="D95" i="2"/>
  <c r="D94" i="2"/>
  <c r="E135" i="2"/>
  <c r="E137" i="2" s="1"/>
  <c r="E106" i="2"/>
  <c r="X41" i="2" l="1"/>
  <c r="W41" i="2"/>
  <c r="E103" i="2"/>
  <c r="F99" i="2" s="1"/>
  <c r="F100" i="2" s="1"/>
  <c r="E96" i="2"/>
  <c r="D96" i="2"/>
  <c r="E108" i="2"/>
  <c r="E128" i="2"/>
  <c r="E130" i="2" s="1"/>
  <c r="Y41" i="2" l="1"/>
  <c r="Z41" i="2"/>
  <c r="Z42" i="2" l="1"/>
  <c r="Z48" i="2"/>
  <c r="Z55" i="2" s="1"/>
  <c r="X42" i="2"/>
  <c r="X48" i="2" s="1"/>
  <c r="Y42" i="2"/>
  <c r="Y48" i="2" s="1"/>
  <c r="V42" i="2"/>
  <c r="V48" i="2" s="1"/>
  <c r="W42" i="2"/>
  <c r="W48" i="2" s="1"/>
  <c r="U42" i="2"/>
  <c r="U48" i="2" s="1"/>
  <c r="R42" i="2"/>
  <c r="R48" i="2"/>
  <c r="S42" i="2"/>
  <c r="S48" i="2" s="1"/>
  <c r="T42" i="2"/>
  <c r="T48" i="2" s="1"/>
  <c r="Q42" i="2"/>
  <c r="Q48" i="2" s="1"/>
  <c r="P42" i="2"/>
  <c r="P48" i="2" s="1"/>
  <c r="O42" i="2"/>
  <c r="O48" i="2" s="1"/>
  <c r="M42" i="2"/>
  <c r="M48" i="2"/>
  <c r="N42" i="2"/>
  <c r="N48" i="2"/>
  <c r="L42" i="2"/>
  <c r="L48" i="2" s="1"/>
  <c r="G42" i="2"/>
  <c r="G48" i="2" s="1"/>
  <c r="J42" i="2"/>
  <c r="J48" i="2"/>
  <c r="K42" i="2"/>
  <c r="K48" i="2" s="1"/>
  <c r="I42" i="2"/>
  <c r="I48" i="2" s="1"/>
  <c r="F42" i="2"/>
  <c r="F48" i="2" s="1"/>
  <c r="F53" i="2" s="1"/>
  <c r="H42" i="2"/>
  <c r="H48" i="2" s="1"/>
  <c r="F55" i="2" l="1"/>
  <c r="F80" i="2"/>
  <c r="F89" i="2" s="1"/>
  <c r="F102" i="2" s="1"/>
  <c r="F90" i="2"/>
  <c r="F77" i="2"/>
  <c r="Y55" i="2"/>
  <c r="Y80" i="2"/>
  <c r="F56" i="2"/>
  <c r="C50" i="2"/>
  <c r="L54" i="1" s="1"/>
  <c r="X53" i="2"/>
  <c r="X90" i="2" s="1"/>
  <c r="X55" i="2"/>
  <c r="Y53" i="2"/>
  <c r="Y90" i="2" s="1"/>
  <c r="H49" i="2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D48" i="2"/>
  <c r="P56" i="1" s="1"/>
  <c r="C51" i="2"/>
  <c r="L55" i="1" s="1"/>
  <c r="Z53" i="2"/>
  <c r="Z90" i="2" s="1"/>
  <c r="G53" i="2"/>
  <c r="H53" i="2" s="1"/>
  <c r="X80" i="2" l="1"/>
  <c r="H55" i="2"/>
  <c r="H80" i="2"/>
  <c r="H89" i="2" s="1"/>
  <c r="H102" i="2" s="1"/>
  <c r="G80" i="2"/>
  <c r="G89" i="2" s="1"/>
  <c r="G102" i="2" s="1"/>
  <c r="G77" i="2"/>
  <c r="G90" i="2"/>
  <c r="F95" i="2"/>
  <c r="F101" i="2" s="1"/>
  <c r="F103" i="2" s="1"/>
  <c r="G99" i="2" s="1"/>
  <c r="G100" i="2" s="1"/>
  <c r="F94" i="2"/>
  <c r="F107" i="2"/>
  <c r="F129" i="2"/>
  <c r="F61" i="2"/>
  <c r="F62" i="2" s="1"/>
  <c r="X77" i="2"/>
  <c r="Y77" i="2"/>
  <c r="G55" i="2"/>
  <c r="H90" i="2"/>
  <c r="H77" i="2"/>
  <c r="Y95" i="2"/>
  <c r="Y94" i="2"/>
  <c r="X89" i="2"/>
  <c r="I53" i="2"/>
  <c r="Z95" i="2"/>
  <c r="Z94" i="2"/>
  <c r="D49" i="2"/>
  <c r="X95" i="2"/>
  <c r="X94" i="2"/>
  <c r="F104" i="2" l="1"/>
  <c r="F120" i="2" s="1"/>
  <c r="F128" i="2" s="1"/>
  <c r="J53" i="2"/>
  <c r="J90" i="2" s="1"/>
  <c r="I80" i="2"/>
  <c r="I89" i="2" s="1"/>
  <c r="I102" i="2" s="1"/>
  <c r="F106" i="2"/>
  <c r="F108" i="2" s="1"/>
  <c r="F135" i="2"/>
  <c r="F96" i="2"/>
  <c r="G107" i="2"/>
  <c r="G129" i="2"/>
  <c r="H107" i="2"/>
  <c r="H129" i="2"/>
  <c r="F130" i="2"/>
  <c r="F110" i="2"/>
  <c r="F111" i="2" s="1"/>
  <c r="F136" i="2"/>
  <c r="F137" i="2" s="1"/>
  <c r="H56" i="2"/>
  <c r="G56" i="2"/>
  <c r="G61" i="2" s="1"/>
  <c r="Y89" i="2"/>
  <c r="Y102" i="2" s="1"/>
  <c r="X96" i="2"/>
  <c r="X106" i="2"/>
  <c r="X135" i="2"/>
  <c r="X128" i="2"/>
  <c r="X101" i="2"/>
  <c r="I77" i="2"/>
  <c r="I90" i="2"/>
  <c r="I55" i="2"/>
  <c r="H95" i="2"/>
  <c r="H101" i="2" s="1"/>
  <c r="H104" i="2" s="1"/>
  <c r="H120" i="2" s="1"/>
  <c r="H128" i="2" s="1"/>
  <c r="H130" i="2" s="1"/>
  <c r="H94" i="2"/>
  <c r="K53" i="2"/>
  <c r="X102" i="2"/>
  <c r="G95" i="2"/>
  <c r="G101" i="2" s="1"/>
  <c r="G94" i="2"/>
  <c r="Y135" i="2"/>
  <c r="Y96" i="2"/>
  <c r="Y106" i="2"/>
  <c r="Z135" i="2"/>
  <c r="Z106" i="2"/>
  <c r="Z96" i="2"/>
  <c r="Y101" i="2"/>
  <c r="Y128" i="2"/>
  <c r="Z101" i="2"/>
  <c r="Z128" i="2"/>
  <c r="J55" i="2" l="1"/>
  <c r="H136" i="2"/>
  <c r="H110" i="2"/>
  <c r="H111" i="2" s="1"/>
  <c r="G110" i="2"/>
  <c r="G111" i="2" s="1"/>
  <c r="G136" i="2"/>
  <c r="L53" i="2"/>
  <c r="L80" i="2" s="1"/>
  <c r="K80" i="2"/>
  <c r="I107" i="2"/>
  <c r="I129" i="2"/>
  <c r="J77" i="2"/>
  <c r="J80" i="2"/>
  <c r="J89" i="2" s="1"/>
  <c r="J102" i="2" s="1"/>
  <c r="J56" i="2"/>
  <c r="H61" i="2"/>
  <c r="I56" i="2"/>
  <c r="J61" i="2" s="1"/>
  <c r="Y104" i="2"/>
  <c r="Y120" i="2" s="1"/>
  <c r="G103" i="2"/>
  <c r="H99" i="2" s="1"/>
  <c r="G104" i="2"/>
  <c r="G120" i="2" s="1"/>
  <c r="G128" i="2" s="1"/>
  <c r="G130" i="2" s="1"/>
  <c r="H96" i="2"/>
  <c r="H106" i="2"/>
  <c r="H108" i="2" s="1"/>
  <c r="H135" i="2"/>
  <c r="H137" i="2" s="1"/>
  <c r="I95" i="2"/>
  <c r="I101" i="2" s="1"/>
  <c r="I104" i="2" s="1"/>
  <c r="I120" i="2" s="1"/>
  <c r="I128" i="2" s="1"/>
  <c r="I94" i="2"/>
  <c r="Y107" i="2"/>
  <c r="Y129" i="2"/>
  <c r="Y130" i="2" s="1"/>
  <c r="X107" i="2"/>
  <c r="X129" i="2"/>
  <c r="X130" i="2" s="1"/>
  <c r="G135" i="2"/>
  <c r="G106" i="2"/>
  <c r="G108" i="2" s="1"/>
  <c r="G96" i="2"/>
  <c r="K90" i="2"/>
  <c r="K55" i="2"/>
  <c r="X104" i="2"/>
  <c r="X120" i="2" s="1"/>
  <c r="J95" i="2"/>
  <c r="J101" i="2" s="1"/>
  <c r="J94" i="2"/>
  <c r="G137" i="2" l="1"/>
  <c r="M53" i="2"/>
  <c r="M80" i="2" s="1"/>
  <c r="M77" i="2" s="1"/>
  <c r="L55" i="2"/>
  <c r="L56" i="2" s="1"/>
  <c r="J104" i="2"/>
  <c r="J120" i="2" s="1"/>
  <c r="J128" i="2" s="1"/>
  <c r="L90" i="2"/>
  <c r="L94" i="2" s="1"/>
  <c r="K77" i="2"/>
  <c r="K89" i="2"/>
  <c r="I130" i="2"/>
  <c r="L77" i="2"/>
  <c r="L89" i="2"/>
  <c r="L102" i="2" s="1"/>
  <c r="I110" i="2"/>
  <c r="I111" i="2" s="1"/>
  <c r="I136" i="2"/>
  <c r="J107" i="2"/>
  <c r="J129" i="2"/>
  <c r="J130" i="2" s="1"/>
  <c r="H62" i="2"/>
  <c r="K56" i="2"/>
  <c r="L61" i="2" s="1"/>
  <c r="I61" i="2"/>
  <c r="I62" i="2" s="1"/>
  <c r="Y136" i="2"/>
  <c r="Y137" i="2" s="1"/>
  <c r="Y110" i="2"/>
  <c r="Y111" i="2" s="1"/>
  <c r="Y108" i="2"/>
  <c r="M90" i="2"/>
  <c r="M55" i="2"/>
  <c r="J62" i="2"/>
  <c r="H100" i="2"/>
  <c r="K95" i="2"/>
  <c r="K94" i="2"/>
  <c r="J96" i="2"/>
  <c r="J106" i="2"/>
  <c r="J135" i="2"/>
  <c r="X136" i="2"/>
  <c r="X137" i="2" s="1"/>
  <c r="X110" i="2"/>
  <c r="X111" i="2" s="1"/>
  <c r="X108" i="2"/>
  <c r="I106" i="2"/>
  <c r="I108" i="2" s="1"/>
  <c r="I96" i="2"/>
  <c r="I135" i="2"/>
  <c r="G62" i="2"/>
  <c r="M89" i="2" l="1"/>
  <c r="M102" i="2" s="1"/>
  <c r="I137" i="2"/>
  <c r="N53" i="2"/>
  <c r="N80" i="2" s="1"/>
  <c r="L95" i="2"/>
  <c r="J108" i="2"/>
  <c r="O53" i="2"/>
  <c r="O80" i="2" s="1"/>
  <c r="L129" i="2"/>
  <c r="L107" i="2"/>
  <c r="K102" i="2"/>
  <c r="K61" i="2"/>
  <c r="K62" i="2" s="1"/>
  <c r="J110" i="2"/>
  <c r="J111" i="2" s="1"/>
  <c r="J136" i="2"/>
  <c r="J137" i="2" s="1"/>
  <c r="M129" i="2"/>
  <c r="M107" i="2"/>
  <c r="N89" i="2"/>
  <c r="N102" i="2" s="1"/>
  <c r="N77" i="2"/>
  <c r="H103" i="2"/>
  <c r="I99" i="2" s="1"/>
  <c r="I100" i="2" s="1"/>
  <c r="I103" i="2" s="1"/>
  <c r="J99" i="2" s="1"/>
  <c r="M56" i="2"/>
  <c r="L106" i="2"/>
  <c r="L96" i="2"/>
  <c r="L135" i="2"/>
  <c r="M94" i="2"/>
  <c r="M95" i="2"/>
  <c r="K135" i="2"/>
  <c r="K106" i="2"/>
  <c r="K96" i="2"/>
  <c r="N90" i="2"/>
  <c r="N55" i="2"/>
  <c r="N56" i="2" s="1"/>
  <c r="L62" i="2"/>
  <c r="K128" i="2"/>
  <c r="K101" i="2"/>
  <c r="L128" i="2"/>
  <c r="L101" i="2"/>
  <c r="L104" i="2" s="1"/>
  <c r="L120" i="2" s="1"/>
  <c r="O55" i="2" l="1"/>
  <c r="O90" i="2"/>
  <c r="P53" i="2"/>
  <c r="P80" i="2" s="1"/>
  <c r="P77" i="2" s="1"/>
  <c r="L108" i="2"/>
  <c r="L130" i="2"/>
  <c r="Q53" i="2"/>
  <c r="Q80" i="2" s="1"/>
  <c r="K104" i="2"/>
  <c r="K120" i="2" s="1"/>
  <c r="M110" i="2"/>
  <c r="M111" i="2" s="1"/>
  <c r="M136" i="2"/>
  <c r="L136" i="2"/>
  <c r="L137" i="2" s="1"/>
  <c r="L110" i="2"/>
  <c r="L111" i="2" s="1"/>
  <c r="O77" i="2"/>
  <c r="O89" i="2"/>
  <c r="O102" i="2" s="1"/>
  <c r="K129" i="2"/>
  <c r="K130" i="2" s="1"/>
  <c r="K107" i="2"/>
  <c r="N129" i="2"/>
  <c r="N107" i="2"/>
  <c r="N61" i="2"/>
  <c r="M61" i="2"/>
  <c r="M62" i="2" s="1"/>
  <c r="O56" i="2"/>
  <c r="O61" i="2" s="1"/>
  <c r="N95" i="2"/>
  <c r="N94" i="2"/>
  <c r="J100" i="2"/>
  <c r="J103" i="2" s="1"/>
  <c r="K99" i="2" s="1"/>
  <c r="O95" i="2"/>
  <c r="O94" i="2"/>
  <c r="M128" i="2"/>
  <c r="M130" i="2" s="1"/>
  <c r="M101" i="2"/>
  <c r="M104" i="2" s="1"/>
  <c r="M120" i="2" s="1"/>
  <c r="M135" i="2"/>
  <c r="M106" i="2"/>
  <c r="M108" i="2" s="1"/>
  <c r="M96" i="2"/>
  <c r="P90" i="2" l="1"/>
  <c r="P95" i="2" s="1"/>
  <c r="P89" i="2"/>
  <c r="P102" i="2" s="1"/>
  <c r="P55" i="2"/>
  <c r="P56" i="2" s="1"/>
  <c r="R53" i="2"/>
  <c r="R80" i="2" s="1"/>
  <c r="R77" i="2" s="1"/>
  <c r="Q90" i="2"/>
  <c r="P94" i="2"/>
  <c r="P96" i="2" s="1"/>
  <c r="Q55" i="2"/>
  <c r="Q56" i="2" s="1"/>
  <c r="Q61" i="2" s="1"/>
  <c r="Q62" i="2" s="1"/>
  <c r="O107" i="2"/>
  <c r="O129" i="2"/>
  <c r="R89" i="2"/>
  <c r="R102" i="2" s="1"/>
  <c r="Q77" i="2"/>
  <c r="Q89" i="2"/>
  <c r="Q102" i="2" s="1"/>
  <c r="N136" i="2"/>
  <c r="N110" i="2"/>
  <c r="N111" i="2" s="1"/>
  <c r="K110" i="2"/>
  <c r="K111" i="2" s="1"/>
  <c r="K136" i="2"/>
  <c r="K137" i="2" s="1"/>
  <c r="P129" i="2"/>
  <c r="P107" i="2"/>
  <c r="M137" i="2"/>
  <c r="K108" i="2"/>
  <c r="P61" i="2"/>
  <c r="P62" i="2" s="1"/>
  <c r="K100" i="2"/>
  <c r="K103" i="2" s="1"/>
  <c r="L99" i="2" s="1"/>
  <c r="O106" i="2"/>
  <c r="O108" i="2" s="1"/>
  <c r="O135" i="2"/>
  <c r="O96" i="2"/>
  <c r="O62" i="2"/>
  <c r="R90" i="2"/>
  <c r="S53" i="2"/>
  <c r="S80" i="2" s="1"/>
  <c r="O101" i="2"/>
  <c r="O104" i="2" s="1"/>
  <c r="O120" i="2" s="1"/>
  <c r="O128" i="2"/>
  <c r="O130" i="2" s="1"/>
  <c r="Q95" i="2"/>
  <c r="Q94" i="2"/>
  <c r="P106" i="2"/>
  <c r="N135" i="2"/>
  <c r="N106" i="2"/>
  <c r="N96" i="2"/>
  <c r="N128" i="2"/>
  <c r="N130" i="2" s="1"/>
  <c r="N101" i="2"/>
  <c r="P101" i="2"/>
  <c r="P128" i="2"/>
  <c r="P104" i="2" l="1"/>
  <c r="P120" i="2" s="1"/>
  <c r="R55" i="2"/>
  <c r="R56" i="2" s="1"/>
  <c r="R61" i="2" s="1"/>
  <c r="R62" i="2" s="1"/>
  <c r="P130" i="2"/>
  <c r="P135" i="2"/>
  <c r="P108" i="2"/>
  <c r="Q107" i="2"/>
  <c r="Q129" i="2"/>
  <c r="N104" i="2"/>
  <c r="N120" i="2" s="1"/>
  <c r="P136" i="2"/>
  <c r="P110" i="2"/>
  <c r="P111" i="2" s="1"/>
  <c r="R107" i="2"/>
  <c r="R129" i="2"/>
  <c r="N108" i="2"/>
  <c r="N137" i="2"/>
  <c r="S77" i="2"/>
  <c r="S89" i="2"/>
  <c r="S102" i="2" s="1"/>
  <c r="O110" i="2"/>
  <c r="O111" i="2" s="1"/>
  <c r="O136" i="2"/>
  <c r="O137" i="2" s="1"/>
  <c r="L100" i="2"/>
  <c r="L103" i="2" s="1"/>
  <c r="M99" i="2" s="1"/>
  <c r="R95" i="2"/>
  <c r="R94" i="2"/>
  <c r="Q106" i="2"/>
  <c r="Q108" i="2" s="1"/>
  <c r="Q96" i="2"/>
  <c r="Q135" i="2"/>
  <c r="N62" i="2"/>
  <c r="S90" i="2"/>
  <c r="S55" i="2"/>
  <c r="S56" i="2" s="1"/>
  <c r="T53" i="2"/>
  <c r="T80" i="2" s="1"/>
  <c r="Q128" i="2"/>
  <c r="Q101" i="2"/>
  <c r="Q104" i="2" s="1"/>
  <c r="Q120" i="2" s="1"/>
  <c r="S61" i="2" l="1"/>
  <c r="P137" i="2"/>
  <c r="Q130" i="2"/>
  <c r="S107" i="2"/>
  <c r="S129" i="2"/>
  <c r="T77" i="2"/>
  <c r="T89" i="2"/>
  <c r="T102" i="2" s="1"/>
  <c r="R136" i="2"/>
  <c r="R110" i="2"/>
  <c r="R111" i="2" s="1"/>
  <c r="Q136" i="2"/>
  <c r="Q137" i="2" s="1"/>
  <c r="Q110" i="2"/>
  <c r="Q111" i="2" s="1"/>
  <c r="M100" i="2"/>
  <c r="M103" i="2" s="1"/>
  <c r="N99" i="2" s="1"/>
  <c r="R135" i="2"/>
  <c r="R96" i="2"/>
  <c r="R106" i="2"/>
  <c r="R108" i="2" s="1"/>
  <c r="S95" i="2"/>
  <c r="S94" i="2"/>
  <c r="R128" i="2"/>
  <c r="R130" i="2" s="1"/>
  <c r="R101" i="2"/>
  <c r="R104" i="2" s="1"/>
  <c r="R120" i="2" s="1"/>
  <c r="T90" i="2"/>
  <c r="T55" i="2"/>
  <c r="U53" i="2"/>
  <c r="U80" i="2" s="1"/>
  <c r="T129" i="2" l="1"/>
  <c r="T107" i="2"/>
  <c r="U77" i="2"/>
  <c r="U89" i="2"/>
  <c r="U102" i="2" s="1"/>
  <c r="R137" i="2"/>
  <c r="S136" i="2"/>
  <c r="S110" i="2"/>
  <c r="S111" i="2" s="1"/>
  <c r="T56" i="2"/>
  <c r="T61" i="2" s="1"/>
  <c r="T62" i="2" s="1"/>
  <c r="N100" i="2"/>
  <c r="N103" i="2" s="1"/>
  <c r="O99" i="2" s="1"/>
  <c r="U90" i="2"/>
  <c r="U55" i="2"/>
  <c r="V53" i="2"/>
  <c r="V80" i="2" s="1"/>
  <c r="V77" i="2" s="1"/>
  <c r="T95" i="2"/>
  <c r="T94" i="2"/>
  <c r="S135" i="2"/>
  <c r="S96" i="2"/>
  <c r="S106" i="2"/>
  <c r="S108" i="2" s="1"/>
  <c r="S62" i="2"/>
  <c r="S128" i="2"/>
  <c r="S130" i="2" s="1"/>
  <c r="S101" i="2"/>
  <c r="S104" i="2" s="1"/>
  <c r="S120" i="2" s="1"/>
  <c r="S137" i="2" l="1"/>
  <c r="T136" i="2"/>
  <c r="T110" i="2"/>
  <c r="T111" i="2" s="1"/>
  <c r="U129" i="2"/>
  <c r="U107" i="2"/>
  <c r="U56" i="2"/>
  <c r="U61" i="2" s="1"/>
  <c r="U62" i="2" s="1"/>
  <c r="T96" i="2"/>
  <c r="T106" i="2"/>
  <c r="T108" i="2" s="1"/>
  <c r="T135" i="2"/>
  <c r="T128" i="2"/>
  <c r="T130" i="2" s="1"/>
  <c r="T101" i="2"/>
  <c r="T104" i="2" s="1"/>
  <c r="T120" i="2" s="1"/>
  <c r="V90" i="2"/>
  <c r="V55" i="2"/>
  <c r="V56" i="2" s="1"/>
  <c r="W53" i="2"/>
  <c r="W80" i="2" s="1"/>
  <c r="U95" i="2"/>
  <c r="U94" i="2"/>
  <c r="O100" i="2"/>
  <c r="O103" i="2" s="1"/>
  <c r="P99" i="2" s="1"/>
  <c r="T137" i="2" l="1"/>
  <c r="V61" i="2"/>
  <c r="U136" i="2"/>
  <c r="U110" i="2"/>
  <c r="U111" i="2" s="1"/>
  <c r="P100" i="2"/>
  <c r="P103" i="2" s="1"/>
  <c r="Q99" i="2" s="1"/>
  <c r="V62" i="2"/>
  <c r="V95" i="2"/>
  <c r="V94" i="2"/>
  <c r="U106" i="2"/>
  <c r="U108" i="2" s="1"/>
  <c r="U135" i="2"/>
  <c r="U96" i="2"/>
  <c r="U101" i="2"/>
  <c r="U104" i="2" s="1"/>
  <c r="U120" i="2" s="1"/>
  <c r="U128" i="2"/>
  <c r="U130" i="2" s="1"/>
  <c r="W90" i="2"/>
  <c r="W55" i="2"/>
  <c r="U137" i="2" l="1"/>
  <c r="D55" i="2"/>
  <c r="X56" i="2"/>
  <c r="Z56" i="2"/>
  <c r="Y56" i="2"/>
  <c r="W56" i="2"/>
  <c r="Q100" i="2"/>
  <c r="Q103" i="2" s="1"/>
  <c r="R99" i="2" s="1"/>
  <c r="W95" i="2"/>
  <c r="W94" i="2"/>
  <c r="V89" i="2"/>
  <c r="V106" i="2"/>
  <c r="V96" i="2"/>
  <c r="V135" i="2"/>
  <c r="V128" i="2"/>
  <c r="V101" i="2"/>
  <c r="W61" i="2" l="1"/>
  <c r="D56" i="2"/>
  <c r="Y61" i="2"/>
  <c r="X61" i="2"/>
  <c r="X62" i="2" s="1"/>
  <c r="R100" i="2"/>
  <c r="R103" i="2" s="1"/>
  <c r="S99" i="2" s="1"/>
  <c r="W77" i="2"/>
  <c r="W89" i="2"/>
  <c r="W128" i="2"/>
  <c r="W101" i="2"/>
  <c r="D101" i="2" s="1"/>
  <c r="V102" i="2"/>
  <c r="W135" i="2"/>
  <c r="W96" i="2"/>
  <c r="W106" i="2"/>
  <c r="D106" i="2" s="1"/>
  <c r="Y62" i="2" l="1"/>
  <c r="D61" i="2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Z65" i="2"/>
  <c r="Z80" i="2" s="1"/>
  <c r="Z77" i="2" s="1"/>
  <c r="C78" i="2" s="1"/>
  <c r="L56" i="1" s="1"/>
  <c r="W62" i="2"/>
  <c r="D60" i="2" s="1"/>
  <c r="S100" i="2"/>
  <c r="S103" i="2" s="1"/>
  <c r="T99" i="2" s="1"/>
  <c r="V107" i="2"/>
  <c r="V129" i="2"/>
  <c r="V130" i="2" s="1"/>
  <c r="W102" i="2"/>
  <c r="V104" i="2"/>
  <c r="V120" i="2" s="1"/>
  <c r="C79" i="2" l="1"/>
  <c r="L57" i="1" s="1"/>
  <c r="Z89" i="2"/>
  <c r="Z102" i="2" s="1"/>
  <c r="D80" i="2"/>
  <c r="T100" i="2"/>
  <c r="T103" i="2" s="1"/>
  <c r="U99" i="2" s="1"/>
  <c r="W129" i="2"/>
  <c r="W130" i="2" s="1"/>
  <c r="W107" i="2"/>
  <c r="V108" i="2"/>
  <c r="V110" i="2"/>
  <c r="V136" i="2"/>
  <c r="V137" i="2" s="1"/>
  <c r="W104" i="2"/>
  <c r="W120" i="2" s="1"/>
  <c r="D89" i="2" l="1"/>
  <c r="P57" i="1"/>
  <c r="P54" i="1"/>
  <c r="Z129" i="2"/>
  <c r="Z130" i="2" s="1"/>
  <c r="Z107" i="2"/>
  <c r="Z104" i="2"/>
  <c r="Z120" i="2" s="1"/>
  <c r="U100" i="2"/>
  <c r="U103" i="2" s="1"/>
  <c r="V99" i="2" s="1"/>
  <c r="W110" i="2"/>
  <c r="W111" i="2" s="1"/>
  <c r="W136" i="2"/>
  <c r="W137" i="2" s="1"/>
  <c r="W108" i="2"/>
  <c r="V111" i="2"/>
  <c r="Z136" i="2" l="1"/>
  <c r="Z137" i="2" s="1"/>
  <c r="Z110" i="2"/>
  <c r="Z111" i="2" s="1"/>
  <c r="Z108" i="2"/>
  <c r="V100" i="2"/>
  <c r="V103" i="2" s="1"/>
  <c r="W99" i="2" s="1"/>
  <c r="W100" i="2" l="1"/>
  <c r="W103" i="2" s="1"/>
  <c r="X99" i="2" s="1"/>
  <c r="X100" i="2" l="1"/>
  <c r="X103" i="2" s="1"/>
  <c r="Y99" i="2" s="1"/>
  <c r="Y100" i="2" l="1"/>
  <c r="Y103" i="2" l="1"/>
  <c r="Z99" i="2" s="1"/>
  <c r="Z100" i="2" s="1"/>
  <c r="Z103" i="2" s="1"/>
  <c r="AA99" i="2" s="1"/>
  <c r="AA100" i="2" l="1"/>
  <c r="AA103" i="2" s="1"/>
  <c r="AB99" i="2" s="1"/>
  <c r="AB100" i="2" l="1"/>
  <c r="AB103" i="2" s="1"/>
  <c r="AC99" i="2" s="1"/>
  <c r="AC100" i="2" l="1"/>
  <c r="AC103" i="2" s="1"/>
  <c r="AD99" i="2" s="1"/>
  <c r="AD100" i="2" l="1"/>
  <c r="AD103" i="2" s="1"/>
  <c r="AE99" i="2" s="1"/>
  <c r="AE100" i="2" l="1"/>
  <c r="AE103" i="2" s="1"/>
  <c r="AF99" i="2" s="1"/>
  <c r="AF100" i="2" l="1"/>
  <c r="AF103" i="2" s="1"/>
  <c r="AG99" i="2" s="1"/>
  <c r="AG100" i="2" l="1"/>
  <c r="AG103" i="2" s="1"/>
  <c r="AH99" i="2" s="1"/>
  <c r="AH100" i="2" l="1"/>
  <c r="AH103" i="2" s="1"/>
  <c r="AI99" i="2" s="1"/>
  <c r="AI100" i="2" l="1"/>
  <c r="AI103" i="2" s="1"/>
  <c r="AJ99" i="2" s="1"/>
  <c r="AJ100" i="2" l="1"/>
  <c r="AJ103" i="2" s="1"/>
  <c r="AK99" i="2" s="1"/>
  <c r="AK100" i="2" l="1"/>
  <c r="AK103" i="2" s="1"/>
  <c r="AL99" i="2" s="1"/>
  <c r="AL100" i="2" l="1"/>
  <c r="AL103" i="2" s="1"/>
  <c r="AM99" i="2" s="1"/>
  <c r="AM100" i="2" l="1"/>
  <c r="AM103" i="2" s="1"/>
  <c r="AN99" i="2" s="1"/>
  <c r="AN100" i="2" l="1"/>
  <c r="AN103" i="2" s="1"/>
  <c r="AO99" i="2" s="1"/>
  <c r="AO100" i="2" l="1"/>
  <c r="AO103" i="2" s="1"/>
  <c r="AP99" i="2" s="1"/>
  <c r="AP100" i="2" l="1"/>
  <c r="AP103" i="2" s="1"/>
  <c r="AQ99" i="2" s="1"/>
  <c r="AQ100" i="2" l="1"/>
  <c r="AQ103" i="2" s="1"/>
  <c r="AR99" i="2" s="1"/>
  <c r="AR100" i="2" l="1"/>
  <c r="AR103" i="2" s="1"/>
  <c r="AS99" i="2" s="1"/>
  <c r="AS100" i="2" l="1"/>
  <c r="AS103" i="2" s="1"/>
  <c r="AT99" i="2" s="1"/>
  <c r="AT100" i="2" l="1"/>
  <c r="AT103" i="2" s="1"/>
  <c r="AU99" i="2" s="1"/>
  <c r="AU100" i="2" l="1"/>
  <c r="AU103" i="2" s="1"/>
  <c r="AV99" i="2" s="1"/>
  <c r="AV100" i="2" l="1"/>
  <c r="AV103" i="2" s="1"/>
  <c r="AW99" i="2" s="1"/>
  <c r="AW100" i="2" l="1"/>
  <c r="AW103" i="2" s="1"/>
  <c r="AX99" i="2" s="1"/>
  <c r="AX100" i="2" l="1"/>
  <c r="AX103" i="2" s="1"/>
  <c r="AY99" i="2" s="1"/>
  <c r="AY100" i="2" l="1"/>
  <c r="AY103" i="2" s="1"/>
  <c r="AZ99" i="2" s="1"/>
  <c r="AZ100" i="2" l="1"/>
  <c r="AZ103" i="2" s="1"/>
  <c r="BA99" i="2" s="1"/>
  <c r="BA100" i="2" l="1"/>
  <c r="BA103" i="2" s="1"/>
  <c r="BB99" i="2" s="1"/>
  <c r="BB100" i="2" l="1"/>
  <c r="BB103" i="2" s="1"/>
  <c r="BC99" i="2" s="1"/>
  <c r="BC100" i="2" l="1"/>
  <c r="BC103" i="2" s="1"/>
  <c r="BD99" i="2" s="1"/>
  <c r="BD100" i="2" l="1"/>
  <c r="BD103" i="2" s="1"/>
  <c r="BE99" i="2" s="1"/>
  <c r="BE100" i="2" l="1"/>
  <c r="BE103" i="2" s="1"/>
  <c r="BF99" i="2" s="1"/>
  <c r="BF100" i="2" l="1"/>
  <c r="BF103" i="2" s="1"/>
  <c r="BG99" i="2" s="1"/>
  <c r="BG100" i="2" l="1"/>
  <c r="BG103" i="2" s="1"/>
  <c r="BH99" i="2" s="1"/>
  <c r="BH100" i="2" l="1"/>
  <c r="BH103" i="2" s="1"/>
  <c r="BI99" i="2" s="1"/>
  <c r="BI100" i="2" l="1"/>
  <c r="BI103" i="2" s="1"/>
  <c r="BJ99" i="2" s="1"/>
  <c r="BJ100" i="2" l="1"/>
  <c r="BJ103" i="2" s="1"/>
  <c r="BK99" i="2" s="1"/>
  <c r="BK100" i="2" l="1"/>
  <c r="BK103" i="2" s="1"/>
  <c r="BL99" i="2" s="1"/>
  <c r="BL100" i="2" l="1"/>
  <c r="BL103" i="2" s="1"/>
  <c r="BM99" i="2" s="1"/>
  <c r="BM100" i="2" l="1"/>
  <c r="BM103" i="2" s="1"/>
  <c r="BN99" i="2" s="1"/>
  <c r="BN100" i="2" l="1"/>
  <c r="BN103" i="2" s="1"/>
  <c r="BO99" i="2" s="1"/>
  <c r="BO100" i="2" l="1"/>
  <c r="BO103" i="2" s="1"/>
  <c r="BP99" i="2" s="1"/>
  <c r="BP100" i="2" l="1"/>
  <c r="BP103" i="2" s="1"/>
  <c r="BQ99" i="2" s="1"/>
  <c r="BQ100" i="2" l="1"/>
  <c r="BQ103" i="2" s="1"/>
  <c r="BR99" i="2" s="1"/>
  <c r="BR100" i="2" l="1"/>
  <c r="BR103" i="2" s="1"/>
  <c r="BS99" i="2" s="1"/>
  <c r="BS100" i="2" l="1"/>
  <c r="BS103" i="2" s="1"/>
  <c r="BT99" i="2" s="1"/>
  <c r="BT100" i="2" l="1"/>
  <c r="BT103" i="2" s="1"/>
  <c r="BU99" i="2" s="1"/>
  <c r="BU100" i="2" l="1"/>
  <c r="BU103" i="2" s="1"/>
  <c r="BV99" i="2" s="1"/>
  <c r="BV100" i="2" l="1"/>
  <c r="BV103" i="2" s="1"/>
  <c r="BW99" i="2" s="1"/>
  <c r="BW100" i="2" l="1"/>
  <c r="BW103" i="2" s="1"/>
  <c r="BX99" i="2" s="1"/>
  <c r="BX100" i="2" l="1"/>
  <c r="BX103" i="2" s="1"/>
  <c r="BY99" i="2" s="1"/>
  <c r="BY100" i="2" l="1"/>
  <c r="BY103" i="2" s="1"/>
  <c r="BZ99" i="2" s="1"/>
  <c r="BZ100" i="2" l="1"/>
  <c r="BZ103" i="2" s="1"/>
  <c r="CA99" i="2" s="1"/>
  <c r="CA100" i="2" l="1"/>
  <c r="CA103" i="2" s="1"/>
  <c r="CB99" i="2" s="1"/>
  <c r="CB100" i="2" l="1"/>
  <c r="CB103" i="2" s="1"/>
  <c r="CC99" i="2" s="1"/>
  <c r="CC100" i="2" l="1"/>
  <c r="CC103" i="2" s="1"/>
  <c r="CD99" i="2" s="1"/>
  <c r="CD100" i="2" l="1"/>
  <c r="CD103" i="2" s="1"/>
  <c r="CE99" i="2" s="1"/>
  <c r="CE100" i="2" l="1"/>
  <c r="CE103" i="2" s="1"/>
  <c r="CF99" i="2" s="1"/>
  <c r="CF100" i="2" l="1"/>
  <c r="CF103" i="2" s="1"/>
  <c r="CG99" i="2" s="1"/>
  <c r="CG100" i="2" l="1"/>
  <c r="CG103" i="2" s="1"/>
  <c r="CH99" i="2" s="1"/>
  <c r="CH100" i="2" l="1"/>
  <c r="CH103" i="2" s="1"/>
  <c r="CI99" i="2" s="1"/>
  <c r="CI100" i="2" l="1"/>
  <c r="CI103" i="2" s="1"/>
  <c r="CJ99" i="2" s="1"/>
  <c r="CJ100" i="2" l="1"/>
  <c r="CJ103" i="2" s="1"/>
  <c r="CK99" i="2" s="1"/>
  <c r="CK100" i="2" l="1"/>
  <c r="CK103" i="2" s="1"/>
  <c r="CL99" i="2" s="1"/>
  <c r="CL100" i="2" l="1"/>
  <c r="CL103" i="2" s="1"/>
  <c r="CM99" i="2" s="1"/>
  <c r="CM100" i="2" l="1"/>
  <c r="CM103" i="2" s="1"/>
  <c r="CN99" i="2" s="1"/>
  <c r="CN100" i="2" l="1"/>
  <c r="CN103" i="2" s="1"/>
  <c r="CO99" i="2" s="1"/>
  <c r="CO100" i="2" l="1"/>
  <c r="CO103" i="2" s="1"/>
  <c r="CP99" i="2" s="1"/>
  <c r="CP100" i="2" l="1"/>
  <c r="CP103" i="2" s="1"/>
  <c r="CQ99" i="2" s="1"/>
  <c r="CQ100" i="2" l="1"/>
  <c r="CQ103" i="2" s="1"/>
  <c r="CR99" i="2" s="1"/>
  <c r="CR100" i="2" l="1"/>
  <c r="CR103" i="2" s="1"/>
  <c r="CS99" i="2" s="1"/>
  <c r="CS100" i="2" l="1"/>
  <c r="CS103" i="2" s="1"/>
  <c r="CT99" i="2" s="1"/>
  <c r="CT100" i="2" l="1"/>
  <c r="CT103" i="2" s="1"/>
  <c r="CU99" i="2" s="1"/>
  <c r="CU100" i="2" l="1"/>
  <c r="CU103" i="2" s="1"/>
  <c r="CV99" i="2" s="1"/>
  <c r="CV100" i="2" l="1"/>
  <c r="CV103" i="2" s="1"/>
  <c r="CW99" i="2" s="1"/>
  <c r="CW100" i="2" l="1"/>
  <c r="CW103" i="2" s="1"/>
  <c r="CX99" i="2" s="1"/>
  <c r="CX100" i="2" l="1"/>
  <c r="CX103" i="2" s="1"/>
  <c r="CY99" i="2" s="1"/>
  <c r="CY100" i="2" l="1"/>
  <c r="CY103" i="2" s="1"/>
  <c r="CZ99" i="2" s="1"/>
  <c r="CZ100" i="2" l="1"/>
  <c r="CZ103" i="2" s="1"/>
  <c r="DA99" i="2" s="1"/>
  <c r="DA100" i="2" l="1"/>
  <c r="DA103" i="2" s="1"/>
  <c r="DB99" i="2" s="1"/>
  <c r="DB100" i="2" l="1"/>
  <c r="DB103" i="2" s="1"/>
  <c r="DC99" i="2" s="1"/>
  <c r="DC100" i="2" l="1"/>
  <c r="DC103" i="2" s="1"/>
  <c r="DD99" i="2" s="1"/>
  <c r="DD100" i="2" l="1"/>
  <c r="DD103" i="2" s="1"/>
  <c r="DE99" i="2" s="1"/>
  <c r="DE100" i="2" l="1"/>
  <c r="DE103" i="2" s="1"/>
  <c r="DF99" i="2" s="1"/>
  <c r="DF100" i="2" l="1"/>
  <c r="DF103" i="2" s="1"/>
  <c r="DG99" i="2" s="1"/>
  <c r="DG100" i="2" l="1"/>
  <c r="DG103" i="2" s="1"/>
  <c r="DH99" i="2" s="1"/>
  <c r="DH100" i="2" l="1"/>
  <c r="DH103" i="2" s="1"/>
  <c r="DI99" i="2" s="1"/>
  <c r="DI100" i="2" l="1"/>
  <c r="DI103" i="2" s="1"/>
  <c r="DJ99" i="2" s="1"/>
  <c r="DJ100" i="2" l="1"/>
  <c r="DJ103" i="2" s="1"/>
  <c r="DK99" i="2" s="1"/>
  <c r="DK100" i="2" l="1"/>
  <c r="DK103" i="2" s="1"/>
  <c r="DL99" i="2" s="1"/>
  <c r="DL100" i="2" l="1"/>
  <c r="DL103" i="2" s="1"/>
  <c r="DM99" i="2" s="1"/>
  <c r="DM100" i="2" l="1"/>
  <c r="DM103" i="2" s="1"/>
  <c r="DN99" i="2" s="1"/>
  <c r="DN100" i="2" l="1"/>
  <c r="DN103" i="2" s="1"/>
  <c r="DO99" i="2" s="1"/>
  <c r="DO100" i="2" l="1"/>
  <c r="DO103" i="2" s="1"/>
  <c r="DP99" i="2" s="1"/>
  <c r="DP100" i="2" l="1"/>
  <c r="DP103" i="2" s="1"/>
  <c r="DQ99" i="2" s="1"/>
  <c r="DQ100" i="2" l="1"/>
  <c r="DQ103" i="2" s="1"/>
  <c r="DR99" i="2" s="1"/>
  <c r="DR100" i="2" l="1"/>
  <c r="DR103" i="2" s="1"/>
  <c r="DS99" i="2" s="1"/>
  <c r="DS100" i="2" l="1"/>
  <c r="DS103" i="2" s="1"/>
  <c r="DT99" i="2" s="1"/>
  <c r="DT100" i="2" l="1"/>
  <c r="DT103" i="2" s="1"/>
  <c r="DU99" i="2" s="1"/>
  <c r="DU100" i="2" l="1"/>
  <c r="DU102" i="2" s="1"/>
  <c r="DU104" i="2" l="1"/>
  <c r="DU117" i="2"/>
  <c r="DU107" i="2"/>
  <c r="D102" i="2"/>
  <c r="DU103" i="2"/>
  <c r="DV99" i="2" s="1"/>
  <c r="D99" i="2" s="1"/>
  <c r="DV100" i="2" l="1"/>
  <c r="DU108" i="2"/>
  <c r="DU110" i="2"/>
  <c r="D107" i="2"/>
  <c r="DV103" i="2" l="1"/>
  <c r="D100" i="2"/>
  <c r="DU111" i="2"/>
  <c r="D110" i="2"/>
  <c r="DU118" i="2" l="1"/>
  <c r="D111" i="2"/>
  <c r="DU122" i="2" l="1"/>
  <c r="DU120" i="2"/>
  <c r="D120" i="2" s="1"/>
  <c r="DU123" i="2" l="1"/>
  <c r="D122" i="2"/>
  <c r="DU124" i="2"/>
  <c r="DU125" i="2" s="1"/>
  <c r="DU129" i="2"/>
  <c r="DU130" i="2" s="1"/>
  <c r="C131" i="2" l="1"/>
  <c r="N65" i="1" s="1"/>
  <c r="C132" i="2"/>
  <c r="P65" i="1" s="1"/>
  <c r="C142" i="2"/>
  <c r="C143" i="2" s="1"/>
  <c r="D123" i="2"/>
  <c r="D124" i="2" s="1"/>
  <c r="D125" i="2" s="1"/>
  <c r="DU136" i="2"/>
  <c r="DU137" i="2" s="1"/>
  <c r="F81" i="2"/>
  <c r="C138" i="2" l="1"/>
  <c r="N64" i="1" s="1"/>
  <c r="C139" i="2"/>
  <c r="P64" i="1" s="1"/>
  <c r="G81" i="2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BU81" i="2" s="1"/>
  <c r="BV81" i="2" s="1"/>
  <c r="BW81" i="2" s="1"/>
  <c r="BX81" i="2" s="1"/>
  <c r="BY81" i="2" s="1"/>
  <c r="BZ81" i="2" s="1"/>
  <c r="CA81" i="2" s="1"/>
  <c r="CB81" i="2" s="1"/>
  <c r="CC81" i="2" s="1"/>
  <c r="CD81" i="2" s="1"/>
  <c r="CE81" i="2" s="1"/>
  <c r="CF81" i="2" s="1"/>
  <c r="CG81" i="2" s="1"/>
  <c r="CH81" i="2" s="1"/>
  <c r="CI81" i="2" s="1"/>
  <c r="CJ81" i="2" s="1"/>
  <c r="CK81" i="2" s="1"/>
  <c r="CL81" i="2" s="1"/>
  <c r="CM81" i="2" s="1"/>
  <c r="CN81" i="2" s="1"/>
  <c r="CO81" i="2" s="1"/>
  <c r="CP81" i="2" s="1"/>
  <c r="CQ81" i="2" s="1"/>
  <c r="CR81" i="2" s="1"/>
  <c r="CS81" i="2" s="1"/>
  <c r="CT81" i="2" s="1"/>
  <c r="CU81" i="2" s="1"/>
  <c r="CV81" i="2" s="1"/>
  <c r="CW81" i="2" s="1"/>
  <c r="CX81" i="2" s="1"/>
  <c r="CY81" i="2" s="1"/>
  <c r="CZ81" i="2" s="1"/>
  <c r="DA81" i="2" s="1"/>
  <c r="DB81" i="2" s="1"/>
  <c r="DC81" i="2" s="1"/>
  <c r="DD81" i="2" s="1"/>
  <c r="DE81" i="2" s="1"/>
  <c r="DF81" i="2" s="1"/>
  <c r="DG81" i="2" s="1"/>
  <c r="DH81" i="2" s="1"/>
  <c r="DI81" i="2" s="1"/>
  <c r="DJ81" i="2" s="1"/>
  <c r="DK81" i="2" s="1"/>
  <c r="DL81" i="2" s="1"/>
  <c r="DM81" i="2" s="1"/>
  <c r="DN81" i="2" s="1"/>
  <c r="DO81" i="2" s="1"/>
  <c r="DP81" i="2" s="1"/>
  <c r="DQ81" i="2" s="1"/>
  <c r="DR81" i="2" s="1"/>
  <c r="DS81" i="2" s="1"/>
  <c r="DT81" i="2" s="1"/>
  <c r="DU8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<sst xmlns="http://schemas.openxmlformats.org/spreadsheetml/2006/main" count="231" uniqueCount="196">
  <si>
    <t>Investment</t>
  </si>
  <si>
    <t>Revenue</t>
  </si>
  <si>
    <t>Base Rent</t>
  </si>
  <si>
    <t>Potential Gross Income</t>
  </si>
  <si>
    <t>Additional Vacancy</t>
  </si>
  <si>
    <t>Effective Gross Revenue</t>
  </si>
  <si>
    <t>Expenses</t>
  </si>
  <si>
    <t>Management Fee</t>
  </si>
  <si>
    <t>Insurance</t>
  </si>
  <si>
    <t>Operating Expenses</t>
  </si>
  <si>
    <t>NET OPRATING INCOME</t>
  </si>
  <si>
    <t>Property Cash Flow</t>
  </si>
  <si>
    <t>Net Sales Proceeds</t>
  </si>
  <si>
    <t>Unlevered Cash Flow</t>
  </si>
  <si>
    <t>Cumulative Capital Balance</t>
  </si>
  <si>
    <t>Primary Loan Payment</t>
  </si>
  <si>
    <t>Interest Expense</t>
  </si>
  <si>
    <t>Levered Cash Flow</t>
  </si>
  <si>
    <t>Levered Deal IRR</t>
  </si>
  <si>
    <t>Levered Deal Multiple</t>
  </si>
  <si>
    <t>Property Details</t>
  </si>
  <si>
    <t>Residential Operating Assumptions</t>
  </si>
  <si>
    <t>Fees</t>
  </si>
  <si>
    <t>Monthly Rent</t>
  </si>
  <si>
    <t>Sources and Uses</t>
  </si>
  <si>
    <t>Sources</t>
  </si>
  <si>
    <t>$ Amount</t>
  </si>
  <si>
    <t>Debt</t>
  </si>
  <si>
    <t>Equity</t>
  </si>
  <si>
    <t>Monthly</t>
  </si>
  <si>
    <t>Annual</t>
  </si>
  <si>
    <t>Total Sources</t>
  </si>
  <si>
    <t>Uses</t>
  </si>
  <si>
    <t>Total</t>
  </si>
  <si>
    <t>Cap Rate</t>
  </si>
  <si>
    <t>REVENUE</t>
  </si>
  <si>
    <t>Avg. Cash-on-Cash</t>
  </si>
  <si>
    <t>Sales Expense</t>
  </si>
  <si>
    <t>Total Revenue</t>
  </si>
  <si>
    <t>Free and Clear Return</t>
  </si>
  <si>
    <t>EXPENSES</t>
  </si>
  <si>
    <t>Exit (Years)</t>
  </si>
  <si>
    <t>Total Expenses</t>
  </si>
  <si>
    <t>Net Cash</t>
  </si>
  <si>
    <t>Operating Expense Ratio</t>
  </si>
  <si>
    <t>NET OPERATING INCOME</t>
  </si>
  <si>
    <t>DSCR</t>
  </si>
  <si>
    <t>Number of Units</t>
  </si>
  <si>
    <t>Term</t>
  </si>
  <si>
    <t>LTV</t>
  </si>
  <si>
    <t>BREAKEVEN OCCUPANCY</t>
  </si>
  <si>
    <t>NET CASH FLOW</t>
  </si>
  <si>
    <t>CASH-ON-CASH YIELD</t>
  </si>
  <si>
    <t>LTC</t>
  </si>
  <si>
    <t>Rent - Inflation</t>
  </si>
  <si>
    <t>Expense - Inflation</t>
  </si>
  <si>
    <t>Pro forma Start Date</t>
  </si>
  <si>
    <t>Super</t>
  </si>
  <si>
    <t>GP Equity</t>
  </si>
  <si>
    <t>LP Equity</t>
  </si>
  <si>
    <t>Waterfall Structure</t>
  </si>
  <si>
    <t>Hurdle #1 - Preferred Return</t>
  </si>
  <si>
    <t>Hurdle #2</t>
  </si>
  <si>
    <t>Up To</t>
  </si>
  <si>
    <t>GP Promote</t>
  </si>
  <si>
    <t>LP Share</t>
  </si>
  <si>
    <t>GP %</t>
  </si>
  <si>
    <t>LP%</t>
  </si>
  <si>
    <t>LP IRR</t>
  </si>
  <si>
    <t>LP EM</t>
  </si>
  <si>
    <t>GP IRR</t>
  </si>
  <si>
    <t>GP EM</t>
  </si>
  <si>
    <t>Construction Loan</t>
  </si>
  <si>
    <t>Construction</t>
  </si>
  <si>
    <t>Unit Type</t>
  </si>
  <si>
    <t>Construction Loan Payoff</t>
  </si>
  <si>
    <t>Principal Loan Payoff</t>
  </si>
  <si>
    <t>Per-Unit</t>
  </si>
  <si>
    <t>Repairs, Maintenance &amp; Turnover</t>
  </si>
  <si>
    <t>Water &amp; Sewer</t>
  </si>
  <si>
    <t>Administrative</t>
  </si>
  <si>
    <t>Advertising</t>
  </si>
  <si>
    <t>Construction Schedule</t>
  </si>
  <si>
    <t>Mortgage Reporting Tax</t>
  </si>
  <si>
    <t>Interest</t>
  </si>
  <si>
    <t>Interest Reserve</t>
  </si>
  <si>
    <t>Interest Reserve Balance</t>
  </si>
  <si>
    <t>2BR</t>
  </si>
  <si>
    <t>Retail</t>
  </si>
  <si>
    <t>Sq. Ft.</t>
  </si>
  <si>
    <t>Residential Rentable Sq. Ft.</t>
  </si>
  <si>
    <t>Residential Gros Sq. Ft.</t>
  </si>
  <si>
    <t>Commercial Gross Sq. Ft.</t>
  </si>
  <si>
    <t>Total Gross Sq. Ft.</t>
  </si>
  <si>
    <t>Residential Units</t>
  </si>
  <si>
    <t>Commercial Units</t>
  </si>
  <si>
    <t>Start Month</t>
  </si>
  <si>
    <t>End Month</t>
  </si>
  <si>
    <t>Closing Costs</t>
  </si>
  <si>
    <t>Metric</t>
  </si>
  <si>
    <t>Lot Size</t>
  </si>
  <si>
    <t>Total Land Acquisition</t>
  </si>
  <si>
    <t>Hard Costs</t>
  </si>
  <si>
    <t>Soft Costs</t>
  </si>
  <si>
    <t>Month Start</t>
  </si>
  <si>
    <t>Month End</t>
  </si>
  <si>
    <t>Construction HC</t>
  </si>
  <si>
    <t>Misc. HC</t>
  </si>
  <si>
    <t>Architecture &amp; Engineering</t>
  </si>
  <si>
    <t>Construction Management</t>
  </si>
  <si>
    <t>Marketing Leasing</t>
  </si>
  <si>
    <t>Total Hard Costs</t>
  </si>
  <si>
    <t>Developer's Fee</t>
  </si>
  <si>
    <t>Total Soft Costs</t>
  </si>
  <si>
    <t>Total Project Cost Before Financing Costs</t>
  </si>
  <si>
    <t>Capitalized Construction Interest</t>
  </si>
  <si>
    <t>Financing Fees</t>
  </si>
  <si>
    <t>Oporating Shortfall</t>
  </si>
  <si>
    <t>Total Carrying Costs</t>
  </si>
  <si>
    <t>Mezzanine Loan</t>
  </si>
  <si>
    <t>% of Sources</t>
  </si>
  <si>
    <t>% Units</t>
  </si>
  <si>
    <t>GP</t>
  </si>
  <si>
    <t>LP</t>
  </si>
  <si>
    <t>Legal</t>
  </si>
  <si>
    <t>Expense Type</t>
  </si>
  <si>
    <t>Prime Rate</t>
  </si>
  <si>
    <t>Adj. for Basis</t>
  </si>
  <si>
    <t>Carrying Costs</t>
  </si>
  <si>
    <t>Softs Costs</t>
  </si>
  <si>
    <t>Project IRR</t>
  </si>
  <si>
    <t>Project Multiple</t>
  </si>
  <si>
    <t>Project Deal Multiple</t>
  </si>
  <si>
    <t>Debt Cash Flow</t>
  </si>
  <si>
    <t>Permanent Loan Principal Disbursement</t>
  </si>
  <si>
    <t>Loan Fees</t>
  </si>
  <si>
    <t>Exit Assumptions &amp; Permanent Financing</t>
  </si>
  <si>
    <t xml:space="preserve">Fees &amp; Mortgage </t>
  </si>
  <si>
    <t>Permanent Debt</t>
  </si>
  <si>
    <t>Total Disposable Debt</t>
  </si>
  <si>
    <t>Construction Loan (w/ fee)</t>
  </si>
  <si>
    <t>PMT</t>
  </si>
  <si>
    <t>Principal Paydown</t>
  </si>
  <si>
    <t>PERFORMANCE METRICS</t>
  </si>
  <si>
    <t>Exit Month</t>
  </si>
  <si>
    <t>Total Cash Flows</t>
  </si>
  <si>
    <t>Equity Contributions</t>
  </si>
  <si>
    <t>Equity Share</t>
  </si>
  <si>
    <t>% Share</t>
  </si>
  <si>
    <t>GP Contributions</t>
  </si>
  <si>
    <t>LP Contributions</t>
  </si>
  <si>
    <t>Total Contributions</t>
  </si>
  <si>
    <t>From</t>
  </si>
  <si>
    <t>Beginning Balance</t>
  </si>
  <si>
    <t>Preferred Interest Accrual</t>
  </si>
  <si>
    <t>LP Distributions</t>
  </si>
  <si>
    <t>Ending Balance</t>
  </si>
  <si>
    <t>Total LP Cash Flow</t>
  </si>
  <si>
    <t>GP Distributions</t>
  </si>
  <si>
    <t>GP Cash Flow</t>
  </si>
  <si>
    <t>Total Distributions</t>
  </si>
  <si>
    <t>Cash Flow Remaining</t>
  </si>
  <si>
    <t>Hurdle #2 Accrual</t>
  </si>
  <si>
    <t>Prior Distributions</t>
  </si>
  <si>
    <t>Distributions to LP</t>
  </si>
  <si>
    <t>Distributions to GP</t>
  </si>
  <si>
    <t>LP Cash Flows</t>
  </si>
  <si>
    <t>Contributions</t>
  </si>
  <si>
    <t>Distributions</t>
  </si>
  <si>
    <t>LP Net Cash Flow</t>
  </si>
  <si>
    <t>LP Equity Multiple</t>
  </si>
  <si>
    <t>GP Cash Flows</t>
  </si>
  <si>
    <t>GP Net Cash Flow</t>
  </si>
  <si>
    <t>GP Equity Multiple</t>
  </si>
  <si>
    <t>Total GP Promote</t>
  </si>
  <si>
    <t>Stabiliezd Cash-on-Cash Return</t>
  </si>
  <si>
    <t>Total Uses</t>
  </si>
  <si>
    <t>Studio/1BR</t>
  </si>
  <si>
    <t>Commercial Rentable Sq. Ft.</t>
  </si>
  <si>
    <t>Total Equity (Includes Interest Reserve)</t>
  </si>
  <si>
    <t>Total Monthly Rent</t>
  </si>
  <si>
    <t>Total Annual Rent</t>
  </si>
  <si>
    <t>Levered IRR</t>
  </si>
  <si>
    <t>IRR</t>
  </si>
  <si>
    <t>Multiple</t>
  </si>
  <si>
    <t>Property Name</t>
  </si>
  <si>
    <t>Land/Building Acquisition</t>
  </si>
  <si>
    <t>Real Estate Taxes</t>
  </si>
  <si>
    <t>Construction End</t>
  </si>
  <si>
    <t>Stabilized/Permanent Financing</t>
  </si>
  <si>
    <t>1BR - 1</t>
  </si>
  <si>
    <t>1BR - 2</t>
  </si>
  <si>
    <t>2BR - 1</t>
  </si>
  <si>
    <t>2BR - 2</t>
  </si>
  <si>
    <t>Retail 1</t>
  </si>
  <si>
    <t xml:space="preserve">Retail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</si>
</sst>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Q&quot;\-\3;;&quot;Closing&quot;"/>
    <numFmt numFmtId="165" formatCode="&quot;Year&quot;\ #0"/>
    <numFmt numFmtId="166" formatCode="&quot;Month&quot;\ #0"/>
    <numFmt numFmtId="167" formatCode="m/d/yy;@"/>
    <numFmt numFmtId="168" formatCode="_(* #,##0_);_(* \(#,##0\);_(* &quot;-&quot;??_);_(@_)"/>
    <numFmt numFmtId="169" formatCode="0.00\x_)"/>
    <numFmt numFmtId="170" formatCode="0.00%_)"/>
    <numFmt numFmtId="171" formatCode="0.0%"/>
    <numFmt numFmtId="172" formatCode="&quot;$&quot;#,##0"/>
    <numFmt numFmtId="173" formatCode="#0.00%_);\(#0.00%\)"/>
    <numFmt numFmtId="174" formatCode="0.00&quot;x&quot;"/>
    <numFmt numFmtId="175" formatCode="_(* #,##0.0_);_(* \(#,##0.0\);_(* &quot;-&quot;??_);_(@_)"/>
    <numFmt numFmtId="176" formatCode="&quot;$&quot;#,##0.00"/>
    <numFmt numFmtId="17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12"/>
      <name val="Calibri"/>
      <family val="2"/>
      <scheme val="minor"/>
    </font>
    <font>
      <b/>
      <u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43550"/>
        <bgColor indexed="64"/>
      </patternFill>
    </fill>
    <fill>
      <patternFill patternType="solid">
        <fgColor rgb="FF143550"/>
        <bgColor rgb="FF96969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C4C6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96969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2" fillId="0" borderId="0"/>
  </cellStyleXfs>
  <cellXfs count="329">
    <xf numFmtId="0" fontId="0" fillId="0" borderId="0" xfId="0"/>
    <xf numFmtId="0" fontId="0" fillId="0" borderId="0" xfId="0" applyFont="1"/>
    <xf numFmtId="0" fontId="4" fillId="2" borderId="0" xfId="0" applyFont="1" applyFill="1"/>
    <xf numFmtId="44" fontId="5" fillId="2" borderId="0" xfId="2" applyFont="1" applyFill="1" applyBorder="1" applyProtection="1">
      <protection locked="0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4" fillId="0" borderId="0" xfId="0" applyFont="1"/>
    <xf numFmtId="168" fontId="5" fillId="2" borderId="0" xfId="1" applyNumberFormat="1" applyFont="1" applyFill="1" applyBorder="1"/>
    <xf numFmtId="168" fontId="0" fillId="2" borderId="0" xfId="0" applyNumberFormat="1" applyFont="1" applyFill="1"/>
    <xf numFmtId="0" fontId="5" fillId="2" borderId="0" xfId="0" applyFont="1" applyFill="1" applyBorder="1" applyAlignment="1">
      <alignment horizontal="left"/>
    </xf>
    <xf numFmtId="10" fontId="5" fillId="2" borderId="0" xfId="3" applyNumberFormat="1" applyFont="1" applyFill="1"/>
    <xf numFmtId="0" fontId="4" fillId="2" borderId="0" xfId="0" applyFont="1" applyFill="1" applyAlignment="1">
      <alignment horizontal="left"/>
    </xf>
    <xf numFmtId="171" fontId="5" fillId="2" borderId="0" xfId="0" applyNumberFormat="1" applyFont="1" applyFill="1"/>
    <xf numFmtId="168" fontId="5" fillId="2" borderId="0" xfId="1" applyNumberFormat="1" applyFont="1" applyFill="1" applyBorder="1" applyAlignment="1" applyProtection="1">
      <alignment horizontal="right"/>
      <protection locked="0"/>
    </xf>
    <xf numFmtId="168" fontId="5" fillId="2" borderId="0" xfId="1" applyNumberFormat="1" applyFont="1" applyFill="1"/>
    <xf numFmtId="0" fontId="4" fillId="2" borderId="1" xfId="0" applyFont="1" applyFill="1" applyBorder="1"/>
    <xf numFmtId="168" fontId="5" fillId="2" borderId="0" xfId="0" applyNumberFormat="1" applyFont="1" applyFill="1"/>
    <xf numFmtId="10" fontId="5" fillId="2" borderId="0" xfId="0" applyNumberFormat="1" applyFont="1" applyFill="1" applyAlignment="1">
      <alignment horizontal="right"/>
    </xf>
    <xf numFmtId="169" fontId="5" fillId="2" borderId="1" xfId="0" applyNumberFormat="1" applyFont="1" applyFill="1" applyBorder="1"/>
    <xf numFmtId="169" fontId="5" fillId="2" borderId="0" xfId="0" applyNumberFormat="1" applyFont="1" applyFill="1"/>
    <xf numFmtId="49" fontId="5" fillId="2" borderId="0" xfId="0" applyNumberFormat="1" applyFont="1" applyFill="1" applyAlignment="1">
      <alignment horizontal="left" indent="1"/>
    </xf>
    <xf numFmtId="0" fontId="7" fillId="7" borderId="5" xfId="0" applyFont="1" applyFill="1" applyBorder="1" applyAlignment="1">
      <alignment horizontal="centerContinuous" vertical="center"/>
    </xf>
    <xf numFmtId="1" fontId="7" fillId="7" borderId="7" xfId="0" applyNumberFormat="1" applyFont="1" applyFill="1" applyBorder="1" applyAlignment="1">
      <alignment horizontal="center" vertical="center"/>
    </xf>
    <xf numFmtId="9" fontId="5" fillId="2" borderId="1" xfId="3" applyFont="1" applyFill="1" applyBorder="1"/>
    <xf numFmtId="0" fontId="7" fillId="7" borderId="8" xfId="0" applyFont="1" applyFill="1" applyBorder="1" applyAlignment="1">
      <alignment horizontal="centerContinuous" vertical="center"/>
    </xf>
    <xf numFmtId="0" fontId="7" fillId="7" borderId="1" xfId="0" applyFont="1" applyFill="1" applyBorder="1" applyAlignment="1">
      <alignment horizontal="centerContinuous" vertical="center"/>
    </xf>
    <xf numFmtId="0" fontId="7" fillId="7" borderId="4" xfId="0" applyFont="1" applyFill="1" applyBorder="1" applyAlignment="1">
      <alignment horizontal="centerContinuous" vertical="center"/>
    </xf>
    <xf numFmtId="0" fontId="5" fillId="8" borderId="0" xfId="0" applyFont="1" applyFill="1"/>
    <xf numFmtId="10" fontId="6" fillId="8" borderId="0" xfId="0" applyNumberFormat="1" applyFont="1" applyFill="1"/>
    <xf numFmtId="43" fontId="5" fillId="8" borderId="0" xfId="0" applyNumberFormat="1" applyFont="1" applyFill="1"/>
    <xf numFmtId="49" fontId="5" fillId="2" borderId="1" xfId="0" applyNumberFormat="1" applyFont="1" applyFill="1" applyBorder="1" applyAlignment="1">
      <alignment horizontal="left" indent="1"/>
    </xf>
    <xf numFmtId="10" fontId="5" fillId="2" borderId="1" xfId="3" applyNumberFormat="1" applyFont="1" applyFill="1" applyBorder="1" applyAlignment="1">
      <alignment horizontal="right" vertical="center"/>
    </xf>
    <xf numFmtId="10" fontId="5" fillId="8" borderId="0" xfId="3" applyNumberFormat="1" applyFont="1" applyFill="1"/>
    <xf numFmtId="10" fontId="4" fillId="2" borderId="0" xfId="3" applyNumberFormat="1" applyFont="1" applyFill="1" applyAlignment="1">
      <alignment horizontal="right"/>
    </xf>
    <xf numFmtId="9" fontId="5" fillId="2" borderId="0" xfId="3" applyFont="1" applyFill="1" applyBorder="1"/>
    <xf numFmtId="0" fontId="4" fillId="2" borderId="0" xfId="0" applyFont="1" applyFill="1" applyBorder="1"/>
    <xf numFmtId="0" fontId="0" fillId="2" borderId="0" xfId="0" applyFont="1" applyFill="1"/>
    <xf numFmtId="0" fontId="0" fillId="2" borderId="0" xfId="0" applyFont="1" applyFill="1" applyBorder="1"/>
    <xf numFmtId="9" fontId="5" fillId="2" borderId="0" xfId="3" applyFont="1" applyFill="1" applyAlignment="1">
      <alignment horizontal="center"/>
    </xf>
    <xf numFmtId="37" fontId="6" fillId="2" borderId="0" xfId="4" applyFont="1" applyFill="1" applyBorder="1"/>
    <xf numFmtId="0" fontId="5" fillId="2" borderId="0" xfId="0" applyFont="1" applyFill="1" applyBorder="1" applyAlignment="1">
      <alignment horizontal="right"/>
    </xf>
    <xf numFmtId="41" fontId="8" fillId="2" borderId="0" xfId="0" applyNumberFormat="1" applyFont="1" applyFill="1" applyBorder="1" applyProtection="1">
      <protection locked="0"/>
    </xf>
    <xf numFmtId="0" fontId="5" fillId="2" borderId="0" xfId="0" applyFont="1" applyFill="1" applyBorder="1" applyAlignment="1">
      <alignment horizontal="center" vertical="center"/>
    </xf>
    <xf numFmtId="41" fontId="5" fillId="2" borderId="0" xfId="0" applyNumberFormat="1" applyFont="1" applyFill="1" applyBorder="1" applyAlignment="1">
      <alignment horizontal="center"/>
    </xf>
    <xf numFmtId="0" fontId="5" fillId="2" borderId="0" xfId="0" applyFont="1" applyFill="1" applyBorder="1"/>
    <xf numFmtId="172" fontId="5" fillId="2" borderId="0" xfId="0" applyNumberFormat="1" applyFont="1" applyFill="1" applyBorder="1"/>
    <xf numFmtId="168" fontId="5" fillId="2" borderId="0" xfId="1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9" fontId="5" fillId="2" borderId="0" xfId="3" applyFont="1" applyFill="1" applyBorder="1" applyAlignment="1">
      <alignment horizontal="left"/>
    </xf>
    <xf numFmtId="9" fontId="5" fillId="2" borderId="0" xfId="3" applyFont="1" applyFill="1" applyBorder="1" applyAlignment="1">
      <alignment horizontal="center"/>
    </xf>
    <xf numFmtId="168" fontId="5" fillId="2" borderId="0" xfId="0" applyNumberFormat="1" applyFont="1" applyFill="1" applyBorder="1"/>
    <xf numFmtId="168" fontId="4" fillId="2" borderId="0" xfId="0" applyNumberFormat="1" applyFont="1" applyFill="1" applyBorder="1"/>
    <xf numFmtId="168" fontId="5" fillId="2" borderId="0" xfId="3" applyNumberFormat="1" applyFont="1" applyFill="1" applyBorder="1"/>
    <xf numFmtId="0" fontId="5" fillId="0" borderId="0" xfId="0" applyFont="1" applyBorder="1" applyAlignment="1">
      <alignment vertical="center"/>
    </xf>
    <xf numFmtId="0" fontId="4" fillId="0" borderId="0" xfId="0" applyFont="1" applyBorder="1"/>
    <xf numFmtId="49" fontId="9" fillId="2" borderId="0" xfId="0" applyNumberFormat="1" applyFont="1" applyFill="1" applyBorder="1" applyAlignment="1">
      <alignment horizontal="left"/>
    </xf>
    <xf numFmtId="41" fontId="10" fillId="2" borderId="0" xfId="0" applyNumberFormat="1" applyFont="1" applyFill="1" applyBorder="1" applyAlignment="1">
      <alignment horizontal="right"/>
    </xf>
    <xf numFmtId="172" fontId="5" fillId="2" borderId="0" xfId="1" applyNumberFormat="1" applyFont="1" applyFill="1" applyBorder="1" applyAlignment="1" applyProtection="1">
      <alignment horizontal="right"/>
      <protection locked="0"/>
    </xf>
    <xf numFmtId="49" fontId="5" fillId="2" borderId="0" xfId="0" applyNumberFormat="1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indent="2"/>
    </xf>
    <xf numFmtId="0" fontId="4" fillId="2" borderId="0" xfId="0" applyFont="1" applyFill="1" applyBorder="1" applyAlignment="1">
      <alignment horizontal="left"/>
    </xf>
    <xf numFmtId="49" fontId="5" fillId="2" borderId="0" xfId="0" applyNumberFormat="1" applyFont="1" applyFill="1" applyBorder="1" applyAlignment="1">
      <alignment horizontal="left" vertical="center"/>
    </xf>
    <xf numFmtId="172" fontId="5" fillId="2" borderId="1" xfId="1" applyNumberFormat="1" applyFont="1" applyFill="1" applyBorder="1" applyAlignment="1" applyProtection="1">
      <alignment horizontal="right"/>
      <protection locked="0"/>
    </xf>
    <xf numFmtId="10" fontId="5" fillId="2" borderId="0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4" fontId="7" fillId="3" borderId="13" xfId="0" quotePrefix="1" applyNumberFormat="1" applyFont="1" applyFill="1" applyBorder="1" applyAlignment="1">
      <alignment horizontal="center" vertical="center"/>
    </xf>
    <xf numFmtId="164" fontId="7" fillId="3" borderId="14" xfId="0" quotePrefix="1" applyNumberFormat="1" applyFont="1" applyFill="1" applyBorder="1" applyAlignment="1">
      <alignment horizontal="center" vertical="center"/>
    </xf>
    <xf numFmtId="164" fontId="7" fillId="3" borderId="0" xfId="0" quotePrefix="1" applyNumberFormat="1" applyFont="1" applyFill="1" applyBorder="1" applyAlignment="1">
      <alignment horizontal="center" vertical="center"/>
    </xf>
    <xf numFmtId="165" fontId="7" fillId="3" borderId="14" xfId="0" applyNumberFormat="1" applyFont="1" applyFill="1" applyBorder="1" applyAlignment="1">
      <alignment horizontal="center" vertical="center"/>
    </xf>
    <xf numFmtId="165" fontId="7" fillId="3" borderId="15" xfId="0" applyNumberFormat="1" applyFont="1" applyFill="1" applyBorder="1" applyAlignment="1">
      <alignment horizontal="center" vertical="center"/>
    </xf>
    <xf numFmtId="164" fontId="7" fillId="3" borderId="16" xfId="0" quotePrefix="1" applyNumberFormat="1" applyFont="1" applyFill="1" applyBorder="1" applyAlignment="1">
      <alignment horizontal="center" vertical="center"/>
    </xf>
    <xf numFmtId="166" fontId="7" fillId="3" borderId="0" xfId="0" applyNumberFormat="1" applyFont="1" applyFill="1" applyBorder="1" applyAlignment="1">
      <alignment horizontal="center" vertical="center"/>
    </xf>
    <xf numFmtId="167" fontId="7" fillId="3" borderId="18" xfId="0" applyNumberFormat="1" applyFont="1" applyFill="1" applyBorder="1" applyAlignment="1">
      <alignment horizontal="center" vertical="center"/>
    </xf>
    <xf numFmtId="167" fontId="7" fillId="3" borderId="1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5" fillId="2" borderId="16" xfId="0" applyFont="1" applyFill="1" applyBorder="1"/>
    <xf numFmtId="168" fontId="5" fillId="2" borderId="10" xfId="1" applyNumberFormat="1" applyFont="1" applyFill="1" applyBorder="1"/>
    <xf numFmtId="168" fontId="5" fillId="2" borderId="3" xfId="1" applyNumberFormat="1" applyFont="1" applyFill="1" applyBorder="1"/>
    <xf numFmtId="43" fontId="5" fillId="2" borderId="0" xfId="1" applyFont="1" applyFill="1" applyBorder="1"/>
    <xf numFmtId="43" fontId="5" fillId="2" borderId="0" xfId="1" applyNumberFormat="1" applyFont="1" applyFill="1" applyBorder="1"/>
    <xf numFmtId="175" fontId="5" fillId="2" borderId="0" xfId="1" applyNumberFormat="1" applyFont="1" applyFill="1" applyBorder="1"/>
    <xf numFmtId="168" fontId="5" fillId="2" borderId="17" xfId="1" applyNumberFormat="1" applyFont="1" applyFill="1" applyBorder="1"/>
    <xf numFmtId="0" fontId="5" fillId="2" borderId="16" xfId="0" applyFont="1" applyFill="1" applyBorder="1" applyAlignment="1">
      <alignment horizontal="left" indent="3"/>
    </xf>
    <xf numFmtId="0" fontId="5" fillId="2" borderId="16" xfId="0" applyFont="1" applyFill="1" applyBorder="1" applyAlignment="1">
      <alignment horizontal="left" indent="5"/>
    </xf>
    <xf numFmtId="168" fontId="5" fillId="5" borderId="16" xfId="1" applyNumberFormat="1" applyFont="1" applyFill="1" applyBorder="1"/>
    <xf numFmtId="168" fontId="5" fillId="5" borderId="0" xfId="1" applyNumberFormat="1" applyFont="1" applyFill="1" applyBorder="1"/>
    <xf numFmtId="0" fontId="5" fillId="2" borderId="18" xfId="0" applyFont="1" applyFill="1" applyBorder="1" applyAlignment="1">
      <alignment horizontal="left" indent="1"/>
    </xf>
    <xf numFmtId="0" fontId="5" fillId="2" borderId="1" xfId="0" applyFont="1" applyFill="1" applyBorder="1"/>
    <xf numFmtId="0" fontId="5" fillId="2" borderId="18" xfId="0" applyFont="1" applyFill="1" applyBorder="1"/>
    <xf numFmtId="168" fontId="5" fillId="2" borderId="1" xfId="1" applyNumberFormat="1" applyFont="1" applyFill="1" applyBorder="1"/>
    <xf numFmtId="0" fontId="6" fillId="2" borderId="16" xfId="0" applyFont="1" applyFill="1" applyBorder="1"/>
    <xf numFmtId="0" fontId="6" fillId="2" borderId="0" xfId="0" applyFont="1" applyFill="1" applyBorder="1"/>
    <xf numFmtId="168" fontId="6" fillId="2" borderId="0" xfId="1" applyNumberFormat="1" applyFont="1" applyFill="1" applyBorder="1"/>
    <xf numFmtId="0" fontId="6" fillId="5" borderId="16" xfId="0" applyFont="1" applyFill="1" applyBorder="1" applyAlignment="1">
      <alignment horizontal="left" indent="1"/>
    </xf>
    <xf numFmtId="0" fontId="6" fillId="5" borderId="0" xfId="0" applyFont="1" applyFill="1" applyBorder="1" applyAlignment="1">
      <alignment horizontal="left" indent="1"/>
    </xf>
    <xf numFmtId="168" fontId="6" fillId="2" borderId="16" xfId="1" applyNumberFormat="1" applyFont="1" applyFill="1" applyBorder="1"/>
    <xf numFmtId="168" fontId="5" fillId="2" borderId="16" xfId="1" applyNumberFormat="1" applyFont="1" applyFill="1" applyBorder="1"/>
    <xf numFmtId="168" fontId="5" fillId="2" borderId="3" xfId="1" applyNumberFormat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6" fillId="6" borderId="20" xfId="0" applyFont="1" applyFill="1" applyBorder="1"/>
    <xf numFmtId="10" fontId="6" fillId="6" borderId="7" xfId="0" applyNumberFormat="1" applyFont="1" applyFill="1" applyBorder="1"/>
    <xf numFmtId="0" fontId="6" fillId="6" borderId="16" xfId="0" applyFont="1" applyFill="1" applyBorder="1"/>
    <xf numFmtId="169" fontId="6" fillId="6" borderId="0" xfId="0" applyNumberFormat="1" applyFont="1" applyFill="1" applyBorder="1"/>
    <xf numFmtId="0" fontId="4" fillId="2" borderId="16" xfId="0" applyFont="1" applyFill="1" applyBorder="1"/>
    <xf numFmtId="169" fontId="6" fillId="2" borderId="0" xfId="0" applyNumberFormat="1" applyFont="1" applyFill="1" applyBorder="1"/>
    <xf numFmtId="0" fontId="6" fillId="2" borderId="16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indent="1"/>
    </xf>
    <xf numFmtId="0" fontId="11" fillId="2" borderId="1" xfId="0" applyFont="1" applyFill="1" applyBorder="1" applyAlignment="1">
      <alignment horizontal="left" indent="1"/>
    </xf>
    <xf numFmtId="0" fontId="6" fillId="2" borderId="20" xfId="0" applyFont="1" applyFill="1" applyBorder="1"/>
    <xf numFmtId="10" fontId="6" fillId="2" borderId="7" xfId="0" applyNumberFormat="1" applyFont="1" applyFill="1" applyBorder="1"/>
    <xf numFmtId="0" fontId="6" fillId="2" borderId="21" xfId="0" applyFont="1" applyFill="1" applyBorder="1"/>
    <xf numFmtId="169" fontId="6" fillId="2" borderId="22" xfId="0" applyNumberFormat="1" applyFont="1" applyFill="1" applyBorder="1"/>
    <xf numFmtId="168" fontId="5" fillId="2" borderId="16" xfId="1" applyNumberFormat="1" applyFont="1" applyFill="1" applyBorder="1" applyAlignment="1">
      <alignment horizontal="left" indent="1"/>
    </xf>
    <xf numFmtId="168" fontId="4" fillId="2" borderId="0" xfId="1" applyNumberFormat="1" applyFont="1" applyFill="1"/>
    <xf numFmtId="172" fontId="5" fillId="2" borderId="0" xfId="0" applyNumberFormat="1" applyFont="1" applyFill="1"/>
    <xf numFmtId="9" fontId="5" fillId="9" borderId="1" xfId="3" applyFont="1" applyFill="1" applyBorder="1"/>
    <xf numFmtId="0" fontId="5" fillId="2" borderId="1" xfId="0" applyFont="1" applyFill="1" applyBorder="1" applyAlignment="1">
      <alignment horizontal="center"/>
    </xf>
    <xf numFmtId="172" fontId="5" fillId="2" borderId="0" xfId="2" applyNumberFormat="1" applyFont="1" applyFill="1"/>
    <xf numFmtId="172" fontId="5" fillId="2" borderId="1" xfId="0" applyNumberFormat="1" applyFont="1" applyFill="1" applyBorder="1"/>
    <xf numFmtId="172" fontId="5" fillId="2" borderId="0" xfId="2" applyNumberFormat="1" applyFont="1" applyFill="1" applyBorder="1"/>
    <xf numFmtId="172" fontId="5" fillId="2" borderId="1" xfId="2" applyNumberFormat="1" applyFont="1" applyFill="1" applyBorder="1"/>
    <xf numFmtId="168" fontId="7" fillId="4" borderId="10" xfId="1" applyNumberFormat="1" applyFont="1" applyFill="1" applyBorder="1" applyAlignment="1">
      <alignment horizontal="center"/>
    </xf>
    <xf numFmtId="168" fontId="7" fillId="4" borderId="3" xfId="1" applyNumberFormat="1" applyFont="1" applyFill="1" applyBorder="1" applyAlignment="1">
      <alignment horizontal="center"/>
    </xf>
    <xf numFmtId="168" fontId="7" fillId="4" borderId="0" xfId="1" applyNumberFormat="1" applyFont="1" applyFill="1" applyBorder="1" applyAlignment="1">
      <alignment horizontal="center"/>
    </xf>
    <xf numFmtId="168" fontId="7" fillId="4" borderId="17" xfId="1" applyNumberFormat="1" applyFont="1" applyFill="1" applyBorder="1" applyAlignment="1">
      <alignment horizontal="center"/>
    </xf>
    <xf numFmtId="168" fontId="5" fillId="2" borderId="10" xfId="1" applyNumberFormat="1" applyFont="1" applyFill="1" applyBorder="1" applyAlignment="1">
      <alignment horizontal="center"/>
    </xf>
    <xf numFmtId="168" fontId="5" fillId="2" borderId="26" xfId="1" applyNumberFormat="1" applyFont="1" applyFill="1" applyBorder="1" applyAlignment="1">
      <alignment horizontal="center"/>
    </xf>
    <xf numFmtId="168" fontId="5" fillId="2" borderId="3" xfId="1" applyNumberFormat="1" applyFont="1" applyFill="1" applyBorder="1" applyAlignment="1">
      <alignment horizontal="center"/>
    </xf>
    <xf numFmtId="168" fontId="5" fillId="2" borderId="17" xfId="1" applyNumberFormat="1" applyFont="1" applyFill="1" applyBorder="1" applyAlignment="1">
      <alignment horizontal="center"/>
    </xf>
    <xf numFmtId="168" fontId="5" fillId="2" borderId="25" xfId="1" applyNumberFormat="1" applyFont="1" applyFill="1" applyBorder="1" applyAlignment="1">
      <alignment horizontal="center"/>
    </xf>
    <xf numFmtId="168" fontId="4" fillId="0" borderId="26" xfId="1" applyNumberFormat="1" applyFont="1" applyBorder="1" applyAlignment="1">
      <alignment horizontal="center"/>
    </xf>
    <xf numFmtId="168" fontId="5" fillId="5" borderId="10" xfId="1" applyNumberFormat="1" applyFont="1" applyFill="1" applyBorder="1" applyAlignment="1">
      <alignment horizontal="center"/>
    </xf>
    <xf numFmtId="168" fontId="5" fillId="5" borderId="3" xfId="1" applyNumberFormat="1" applyFont="1" applyFill="1" applyBorder="1" applyAlignment="1">
      <alignment horizontal="center"/>
    </xf>
    <xf numFmtId="168" fontId="5" fillId="5" borderId="0" xfId="1" applyNumberFormat="1" applyFont="1" applyFill="1" applyBorder="1" applyAlignment="1">
      <alignment horizontal="center"/>
    </xf>
    <xf numFmtId="168" fontId="5" fillId="5" borderId="17" xfId="1" applyNumberFormat="1" applyFont="1" applyFill="1" applyBorder="1" applyAlignment="1">
      <alignment horizontal="center"/>
    </xf>
    <xf numFmtId="168" fontId="6" fillId="2" borderId="3" xfId="1" applyNumberFormat="1" applyFont="1" applyFill="1" applyBorder="1" applyAlignment="1">
      <alignment horizontal="center"/>
    </xf>
    <xf numFmtId="168" fontId="5" fillId="2" borderId="11" xfId="1" applyNumberFormat="1" applyFont="1" applyFill="1" applyBorder="1" applyAlignment="1">
      <alignment horizontal="center"/>
    </xf>
    <xf numFmtId="168" fontId="6" fillId="2" borderId="4" xfId="1" applyNumberFormat="1" applyFont="1" applyFill="1" applyBorder="1" applyAlignment="1">
      <alignment horizontal="center"/>
    </xf>
    <xf numFmtId="168" fontId="5" fillId="2" borderId="1" xfId="1" applyNumberFormat="1" applyFont="1" applyFill="1" applyBorder="1" applyAlignment="1">
      <alignment horizontal="center"/>
    </xf>
    <xf numFmtId="168" fontId="5" fillId="2" borderId="19" xfId="1" applyNumberFormat="1" applyFont="1" applyFill="1" applyBorder="1" applyAlignment="1">
      <alignment horizontal="center"/>
    </xf>
    <xf numFmtId="168" fontId="5" fillId="2" borderId="27" xfId="1" applyNumberFormat="1" applyFont="1" applyFill="1" applyBorder="1" applyAlignment="1">
      <alignment horizontal="center"/>
    </xf>
    <xf numFmtId="168" fontId="6" fillId="2" borderId="0" xfId="1" applyNumberFormat="1" applyFont="1" applyFill="1" applyBorder="1" applyAlignment="1">
      <alignment horizontal="center"/>
    </xf>
    <xf numFmtId="168" fontId="6" fillId="2" borderId="17" xfId="1" applyNumberFormat="1" applyFont="1" applyFill="1" applyBorder="1" applyAlignment="1">
      <alignment horizontal="center"/>
    </xf>
    <xf numFmtId="168" fontId="5" fillId="5" borderId="26" xfId="1" applyNumberFormat="1" applyFont="1" applyFill="1" applyBorder="1" applyAlignment="1">
      <alignment horizontal="center"/>
    </xf>
    <xf numFmtId="168" fontId="5" fillId="2" borderId="12" xfId="1" applyNumberFormat="1" applyFont="1" applyFill="1" applyBorder="1" applyAlignment="1">
      <alignment horizontal="center"/>
    </xf>
    <xf numFmtId="168" fontId="5" fillId="2" borderId="23" xfId="1" applyNumberFormat="1" applyFont="1" applyFill="1" applyBorder="1" applyAlignment="1">
      <alignment horizontal="center"/>
    </xf>
    <xf numFmtId="168" fontId="5" fillId="2" borderId="22" xfId="1" applyNumberFormat="1" applyFont="1" applyFill="1" applyBorder="1" applyAlignment="1">
      <alignment horizontal="center"/>
    </xf>
    <xf numFmtId="168" fontId="5" fillId="2" borderId="24" xfId="1" applyNumberFormat="1" applyFont="1" applyFill="1" applyBorder="1" applyAlignment="1">
      <alignment horizontal="center"/>
    </xf>
    <xf numFmtId="166" fontId="7" fillId="3" borderId="17" xfId="0" applyNumberFormat="1" applyFont="1" applyFill="1" applyBorder="1" applyAlignment="1">
      <alignment horizontal="center" vertical="center"/>
    </xf>
    <xf numFmtId="167" fontId="7" fillId="3" borderId="19" xfId="0" applyNumberFormat="1" applyFont="1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center"/>
    </xf>
    <xf numFmtId="164" fontId="7" fillId="2" borderId="13" xfId="0" quotePrefix="1" applyNumberFormat="1" applyFont="1" applyFill="1" applyBorder="1" applyAlignment="1">
      <alignment horizontal="center" vertical="center"/>
    </xf>
    <xf numFmtId="164" fontId="7" fillId="2" borderId="16" xfId="0" quotePrefix="1" applyNumberFormat="1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/>
    </xf>
    <xf numFmtId="0" fontId="3" fillId="2" borderId="0" xfId="0" applyFont="1" applyFill="1"/>
    <xf numFmtId="168" fontId="5" fillId="2" borderId="3" xfId="1" applyNumberFormat="1" applyFont="1" applyFill="1" applyBorder="1" applyAlignment="1" applyProtection="1">
      <alignment horizontal="right"/>
      <protection locked="0"/>
    </xf>
    <xf numFmtId="0" fontId="3" fillId="2" borderId="0" xfId="0" applyFont="1" applyFill="1" applyBorder="1"/>
    <xf numFmtId="0" fontId="7" fillId="7" borderId="29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Continuous" vertical="center"/>
    </xf>
    <xf numFmtId="0" fontId="7" fillId="7" borderId="30" xfId="0" applyFont="1" applyFill="1" applyBorder="1" applyAlignment="1">
      <alignment horizontal="centerContinuous" vertical="center"/>
    </xf>
    <xf numFmtId="0" fontId="7" fillId="7" borderId="31" xfId="0" applyFont="1" applyFill="1" applyBorder="1" applyAlignment="1">
      <alignment horizontal="centerContinuous" vertical="center"/>
    </xf>
    <xf numFmtId="0" fontId="3" fillId="7" borderId="31" xfId="0" applyFont="1" applyFill="1" applyBorder="1" applyAlignment="1">
      <alignment horizontal="centerContinuous" vertical="center"/>
    </xf>
    <xf numFmtId="164" fontId="7" fillId="3" borderId="5" xfId="0" quotePrefix="1" applyNumberFormat="1" applyFont="1" applyFill="1" applyBorder="1" applyAlignment="1">
      <alignment horizontal="center" vertical="center"/>
    </xf>
    <xf numFmtId="164" fontId="7" fillId="3" borderId="7" xfId="0" quotePrefix="1" applyNumberFormat="1" applyFont="1" applyFill="1" applyBorder="1" applyAlignment="1">
      <alignment horizontal="center" vertical="center"/>
    </xf>
    <xf numFmtId="165" fontId="7" fillId="3" borderId="7" xfId="0" applyNumberFormat="1" applyFont="1" applyFill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164" fontId="7" fillId="3" borderId="25" xfId="0" quotePrefix="1" applyNumberFormat="1" applyFont="1" applyFill="1" applyBorder="1" applyAlignment="1">
      <alignment horizontal="center" vertical="center"/>
    </xf>
    <xf numFmtId="166" fontId="7" fillId="3" borderId="3" xfId="0" applyNumberFormat="1" applyFont="1" applyFill="1" applyBorder="1" applyAlignment="1">
      <alignment horizontal="center" vertical="center"/>
    </xf>
    <xf numFmtId="167" fontId="7" fillId="3" borderId="25" xfId="0" applyNumberFormat="1" applyFont="1" applyFill="1" applyBorder="1" applyAlignment="1">
      <alignment horizontal="center" vertical="center"/>
    </xf>
    <xf numFmtId="167" fontId="7" fillId="3" borderId="3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168" fontId="5" fillId="10" borderId="7" xfId="1" applyNumberFormat="1" applyFont="1" applyFill="1" applyBorder="1" applyAlignment="1">
      <alignment horizontal="center"/>
    </xf>
    <xf numFmtId="168" fontId="5" fillId="10" borderId="2" xfId="1" applyNumberFormat="1" applyFont="1" applyFill="1" applyBorder="1" applyAlignment="1">
      <alignment horizontal="center"/>
    </xf>
    <xf numFmtId="168" fontId="5" fillId="10" borderId="0" xfId="0" applyNumberFormat="1" applyFont="1" applyFill="1" applyBorder="1" applyAlignment="1">
      <alignment horizontal="center"/>
    </xf>
    <xf numFmtId="167" fontId="7" fillId="3" borderId="29" xfId="0" applyNumberFormat="1" applyFont="1" applyFill="1" applyBorder="1" applyAlignment="1">
      <alignment horizontal="center" vertical="center"/>
    </xf>
    <xf numFmtId="167" fontId="7" fillId="3" borderId="28" xfId="0" applyNumberFormat="1" applyFont="1" applyFill="1" applyBorder="1" applyAlignment="1">
      <alignment horizontal="center" vertical="center"/>
    </xf>
    <xf numFmtId="168" fontId="5" fillId="10" borderId="1" xfId="0" applyNumberFormat="1" applyFont="1" applyFill="1" applyBorder="1" applyAlignment="1">
      <alignment horizontal="center"/>
    </xf>
    <xf numFmtId="168" fontId="5" fillId="10" borderId="3" xfId="0" applyNumberFormat="1" applyFont="1" applyFill="1" applyBorder="1" applyAlignment="1">
      <alignment horizontal="center"/>
    </xf>
    <xf numFmtId="168" fontId="5" fillId="10" borderId="4" xfId="0" applyNumberFormat="1" applyFont="1" applyFill="1" applyBorder="1" applyAlignment="1">
      <alignment horizontal="center"/>
    </xf>
    <xf numFmtId="9" fontId="5" fillId="2" borderId="0" xfId="3" applyFont="1" applyFill="1"/>
    <xf numFmtId="171" fontId="5" fillId="2" borderId="0" xfId="3" applyNumberFormat="1" applyFont="1" applyFill="1"/>
    <xf numFmtId="14" fontId="7" fillId="3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167" fontId="7" fillId="3" borderId="32" xfId="0" applyNumberFormat="1" applyFont="1" applyFill="1" applyBorder="1" applyAlignment="1">
      <alignment horizontal="center" vertical="center"/>
    </xf>
    <xf numFmtId="167" fontId="7" fillId="3" borderId="33" xfId="0" applyNumberFormat="1" applyFont="1" applyFill="1" applyBorder="1" applyAlignment="1">
      <alignment horizontal="center" vertical="center"/>
    </xf>
    <xf numFmtId="167" fontId="7" fillId="3" borderId="34" xfId="0" applyNumberFormat="1" applyFont="1" applyFill="1" applyBorder="1" applyAlignment="1">
      <alignment horizontal="center" vertical="center"/>
    </xf>
    <xf numFmtId="164" fontId="7" fillId="3" borderId="2" xfId="0" quotePrefix="1" applyNumberFormat="1" applyFont="1" applyFill="1" applyBorder="1" applyAlignment="1">
      <alignment horizontal="center" vertical="center"/>
    </xf>
    <xf numFmtId="164" fontId="7" fillId="3" borderId="3" xfId="0" quotePrefix="1" applyNumberFormat="1" applyFont="1" applyFill="1" applyBorder="1" applyAlignment="1">
      <alignment horizontal="center" vertical="center"/>
    </xf>
    <xf numFmtId="168" fontId="5" fillId="10" borderId="2" xfId="0" applyNumberFormat="1" applyFont="1" applyFill="1" applyBorder="1" applyAlignment="1">
      <alignment horizontal="center"/>
    </xf>
    <xf numFmtId="168" fontId="5" fillId="10" borderId="33" xfId="0" applyNumberFormat="1" applyFont="1" applyFill="1" applyBorder="1" applyAlignment="1">
      <alignment horizontal="center"/>
    </xf>
    <xf numFmtId="0" fontId="4" fillId="2" borderId="4" xfId="0" applyFont="1" applyFill="1" applyBorder="1"/>
    <xf numFmtId="0" fontId="12" fillId="2" borderId="3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9" fontId="12" fillId="2" borderId="3" xfId="0" applyNumberFormat="1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9" fontId="14" fillId="2" borderId="31" xfId="0" applyNumberFormat="1" applyFont="1" applyFill="1" applyBorder="1" applyAlignment="1">
      <alignment horizontal="center"/>
    </xf>
    <xf numFmtId="0" fontId="12" fillId="2" borderId="32" xfId="0" applyFont="1" applyFill="1" applyBorder="1" applyAlignment="1">
      <alignment horizontal="right"/>
    </xf>
    <xf numFmtId="0" fontId="12" fillId="2" borderId="0" xfId="0" applyFont="1" applyFill="1"/>
    <xf numFmtId="168" fontId="12" fillId="2" borderId="3" xfId="0" applyNumberFormat="1" applyFont="1" applyFill="1" applyBorder="1"/>
    <xf numFmtId="168" fontId="12" fillId="2" borderId="0" xfId="0" applyNumberFormat="1" applyFont="1" applyFill="1"/>
    <xf numFmtId="0" fontId="12" fillId="2" borderId="34" xfId="0" applyFont="1" applyFill="1" applyBorder="1" applyAlignment="1">
      <alignment horizontal="right"/>
    </xf>
    <xf numFmtId="168" fontId="12" fillId="2" borderId="0" xfId="1" applyNumberFormat="1" applyFont="1" applyFill="1"/>
    <xf numFmtId="0" fontId="12" fillId="2" borderId="8" xfId="0" applyFont="1" applyFill="1" applyBorder="1"/>
    <xf numFmtId="168" fontId="12" fillId="2" borderId="4" xfId="0" applyNumberFormat="1" applyFont="1" applyFill="1" applyBorder="1"/>
    <xf numFmtId="168" fontId="12" fillId="2" borderId="1" xfId="0" applyNumberFormat="1" applyFont="1" applyFill="1" applyBorder="1"/>
    <xf numFmtId="0" fontId="14" fillId="2" borderId="28" xfId="0" applyFont="1" applyFill="1" applyBorder="1" applyAlignment="1">
      <alignment horizontal="right"/>
    </xf>
    <xf numFmtId="10" fontId="14" fillId="2" borderId="8" xfId="0" applyNumberFormat="1" applyFont="1" applyFill="1" applyBorder="1"/>
    <xf numFmtId="0" fontId="12" fillId="2" borderId="0" xfId="0" applyFont="1" applyFill="1" applyBorder="1"/>
    <xf numFmtId="0" fontId="14" fillId="2" borderId="0" xfId="0" applyFont="1" applyFill="1"/>
    <xf numFmtId="0" fontId="12" fillId="2" borderId="3" xfId="0" applyFont="1" applyFill="1" applyBorder="1"/>
    <xf numFmtId="0" fontId="14" fillId="2" borderId="8" xfId="0" applyFont="1" applyFill="1" applyBorder="1"/>
    <xf numFmtId="168" fontId="12" fillId="2" borderId="1" xfId="1" applyNumberFormat="1" applyFont="1" applyFill="1" applyBorder="1"/>
    <xf numFmtId="0" fontId="14" fillId="2" borderId="2" xfId="0" applyFont="1" applyFill="1" applyBorder="1" applyAlignment="1">
      <alignment horizontal="right"/>
    </xf>
    <xf numFmtId="10" fontId="14" fillId="2" borderId="0" xfId="0" applyNumberFormat="1" applyFont="1" applyFill="1" applyBorder="1"/>
    <xf numFmtId="168" fontId="12" fillId="2" borderId="0" xfId="0" applyNumberFormat="1" applyFont="1" applyFill="1" applyBorder="1"/>
    <xf numFmtId="0" fontId="14" fillId="2" borderId="3" xfId="0" applyFont="1" applyFill="1" applyBorder="1" applyAlignment="1">
      <alignment horizontal="right"/>
    </xf>
    <xf numFmtId="10" fontId="12" fillId="2" borderId="0" xfId="0" applyNumberFormat="1" applyFont="1" applyFill="1" applyBorder="1"/>
    <xf numFmtId="0" fontId="12" fillId="2" borderId="4" xfId="0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33" xfId="0" applyFont="1" applyFill="1" applyBorder="1" applyAlignment="1">
      <alignment horizontal="right"/>
    </xf>
    <xf numFmtId="0" fontId="12" fillId="2" borderId="4" xfId="0" applyFont="1" applyFill="1" applyBorder="1"/>
    <xf numFmtId="0" fontId="14" fillId="2" borderId="33" xfId="0" applyFont="1" applyFill="1" applyBorder="1" applyAlignment="1">
      <alignment horizontal="right"/>
    </xf>
    <xf numFmtId="0" fontId="12" fillId="11" borderId="34" xfId="0" applyFont="1" applyFill="1" applyBorder="1" applyAlignment="1">
      <alignment horizontal="right"/>
    </xf>
    <xf numFmtId="0" fontId="12" fillId="11" borderId="33" xfId="0" applyFont="1" applyFill="1" applyBorder="1" applyAlignment="1">
      <alignment horizontal="right"/>
    </xf>
    <xf numFmtId="0" fontId="14" fillId="11" borderId="33" xfId="0" applyFont="1" applyFill="1" applyBorder="1" applyAlignment="1">
      <alignment horizontal="right"/>
    </xf>
    <xf numFmtId="0" fontId="12" fillId="0" borderId="1" xfId="0" applyFont="1" applyBorder="1"/>
    <xf numFmtId="173" fontId="14" fillId="2" borderId="3" xfId="3" applyNumberFormat="1" applyFont="1" applyFill="1" applyBorder="1" applyAlignment="1">
      <alignment horizontal="center"/>
    </xf>
    <xf numFmtId="174" fontId="14" fillId="2" borderId="4" xfId="0" applyNumberFormat="1" applyFont="1" applyFill="1" applyBorder="1" applyAlignment="1">
      <alignment horizontal="center"/>
    </xf>
    <xf numFmtId="0" fontId="12" fillId="0" borderId="0" xfId="0" applyFont="1"/>
    <xf numFmtId="0" fontId="14" fillId="11" borderId="28" xfId="0" applyFont="1" applyFill="1" applyBorder="1" applyAlignment="1">
      <alignment horizontal="right"/>
    </xf>
    <xf numFmtId="0" fontId="12" fillId="11" borderId="32" xfId="0" applyFont="1" applyFill="1" applyBorder="1" applyAlignment="1">
      <alignment horizontal="right"/>
    </xf>
    <xf numFmtId="172" fontId="12" fillId="2" borderId="3" xfId="0" applyNumberFormat="1" applyFont="1" applyFill="1" applyBorder="1"/>
    <xf numFmtId="172" fontId="14" fillId="0" borderId="31" xfId="0" applyNumberFormat="1" applyFont="1" applyBorder="1"/>
    <xf numFmtId="168" fontId="4" fillId="2" borderId="1" xfId="0" applyNumberFormat="1" applyFont="1" applyFill="1" applyBorder="1"/>
    <xf numFmtId="9" fontId="5" fillId="2" borderId="16" xfId="3" applyFont="1" applyFill="1" applyBorder="1" applyAlignment="1">
      <alignment horizontal="left" indent="3"/>
    </xf>
    <xf numFmtId="9" fontId="5" fillId="2" borderId="16" xfId="3" applyFont="1" applyFill="1" applyBorder="1"/>
    <xf numFmtId="9" fontId="6" fillId="2" borderId="0" xfId="3" applyFont="1" applyFill="1" applyBorder="1"/>
    <xf numFmtId="9" fontId="5" fillId="2" borderId="10" xfId="3" applyFont="1" applyFill="1" applyBorder="1" applyAlignment="1">
      <alignment horizontal="center"/>
    </xf>
    <xf numFmtId="9" fontId="5" fillId="2" borderId="3" xfId="3" applyFont="1" applyFill="1" applyBorder="1" applyAlignment="1">
      <alignment horizontal="center" vertical="center"/>
    </xf>
    <xf numFmtId="9" fontId="6" fillId="2" borderId="0" xfId="3" applyFont="1" applyFill="1" applyBorder="1" applyAlignment="1">
      <alignment horizontal="center"/>
    </xf>
    <xf numFmtId="9" fontId="6" fillId="2" borderId="17" xfId="3" applyFont="1" applyFill="1" applyBorder="1" applyAlignment="1">
      <alignment horizontal="center"/>
    </xf>
    <xf numFmtId="9" fontId="0" fillId="2" borderId="0" xfId="3" applyFont="1" applyFill="1"/>
    <xf numFmtId="9" fontId="0" fillId="0" borderId="0" xfId="3" applyFont="1"/>
    <xf numFmtId="0" fontId="0" fillId="0" borderId="0" xfId="0" applyFont="1" applyAlignment="1">
      <alignment horizontal="left"/>
    </xf>
    <xf numFmtId="10" fontId="0" fillId="0" borderId="0" xfId="3" applyNumberFormat="1" applyFont="1"/>
    <xf numFmtId="10" fontId="5" fillId="2" borderId="16" xfId="0" applyNumberFormat="1" applyFont="1" applyFill="1" applyBorder="1" applyAlignment="1">
      <alignment horizontal="left" indent="3"/>
    </xf>
    <xf numFmtId="176" fontId="5" fillId="2" borderId="0" xfId="0" applyNumberFormat="1" applyFont="1" applyFill="1"/>
    <xf numFmtId="168" fontId="12" fillId="2" borderId="3" xfId="1" applyNumberFormat="1" applyFont="1" applyFill="1" applyBorder="1"/>
    <xf numFmtId="168" fontId="12" fillId="2" borderId="4" xfId="1" applyNumberFormat="1" applyFont="1" applyFill="1" applyBorder="1"/>
    <xf numFmtId="43" fontId="4" fillId="2" borderId="3" xfId="0" applyNumberFormat="1" applyFont="1" applyFill="1" applyBorder="1"/>
    <xf numFmtId="9" fontId="4" fillId="2" borderId="3" xfId="0" applyNumberFormat="1" applyFont="1" applyFill="1" applyBorder="1"/>
    <xf numFmtId="168" fontId="4" fillId="2" borderId="4" xfId="0" applyNumberFormat="1" applyFont="1" applyFill="1" applyBorder="1"/>
    <xf numFmtId="168" fontId="5" fillId="2" borderId="0" xfId="1" applyNumberFormat="1" applyFont="1" applyFill="1" applyBorder="1" applyAlignment="1"/>
    <xf numFmtId="43" fontId="5" fillId="8" borderId="0" xfId="1" applyFont="1" applyFill="1"/>
    <xf numFmtId="169" fontId="16" fillId="2" borderId="0" xfId="0" applyNumberFormat="1" applyFont="1" applyFill="1"/>
    <xf numFmtId="0" fontId="4" fillId="0" borderId="0" xfId="0" applyFont="1" applyAlignment="1">
      <alignment horizontal="center"/>
    </xf>
    <xf numFmtId="168" fontId="1" fillId="2" borderId="16" xfId="1" applyNumberFormat="1" applyFont="1" applyFill="1" applyBorder="1"/>
    <xf numFmtId="168" fontId="5" fillId="12" borderId="0" xfId="1" applyNumberFormat="1" applyFont="1" applyFill="1" applyBorder="1" applyAlignment="1"/>
    <xf numFmtId="9" fontId="5" fillId="12" borderId="0" xfId="3" applyFont="1" applyFill="1" applyBorder="1"/>
    <xf numFmtId="9" fontId="5" fillId="13" borderId="0" xfId="3" applyFont="1" applyFill="1" applyBorder="1"/>
    <xf numFmtId="10" fontId="5" fillId="12" borderId="0" xfId="3" applyNumberFormat="1" applyFont="1" applyFill="1" applyBorder="1" applyAlignment="1">
      <alignment horizontal="center"/>
    </xf>
    <xf numFmtId="171" fontId="5" fillId="12" borderId="0" xfId="3" applyNumberFormat="1" applyFont="1" applyFill="1"/>
    <xf numFmtId="9" fontId="5" fillId="12" borderId="0" xfId="3" applyFont="1" applyFill="1" applyBorder="1" applyAlignment="1">
      <alignment horizontal="center"/>
    </xf>
    <xf numFmtId="37" fontId="15" fillId="12" borderId="6" xfId="4" applyFont="1" applyFill="1" applyBorder="1"/>
    <xf numFmtId="37" fontId="6" fillId="12" borderId="6" xfId="4" applyFont="1" applyFill="1" applyBorder="1"/>
    <xf numFmtId="0" fontId="5" fillId="2" borderId="0" xfId="0" applyFont="1" applyFill="1" applyBorder="1" applyAlignment="1">
      <alignment horizontal="left" indent="1"/>
    </xf>
    <xf numFmtId="43" fontId="5" fillId="0" borderId="0" xfId="0" applyNumberFormat="1" applyFont="1"/>
    <xf numFmtId="0" fontId="5" fillId="2" borderId="0" xfId="0" applyFont="1" applyFill="1" applyBorder="1" applyAlignment="1">
      <alignment horizontal="left" indent="2"/>
    </xf>
    <xf numFmtId="0" fontId="5" fillId="2" borderId="1" xfId="0" applyFont="1" applyFill="1" applyBorder="1" applyAlignment="1">
      <alignment horizontal="left" indent="2"/>
    </xf>
    <xf numFmtId="9" fontId="5" fillId="2" borderId="1" xfId="0" applyNumberFormat="1" applyFont="1" applyFill="1" applyBorder="1" applyAlignment="1">
      <alignment horizontal="center"/>
    </xf>
    <xf numFmtId="172" fontId="5" fillId="0" borderId="0" xfId="0" applyNumberFormat="1" applyFont="1"/>
    <xf numFmtId="0" fontId="5" fillId="2" borderId="0" xfId="0" applyFont="1" applyFill="1" applyBorder="1" applyAlignment="1">
      <alignment horizontal="left" indent="3"/>
    </xf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Border="1"/>
    <xf numFmtId="0" fontId="5" fillId="0" borderId="0" xfId="0" applyFont="1"/>
    <xf numFmtId="168" fontId="5" fillId="12" borderId="0" xfId="1" applyNumberFormat="1" applyFont="1" applyFill="1" applyBorder="1"/>
    <xf numFmtId="176" fontId="5" fillId="12" borderId="0" xfId="1" applyNumberFormat="1" applyFont="1" applyFill="1" applyBorder="1"/>
    <xf numFmtId="0" fontId="5" fillId="2" borderId="1" xfId="0" applyFont="1" applyFill="1" applyBorder="1" applyAlignment="1">
      <alignment horizontal="left" indent="1"/>
    </xf>
    <xf numFmtId="168" fontId="5" fillId="12" borderId="1" xfId="1" applyNumberFormat="1" applyFont="1" applyFill="1" applyBorder="1"/>
    <xf numFmtId="10" fontId="5" fillId="12" borderId="1" xfId="3" applyNumberFormat="1" applyFont="1" applyFill="1" applyBorder="1"/>
    <xf numFmtId="0" fontId="5" fillId="12" borderId="0" xfId="0" applyFont="1" applyFill="1" applyBorder="1"/>
    <xf numFmtId="176" fontId="5" fillId="2" borderId="0" xfId="0" applyNumberFormat="1" applyFont="1" applyFill="1" applyBorder="1"/>
    <xf numFmtId="0" fontId="5" fillId="12" borderId="1" xfId="0" applyFont="1" applyFill="1" applyBorder="1"/>
    <xf numFmtId="176" fontId="5" fillId="2" borderId="1" xfId="0" applyNumberFormat="1" applyFont="1" applyFill="1" applyBorder="1"/>
    <xf numFmtId="43" fontId="5" fillId="2" borderId="0" xfId="0" applyNumberFormat="1" applyFont="1" applyFill="1" applyBorder="1"/>
    <xf numFmtId="172" fontId="5" fillId="12" borderId="0" xfId="1" applyNumberFormat="1" applyFont="1" applyFill="1" applyBorder="1"/>
    <xf numFmtId="172" fontId="5" fillId="2" borderId="0" xfId="1" applyNumberFormat="1" applyFont="1" applyFill="1" applyBorder="1"/>
    <xf numFmtId="172" fontId="5" fillId="2" borderId="1" xfId="1" applyNumberFormat="1" applyFont="1" applyFill="1" applyBorder="1"/>
    <xf numFmtId="168" fontId="5" fillId="2" borderId="1" xfId="0" applyNumberFormat="1" applyFont="1" applyFill="1" applyBorder="1"/>
    <xf numFmtId="0" fontId="5" fillId="2" borderId="7" xfId="0" applyFont="1" applyFill="1" applyBorder="1"/>
    <xf numFmtId="9" fontId="5" fillId="2" borderId="7" xfId="3" applyFont="1" applyFill="1" applyBorder="1"/>
    <xf numFmtId="14" fontId="5" fillId="12" borderId="0" xfId="0" applyNumberFormat="1" applyFont="1" applyFill="1" applyBorder="1" applyAlignment="1" applyProtection="1">
      <alignment horizontal="right"/>
      <protection locked="0"/>
    </xf>
    <xf numFmtId="168" fontId="5" fillId="12" borderId="0" xfId="1" applyNumberFormat="1" applyFont="1" applyFill="1" applyBorder="1" applyAlignment="1" applyProtection="1">
      <alignment horizontal="right"/>
      <protection locked="0"/>
    </xf>
    <xf numFmtId="168" fontId="5" fillId="12" borderId="0" xfId="1" applyNumberFormat="1" applyFont="1" applyFill="1" applyBorder="1" applyProtection="1">
      <protection locked="0"/>
    </xf>
    <xf numFmtId="10" fontId="5" fillId="12" borderId="0" xfId="3" applyNumberFormat="1" applyFont="1" applyFill="1" applyBorder="1"/>
    <xf numFmtId="0" fontId="5" fillId="0" borderId="1" xfId="0" applyFont="1" applyBorder="1" applyAlignment="1">
      <alignment horizontal="center"/>
    </xf>
    <xf numFmtId="177" fontId="17" fillId="2" borderId="0" xfId="0" applyNumberFormat="1" applyFont="1" applyFill="1" applyBorder="1" applyAlignment="1">
      <alignment horizontal="center"/>
    </xf>
    <xf numFmtId="172" fontId="5" fillId="12" borderId="0" xfId="2" applyNumberFormat="1" applyFont="1" applyFill="1" applyBorder="1"/>
    <xf numFmtId="177" fontId="5" fillId="2" borderId="0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0" fontId="5" fillId="2" borderId="0" xfId="3" applyNumberFormat="1" applyFont="1" applyFill="1" applyBorder="1"/>
    <xf numFmtId="172" fontId="5" fillId="12" borderId="0" xfId="0" applyNumberFormat="1" applyFont="1" applyFill="1" applyBorder="1"/>
    <xf numFmtId="10" fontId="5" fillId="12" borderId="3" xfId="3" applyNumberFormat="1" applyFont="1" applyFill="1" applyBorder="1"/>
    <xf numFmtId="168" fontId="5" fillId="12" borderId="3" xfId="1" applyNumberFormat="1" applyFont="1" applyFill="1" applyBorder="1" applyAlignment="1" applyProtection="1">
      <alignment horizontal="right"/>
      <protection locked="0"/>
    </xf>
    <xf numFmtId="10" fontId="5" fillId="12" borderId="3" xfId="3" applyNumberFormat="1" applyFont="1" applyFill="1" applyBorder="1" applyProtection="1">
      <protection locked="0"/>
    </xf>
    <xf numFmtId="10" fontId="5" fillId="12" borderId="0" xfId="3" applyNumberFormat="1" applyFont="1" applyFill="1"/>
    <xf numFmtId="170" fontId="5" fillId="12" borderId="3" xfId="0" applyNumberFormat="1" applyFont="1" applyFill="1" applyBorder="1" applyAlignment="1">
      <alignment horizontal="right"/>
    </xf>
    <xf numFmtId="174" fontId="5" fillId="2" borderId="0" xfId="3" applyNumberFormat="1" applyFont="1" applyFill="1" applyBorder="1" applyAlignment="1">
      <alignment horizontal="center"/>
    </xf>
    <xf numFmtId="173" fontId="5" fillId="2" borderId="0" xfId="3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Sheet1" xfId="4" xr:uid="{7F618BD5-1E8F-456A-87E1-4FE353CE5E9A}"/>
    <cellStyle name="Percent" xfId="3" builtinId="5"/>
  </cellStyles>
  <dxfs count="1"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0DAB-31B1-4866-8EAE-2A48E686838E}">
  <sheetPr>
    <pageSetUpPr fitToPage="1"/>
  </sheetPr>
  <dimension ref="A1:U66"/>
  <sheetViews>
    <sheetView tabSelected="1" view="pageBreakPreview" zoomScale="88" zoomScaleNormal="68" zoomScaleSheetLayoutView="85" workbookViewId="0">
      <selection sqref="A1:XFD1048576"/>
    </sheetView>
  </sheetViews>
  <sheetFormatPr baseColWidth="10" defaultColWidth="8.83203125" defaultRowHeight="15" x14ac:dyDescent="0.2"/>
  <cols>
    <col min="1" max="1" width="8.83203125" style="1" customWidth="1"/>
    <col min="2" max="2" width="23.6640625" style="1" customWidth="1"/>
    <col min="3" max="3" width="7" style="1" customWidth="1"/>
    <col min="4" max="4" width="9.83203125" style="1" bestFit="1" customWidth="1"/>
    <col min="5" max="5" width="11.33203125" style="1" bestFit="1" customWidth="1"/>
    <col min="6" max="6" width="21.83203125" style="1" bestFit="1" customWidth="1"/>
    <col min="7" max="7" width="21.6640625" style="1" bestFit="1" customWidth="1"/>
    <col min="8" max="8" width="30.83203125" style="1" bestFit="1" customWidth="1"/>
    <col min="9" max="9" width="15.33203125" style="1" customWidth="1"/>
    <col min="10" max="10" width="26.6640625" style="1" bestFit="1" customWidth="1"/>
    <col min="11" max="11" width="10.33203125" style="1" bestFit="1" customWidth="1"/>
    <col min="12" max="12" width="19.33203125" style="1" bestFit="1" customWidth="1"/>
    <col min="13" max="13" width="11.33203125" style="1" bestFit="1" customWidth="1"/>
    <col min="14" max="14" width="16.6640625" style="1" customWidth="1"/>
    <col min="15" max="15" width="14.1640625" style="1" customWidth="1"/>
    <col min="16" max="16" width="12.5" style="1" customWidth="1"/>
    <col min="17" max="17" width="9.1640625" style="1" bestFit="1" customWidth="1"/>
    <col min="18" max="16384" width="8.83203125" style="1"/>
  </cols>
  <sheetData>
    <row r="1" spans="1:21" x14ac:dyDescent="0.2">
      <c r="A1" s="2"/>
      <c r="B1" s="2"/>
      <c r="C1" s="2"/>
      <c r="D1" s="2"/>
      <c r="E1" s="2"/>
      <c r="F1" s="2"/>
      <c r="G1" s="2"/>
      <c r="H1" s="2"/>
      <c r="I1" s="2"/>
      <c r="J1" s="120"/>
      <c r="K1" s="2"/>
      <c r="L1" s="2"/>
      <c r="M1" s="2"/>
      <c r="N1" s="2"/>
      <c r="O1" s="2"/>
      <c r="P1" s="3"/>
      <c r="Q1" s="2"/>
    </row>
    <row r="2" spans="1:21" ht="18" thickBot="1" x14ac:dyDescent="0.25">
      <c r="A2" s="2"/>
      <c r="B2" s="283" t="s">
        <v>185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"/>
    </row>
    <row r="3" spans="1:21" ht="16" thickTop="1" x14ac:dyDescent="0.2">
      <c r="A3" s="2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2"/>
    </row>
    <row r="4" spans="1:21" x14ac:dyDescent="0.2">
      <c r="A4" s="2"/>
      <c r="B4" s="174" t="s">
        <v>20</v>
      </c>
      <c r="C4" s="175"/>
      <c r="D4" s="175"/>
      <c r="E4" s="175"/>
      <c r="F4" s="175"/>
      <c r="G4" s="175"/>
      <c r="H4" s="177"/>
      <c r="I4" s="53"/>
      <c r="J4" s="174" t="s">
        <v>21</v>
      </c>
      <c r="K4" s="175"/>
      <c r="L4" s="175"/>
      <c r="M4" s="175"/>
      <c r="N4" s="175"/>
      <c r="O4" s="175"/>
      <c r="P4" s="176"/>
      <c r="Q4" s="2"/>
    </row>
    <row r="5" spans="1:21" x14ac:dyDescent="0.2">
      <c r="A5" s="2"/>
      <c r="B5" s="9" t="s">
        <v>56</v>
      </c>
      <c r="C5" s="9"/>
      <c r="D5" s="9"/>
      <c r="E5" s="40"/>
      <c r="F5" s="40"/>
      <c r="G5" s="40"/>
      <c r="H5" s="311">
        <v>44561</v>
      </c>
      <c r="I5" s="44"/>
      <c r="J5" s="44" t="s">
        <v>54</v>
      </c>
      <c r="K5" s="314">
        <v>0.05</v>
      </c>
      <c r="L5" s="7"/>
      <c r="M5" s="7"/>
      <c r="N5" s="7"/>
      <c r="O5" s="7"/>
      <c r="P5" s="7"/>
      <c r="Q5" s="2"/>
    </row>
    <row r="6" spans="1:21" x14ac:dyDescent="0.2">
      <c r="A6" s="2"/>
      <c r="B6" s="9" t="s">
        <v>100</v>
      </c>
      <c r="C6" s="9"/>
      <c r="D6" s="9"/>
      <c r="E6" s="40"/>
      <c r="F6" s="40"/>
      <c r="G6" s="40"/>
      <c r="H6" s="312">
        <v>5000</v>
      </c>
      <c r="I6" s="44"/>
      <c r="J6" s="123" t="s">
        <v>74</v>
      </c>
      <c r="K6" s="315" t="s">
        <v>121</v>
      </c>
      <c r="L6" s="123" t="s">
        <v>47</v>
      </c>
      <c r="M6" s="123" t="s">
        <v>89</v>
      </c>
      <c r="N6" s="123" t="s">
        <v>96</v>
      </c>
      <c r="O6" s="123" t="s">
        <v>97</v>
      </c>
      <c r="P6" s="123" t="s">
        <v>23</v>
      </c>
    </row>
    <row r="7" spans="1:21" x14ac:dyDescent="0.2">
      <c r="A7" s="2"/>
      <c r="B7" s="35" t="s">
        <v>94</v>
      </c>
      <c r="C7" s="35"/>
      <c r="D7" s="35"/>
      <c r="E7" s="41"/>
      <c r="F7" s="41"/>
      <c r="G7" s="41"/>
      <c r="H7" s="313">
        <v>6</v>
      </c>
      <c r="I7" s="44"/>
      <c r="J7" s="47" t="s">
        <v>177</v>
      </c>
      <c r="K7" s="278">
        <v>0.65</v>
      </c>
      <c r="L7" s="316">
        <f>ROUNDUP(K7*H7,0)</f>
        <v>4</v>
      </c>
      <c r="M7" s="13">
        <f>L7*J8</f>
        <v>3000</v>
      </c>
      <c r="N7" s="7"/>
      <c r="O7" s="7"/>
      <c r="P7" s="317">
        <v>1500</v>
      </c>
    </row>
    <row r="8" spans="1:21" x14ac:dyDescent="0.2">
      <c r="A8" s="2"/>
      <c r="B8" s="54" t="s">
        <v>95</v>
      </c>
      <c r="C8" s="35"/>
      <c r="D8" s="35"/>
      <c r="E8" s="41"/>
      <c r="F8" s="41"/>
      <c r="G8" s="41"/>
      <c r="H8" s="313">
        <v>0</v>
      </c>
      <c r="I8" s="44"/>
      <c r="J8" s="277">
        <v>750</v>
      </c>
      <c r="K8" s="278">
        <v>0.6</v>
      </c>
      <c r="L8" s="318">
        <f>ROUNDUP(K8*L7,0)</f>
        <v>3</v>
      </c>
      <c r="M8" s="7"/>
      <c r="N8" s="295">
        <v>10</v>
      </c>
      <c r="O8" s="7">
        <f>$K$36*12</f>
        <v>120</v>
      </c>
      <c r="P8" s="126"/>
      <c r="Q8" s="8"/>
    </row>
    <row r="9" spans="1:21" x14ac:dyDescent="0.2">
      <c r="A9" s="2"/>
      <c r="B9" s="9" t="s">
        <v>90</v>
      </c>
      <c r="C9" s="9"/>
      <c r="D9" s="9"/>
      <c r="E9" s="40"/>
      <c r="F9" s="40"/>
      <c r="G9" s="40"/>
      <c r="H9" s="13">
        <f>H10*0.9</f>
        <v>5400</v>
      </c>
      <c r="I9" s="44"/>
      <c r="J9" s="95"/>
      <c r="K9" s="23">
        <f>1-K8</f>
        <v>0.4</v>
      </c>
      <c r="L9" s="319">
        <f>ROUNDDOWN(K9*L7,0)</f>
        <v>1</v>
      </c>
      <c r="M9" s="95"/>
      <c r="N9" s="298">
        <v>21</v>
      </c>
      <c r="O9" s="95">
        <f>$K$36*12</f>
        <v>120</v>
      </c>
      <c r="P9" s="127"/>
      <c r="Q9" s="8"/>
    </row>
    <row r="10" spans="1:21" x14ac:dyDescent="0.2">
      <c r="A10" s="2"/>
      <c r="B10" s="9" t="s">
        <v>91</v>
      </c>
      <c r="C10" s="9"/>
      <c r="D10" s="9"/>
      <c r="E10" s="40"/>
      <c r="F10" s="40"/>
      <c r="G10" s="40"/>
      <c r="H10" s="312">
        <v>6000</v>
      </c>
      <c r="I10" s="44"/>
      <c r="J10" s="47" t="s">
        <v>87</v>
      </c>
      <c r="K10" s="48"/>
      <c r="L10" s="316">
        <f>H7-L7</f>
        <v>2</v>
      </c>
      <c r="M10" s="13">
        <f>(H9-M7)</f>
        <v>2400</v>
      </c>
      <c r="N10" s="7"/>
      <c r="O10" s="7"/>
      <c r="P10" s="317">
        <v>2250</v>
      </c>
      <c r="Q10" s="8"/>
    </row>
    <row r="11" spans="1:21" x14ac:dyDescent="0.2">
      <c r="A11" s="2"/>
      <c r="B11" s="9" t="s">
        <v>178</v>
      </c>
      <c r="C11" s="9"/>
      <c r="D11" s="9"/>
      <c r="E11" s="40"/>
      <c r="F11" s="40"/>
      <c r="G11" s="40"/>
      <c r="H11" s="13">
        <f>0.9*H12</f>
        <v>0</v>
      </c>
      <c r="I11" s="44"/>
      <c r="J11" s="272">
        <f>M10/L10</f>
        <v>1200</v>
      </c>
      <c r="K11" s="278">
        <v>0.2</v>
      </c>
      <c r="L11" s="318">
        <f>ROUNDUP(K11*L10,0)</f>
        <v>1</v>
      </c>
      <c r="M11" s="7"/>
      <c r="N11" s="295">
        <v>15</v>
      </c>
      <c r="O11" s="7">
        <f>$K$36*12</f>
        <v>120</v>
      </c>
      <c r="P11" s="126"/>
      <c r="Q11" s="8"/>
    </row>
    <row r="12" spans="1:21" x14ac:dyDescent="0.2">
      <c r="A12" s="2"/>
      <c r="B12" s="9" t="s">
        <v>92</v>
      </c>
      <c r="C12" s="9"/>
      <c r="D12" s="9"/>
      <c r="E12" s="40"/>
      <c r="F12" s="40"/>
      <c r="G12" s="40"/>
      <c r="H12" s="312">
        <v>0</v>
      </c>
      <c r="I12" s="44"/>
      <c r="J12" s="95"/>
      <c r="K12" s="23">
        <f>1-K11</f>
        <v>0.8</v>
      </c>
      <c r="L12" s="319">
        <f>ROUNDDOWN(K12*L10,0)</f>
        <v>1</v>
      </c>
      <c r="M12" s="95"/>
      <c r="N12" s="298">
        <v>18</v>
      </c>
      <c r="O12" s="95">
        <f>$K$36*12</f>
        <v>120</v>
      </c>
      <c r="P12" s="127"/>
      <c r="Q12" s="4"/>
    </row>
    <row r="13" spans="1:21" x14ac:dyDescent="0.2">
      <c r="A13" s="2"/>
      <c r="B13" s="9" t="s">
        <v>93</v>
      </c>
      <c r="C13" s="9"/>
      <c r="D13" s="9"/>
      <c r="E13" s="40"/>
      <c r="F13" s="40"/>
      <c r="G13" s="40"/>
      <c r="H13" s="13">
        <f>H12+H10</f>
        <v>6000</v>
      </c>
      <c r="I13" s="44"/>
      <c r="J13" s="47" t="s">
        <v>88</v>
      </c>
      <c r="K13" s="49"/>
      <c r="L13" s="316">
        <f>H8</f>
        <v>0</v>
      </c>
      <c r="M13" s="13" t="e">
        <f>(L13/(L13)*H11)</f>
        <v>#DIV/0!</v>
      </c>
      <c r="N13" s="7"/>
      <c r="O13" s="7"/>
      <c r="P13" s="317">
        <v>0</v>
      </c>
      <c r="Q13" s="4"/>
      <c r="S13" s="263"/>
      <c r="T13" s="264"/>
      <c r="U13" s="264"/>
    </row>
    <row r="14" spans="1:21" x14ac:dyDescent="0.2">
      <c r="A14" s="2"/>
      <c r="B14" s="9"/>
      <c r="C14" s="9"/>
      <c r="D14" s="9"/>
      <c r="E14" s="40"/>
      <c r="F14" s="40"/>
      <c r="G14" s="40"/>
      <c r="H14" s="13"/>
      <c r="I14" s="44"/>
      <c r="J14" s="7"/>
      <c r="K14" s="279">
        <v>0.5</v>
      </c>
      <c r="L14" s="318">
        <f>ROUNDUP(K14*L13,0)</f>
        <v>0</v>
      </c>
      <c r="M14" s="7"/>
      <c r="N14" s="295"/>
      <c r="O14" s="7">
        <f>$K$36*12</f>
        <v>120</v>
      </c>
      <c r="P14" s="126"/>
      <c r="Q14" s="4"/>
    </row>
    <row r="15" spans="1:21" x14ac:dyDescent="0.2">
      <c r="A15" s="2"/>
      <c r="B15" s="9"/>
      <c r="C15" s="9"/>
      <c r="D15" s="9"/>
      <c r="E15" s="40"/>
      <c r="F15" s="40"/>
      <c r="G15" s="40"/>
      <c r="H15" s="13"/>
      <c r="I15" s="44"/>
      <c r="J15" s="95"/>
      <c r="K15" s="122">
        <f>1-K14</f>
        <v>0.5</v>
      </c>
      <c r="L15" s="319">
        <f>ROUNDDOWN(K15*L13,0)</f>
        <v>0</v>
      </c>
      <c r="M15" s="95"/>
      <c r="N15" s="298"/>
      <c r="O15" s="95">
        <f>$K$36*12</f>
        <v>120</v>
      </c>
      <c r="P15" s="127"/>
      <c r="Q15" s="4"/>
    </row>
    <row r="16" spans="1:21" x14ac:dyDescent="0.2">
      <c r="A16" s="2"/>
      <c r="B16" s="174" t="s">
        <v>24</v>
      </c>
      <c r="C16" s="175"/>
      <c r="D16" s="175"/>
      <c r="E16" s="175"/>
      <c r="F16" s="175"/>
      <c r="G16" s="175"/>
      <c r="H16" s="177"/>
      <c r="I16" s="44"/>
      <c r="J16" s="7" t="s">
        <v>180</v>
      </c>
      <c r="K16" s="7"/>
      <c r="L16" s="318">
        <f>L7+L10+L13</f>
        <v>6</v>
      </c>
      <c r="M16" s="7"/>
      <c r="N16" s="7"/>
      <c r="O16" s="7"/>
      <c r="P16" s="126">
        <f>SUMPRODUCT(P10,L10)+SUMPRODUCT(P13,L13)+SUMPRODUCT(P7,L7)</f>
        <v>10500</v>
      </c>
      <c r="Q16" s="4"/>
    </row>
    <row r="17" spans="1:18" ht="18" x14ac:dyDescent="0.35">
      <c r="A17" s="2"/>
      <c r="B17" s="55" t="s">
        <v>32</v>
      </c>
      <c r="C17" s="55"/>
      <c r="D17" s="55"/>
      <c r="E17" s="42" t="s">
        <v>104</v>
      </c>
      <c r="F17" s="43" t="s">
        <v>105</v>
      </c>
      <c r="G17" s="43" t="s">
        <v>99</v>
      </c>
      <c r="H17" s="56" t="s">
        <v>26</v>
      </c>
      <c r="I17" s="44"/>
      <c r="J17" s="7" t="s">
        <v>181</v>
      </c>
      <c r="K17" s="7"/>
      <c r="L17" s="47"/>
      <c r="M17" s="7"/>
      <c r="N17" s="7"/>
      <c r="O17" s="7"/>
      <c r="P17" s="126">
        <f>P16*12</f>
        <v>126000</v>
      </c>
      <c r="Q17" s="4"/>
    </row>
    <row r="18" spans="1:18" x14ac:dyDescent="0.2">
      <c r="A18" s="11"/>
      <c r="B18" s="44" t="s">
        <v>186</v>
      </c>
      <c r="C18" s="44"/>
      <c r="D18" s="44"/>
      <c r="E18" s="295">
        <v>0</v>
      </c>
      <c r="F18" s="295">
        <v>0</v>
      </c>
      <c r="G18" s="296">
        <v>328</v>
      </c>
      <c r="H18" s="57">
        <f>G18*H9</f>
        <v>1771200</v>
      </c>
      <c r="I18" s="44"/>
      <c r="J18" s="36"/>
      <c r="K18" s="36"/>
      <c r="L18" s="36"/>
      <c r="M18" s="36"/>
      <c r="N18" s="36"/>
      <c r="O18" s="36"/>
      <c r="P18" s="36"/>
      <c r="Q18" s="4"/>
    </row>
    <row r="19" spans="1:18" x14ac:dyDescent="0.2">
      <c r="A19" s="11"/>
      <c r="B19" s="297" t="s">
        <v>98</v>
      </c>
      <c r="C19" s="297"/>
      <c r="D19" s="297"/>
      <c r="E19" s="298">
        <v>0</v>
      </c>
      <c r="F19" s="298">
        <v>0</v>
      </c>
      <c r="G19" s="299">
        <v>0.03</v>
      </c>
      <c r="H19" s="125">
        <f>G19*H18</f>
        <v>53136</v>
      </c>
      <c r="I19" s="45"/>
      <c r="J19" s="174" t="s">
        <v>6</v>
      </c>
      <c r="K19" s="175"/>
      <c r="L19" s="175"/>
      <c r="M19" s="175"/>
      <c r="N19" s="175"/>
      <c r="O19" s="175"/>
      <c r="P19" s="177"/>
      <c r="Q19" s="4"/>
    </row>
    <row r="20" spans="1:18" x14ac:dyDescent="0.2">
      <c r="A20" s="11"/>
      <c r="B20" s="285" t="s">
        <v>101</v>
      </c>
      <c r="C20" s="285"/>
      <c r="D20" s="285"/>
      <c r="E20" s="44"/>
      <c r="F20" s="44"/>
      <c r="G20" s="44"/>
      <c r="H20" s="45">
        <f>SUM(H18:H19)</f>
        <v>1824336</v>
      </c>
      <c r="I20" s="44"/>
      <c r="J20" s="44" t="s">
        <v>55</v>
      </c>
      <c r="K20" s="320">
        <v>0.03</v>
      </c>
      <c r="L20" s="47"/>
      <c r="M20" s="7"/>
      <c r="N20" s="7"/>
      <c r="O20" s="7"/>
      <c r="P20" s="7"/>
      <c r="Q20" s="4"/>
    </row>
    <row r="21" spans="1:18" x14ac:dyDescent="0.2">
      <c r="A21" s="11"/>
      <c r="B21" s="44"/>
      <c r="C21" s="44"/>
      <c r="D21" s="44"/>
      <c r="E21" s="44"/>
      <c r="F21" s="44"/>
      <c r="G21" s="44"/>
      <c r="H21" s="45"/>
      <c r="I21" s="44"/>
      <c r="J21" s="47" t="s">
        <v>125</v>
      </c>
      <c r="K21" s="9"/>
      <c r="L21" s="47" t="s">
        <v>77</v>
      </c>
      <c r="M21" s="47" t="s">
        <v>30</v>
      </c>
      <c r="N21" s="47" t="s">
        <v>96</v>
      </c>
      <c r="O21" s="47" t="s">
        <v>97</v>
      </c>
      <c r="P21" s="47" t="s">
        <v>29</v>
      </c>
      <c r="Q21" s="4"/>
    </row>
    <row r="22" spans="1:18" x14ac:dyDescent="0.2">
      <c r="A22" s="11"/>
      <c r="B22" s="44" t="s">
        <v>73</v>
      </c>
      <c r="C22" s="44"/>
      <c r="D22" s="44"/>
      <c r="E22" s="7"/>
      <c r="F22" s="44"/>
      <c r="G22" s="44"/>
      <c r="H22" s="45"/>
      <c r="I22" s="44"/>
      <c r="J22" s="9" t="s">
        <v>57</v>
      </c>
      <c r="K22" s="9"/>
      <c r="L22" s="321">
        <v>1000</v>
      </c>
      <c r="M22" s="45">
        <f>L22*$L$16</f>
        <v>6000</v>
      </c>
      <c r="N22" s="295">
        <v>12</v>
      </c>
      <c r="O22" s="7">
        <f t="shared" ref="O22:O30" si="0">$K$36*12</f>
        <v>120</v>
      </c>
      <c r="P22" s="45">
        <f>M22/12</f>
        <v>500</v>
      </c>
      <c r="Q22" s="4"/>
    </row>
    <row r="23" spans="1:18" x14ac:dyDescent="0.2">
      <c r="A23" s="11"/>
      <c r="B23" s="285" t="s">
        <v>102</v>
      </c>
      <c r="C23" s="285"/>
      <c r="D23" s="285"/>
      <c r="E23" s="7"/>
      <c r="F23" s="44"/>
      <c r="G23" s="44"/>
      <c r="H23" s="57"/>
      <c r="I23" s="44"/>
      <c r="J23" s="9" t="s">
        <v>78</v>
      </c>
      <c r="K23" s="9"/>
      <c r="L23" s="321">
        <v>500</v>
      </c>
      <c r="M23" s="45">
        <f t="shared" ref="M23:M29" si="1">L23*$L$16</f>
        <v>3000</v>
      </c>
      <c r="N23" s="295">
        <v>18</v>
      </c>
      <c r="O23" s="7">
        <f t="shared" si="0"/>
        <v>120</v>
      </c>
      <c r="P23" s="45">
        <f t="shared" ref="P23:P29" si="2">M23/12</f>
        <v>250</v>
      </c>
      <c r="Q23" s="4"/>
    </row>
    <row r="24" spans="1:18" x14ac:dyDescent="0.2">
      <c r="A24" s="11"/>
      <c r="B24" s="287" t="s">
        <v>106</v>
      </c>
      <c r="C24" s="287"/>
      <c r="D24" s="287"/>
      <c r="E24" s="295">
        <v>12</v>
      </c>
      <c r="F24" s="300">
        <v>18</v>
      </c>
      <c r="G24" s="301">
        <v>5</v>
      </c>
      <c r="H24" s="57">
        <f>G24*H13</f>
        <v>30000</v>
      </c>
      <c r="I24" s="44"/>
      <c r="J24" s="9" t="s">
        <v>79</v>
      </c>
      <c r="K24" s="9"/>
      <c r="L24" s="321">
        <v>750</v>
      </c>
      <c r="M24" s="45">
        <f t="shared" si="1"/>
        <v>4500</v>
      </c>
      <c r="N24" s="295">
        <v>12</v>
      </c>
      <c r="O24" s="7">
        <f t="shared" si="0"/>
        <v>120</v>
      </c>
      <c r="P24" s="45">
        <f t="shared" si="2"/>
        <v>375</v>
      </c>
      <c r="Q24" s="12"/>
    </row>
    <row r="25" spans="1:18" x14ac:dyDescent="0.2">
      <c r="A25" s="11"/>
      <c r="B25" s="288" t="s">
        <v>107</v>
      </c>
      <c r="C25" s="288"/>
      <c r="D25" s="288"/>
      <c r="E25" s="298">
        <v>12</v>
      </c>
      <c r="F25" s="302">
        <v>18</v>
      </c>
      <c r="G25" s="303">
        <v>20</v>
      </c>
      <c r="H25" s="62">
        <f>G25*H13</f>
        <v>120000</v>
      </c>
      <c r="I25" s="44"/>
      <c r="J25" s="9" t="s">
        <v>187</v>
      </c>
      <c r="K25" s="9"/>
      <c r="L25" s="321">
        <v>125</v>
      </c>
      <c r="M25" s="45">
        <f>L25*$L$16</f>
        <v>750</v>
      </c>
      <c r="N25" s="295">
        <v>12</v>
      </c>
      <c r="O25" s="7">
        <f t="shared" si="0"/>
        <v>120</v>
      </c>
      <c r="P25" s="45">
        <f t="shared" si="2"/>
        <v>62.5</v>
      </c>
      <c r="Q25" s="12"/>
    </row>
    <row r="26" spans="1:18" x14ac:dyDescent="0.2">
      <c r="A26" s="11"/>
      <c r="B26" s="285" t="s">
        <v>111</v>
      </c>
      <c r="C26" s="285"/>
      <c r="D26" s="285"/>
      <c r="E26" s="7"/>
      <c r="F26" s="44"/>
      <c r="G26" s="301">
        <f>SUM(G24:G25)</f>
        <v>25</v>
      </c>
      <c r="H26" s="57">
        <f>SUM(H24:H25)</f>
        <v>150000</v>
      </c>
      <c r="I26" s="44"/>
      <c r="J26" s="9" t="s">
        <v>80</v>
      </c>
      <c r="K26" s="9"/>
      <c r="L26" s="321">
        <v>275</v>
      </c>
      <c r="M26" s="45">
        <f t="shared" si="1"/>
        <v>1650</v>
      </c>
      <c r="N26" s="295">
        <v>12</v>
      </c>
      <c r="O26" s="7">
        <f t="shared" si="0"/>
        <v>120</v>
      </c>
      <c r="P26" s="45">
        <f t="shared" si="2"/>
        <v>137.5</v>
      </c>
      <c r="Q26" s="12"/>
    </row>
    <row r="27" spans="1:18" x14ac:dyDescent="0.2">
      <c r="A27" s="11"/>
      <c r="B27" s="287"/>
      <c r="C27" s="287"/>
      <c r="D27" s="287"/>
      <c r="E27" s="7"/>
      <c r="F27" s="44"/>
      <c r="G27" s="13"/>
      <c r="H27" s="57"/>
      <c r="I27" s="44"/>
      <c r="J27" s="9" t="s">
        <v>81</v>
      </c>
      <c r="K27" s="9"/>
      <c r="L27" s="321">
        <v>200</v>
      </c>
      <c r="M27" s="45">
        <f t="shared" si="1"/>
        <v>1200</v>
      </c>
      <c r="N27" s="295">
        <v>9</v>
      </c>
      <c r="O27" s="7">
        <v>18</v>
      </c>
      <c r="P27" s="45">
        <f t="shared" si="2"/>
        <v>100</v>
      </c>
      <c r="Q27" s="12"/>
    </row>
    <row r="28" spans="1:18" x14ac:dyDescent="0.2">
      <c r="A28" s="60"/>
      <c r="B28" s="285" t="s">
        <v>103</v>
      </c>
      <c r="C28" s="285"/>
      <c r="D28" s="285"/>
      <c r="E28" s="7"/>
      <c r="F28" s="44"/>
      <c r="G28" s="44"/>
      <c r="H28" s="57"/>
      <c r="I28" s="4"/>
      <c r="J28" s="9" t="s">
        <v>7</v>
      </c>
      <c r="K28" s="9"/>
      <c r="L28" s="321">
        <v>825</v>
      </c>
      <c r="M28" s="45">
        <f t="shared" si="1"/>
        <v>4950</v>
      </c>
      <c r="N28" s="295">
        <v>12</v>
      </c>
      <c r="O28" s="7">
        <f t="shared" si="0"/>
        <v>120</v>
      </c>
      <c r="P28" s="45">
        <f t="shared" si="2"/>
        <v>412.5</v>
      </c>
      <c r="Q28" s="12"/>
    </row>
    <row r="29" spans="1:18" x14ac:dyDescent="0.2">
      <c r="A29" s="60"/>
      <c r="B29" s="287" t="s">
        <v>108</v>
      </c>
      <c r="C29" s="287"/>
      <c r="D29" s="287"/>
      <c r="E29" s="295">
        <v>1</v>
      </c>
      <c r="F29" s="300">
        <v>8</v>
      </c>
      <c r="G29" s="296">
        <v>0.6</v>
      </c>
      <c r="H29" s="45">
        <f>($H$10+$H$12)*G29</f>
        <v>3600</v>
      </c>
      <c r="I29" s="14"/>
      <c r="J29" s="9" t="s">
        <v>8</v>
      </c>
      <c r="K29" s="9"/>
      <c r="L29" s="321">
        <v>812.5</v>
      </c>
      <c r="M29" s="45">
        <f t="shared" si="1"/>
        <v>4875</v>
      </c>
      <c r="N29" s="295">
        <v>12</v>
      </c>
      <c r="O29" s="7">
        <f t="shared" si="0"/>
        <v>120</v>
      </c>
      <c r="P29" s="45">
        <f t="shared" si="2"/>
        <v>406.25</v>
      </c>
      <c r="Q29" s="12"/>
    </row>
    <row r="30" spans="1:18" x14ac:dyDescent="0.2">
      <c r="A30" s="60"/>
      <c r="B30" s="287" t="s">
        <v>124</v>
      </c>
      <c r="C30" s="287"/>
      <c r="D30" s="287"/>
      <c r="E30" s="295">
        <v>1</v>
      </c>
      <c r="F30" s="300">
        <v>8</v>
      </c>
      <c r="G30" s="296">
        <v>0.5</v>
      </c>
      <c r="H30" s="45">
        <f>($H$10+$H$12)*G30</f>
        <v>3000</v>
      </c>
      <c r="I30" s="266"/>
      <c r="J30" s="9" t="s">
        <v>4</v>
      </c>
      <c r="K30" s="9"/>
      <c r="L30" s="45"/>
      <c r="M30" s="125">
        <f>K30*P16*12</f>
        <v>0</v>
      </c>
      <c r="N30" s="298"/>
      <c r="O30" s="95">
        <f t="shared" si="0"/>
        <v>120</v>
      </c>
      <c r="P30" s="125">
        <f t="shared" ref="P30" si="3">M30/12</f>
        <v>0</v>
      </c>
      <c r="Q30" s="12"/>
      <c r="R30" s="11"/>
    </row>
    <row r="31" spans="1:18" x14ac:dyDescent="0.2">
      <c r="A31" s="60"/>
      <c r="B31" s="287" t="s">
        <v>109</v>
      </c>
      <c r="C31" s="287"/>
      <c r="D31" s="287"/>
      <c r="E31" s="295">
        <v>1</v>
      </c>
      <c r="F31" s="300">
        <v>8</v>
      </c>
      <c r="G31" s="296">
        <v>0.5</v>
      </c>
      <c r="H31" s="45">
        <f>($H$10+$H$12)*G31</f>
        <v>3000</v>
      </c>
      <c r="I31" s="4"/>
      <c r="J31" s="9" t="s">
        <v>33</v>
      </c>
      <c r="K31" s="9"/>
      <c r="L31" s="44"/>
      <c r="M31" s="7"/>
      <c r="N31" s="44"/>
      <c r="O31" s="46"/>
      <c r="P31" s="45">
        <f>SUM(P22:P29)</f>
        <v>2243.75</v>
      </c>
      <c r="Q31" s="12"/>
    </row>
    <row r="32" spans="1:18" x14ac:dyDescent="0.2">
      <c r="A32" s="60"/>
      <c r="B32" s="287" t="s">
        <v>110</v>
      </c>
      <c r="C32" s="287"/>
      <c r="D32" s="287"/>
      <c r="E32" s="295">
        <v>12</v>
      </c>
      <c r="F32" s="300">
        <v>18</v>
      </c>
      <c r="G32" s="296">
        <v>0.25</v>
      </c>
      <c r="H32" s="45">
        <f>($H$10+$H$12)*G32</f>
        <v>1500</v>
      </c>
      <c r="I32" s="4"/>
      <c r="J32" s="9"/>
      <c r="K32" s="9"/>
      <c r="L32" s="44"/>
      <c r="M32" s="47"/>
      <c r="N32" s="44"/>
      <c r="O32" s="46"/>
      <c r="P32" s="52"/>
      <c r="Q32" s="12"/>
    </row>
    <row r="33" spans="1:19" x14ac:dyDescent="0.2">
      <c r="A33" s="60"/>
      <c r="B33" s="288" t="s">
        <v>112</v>
      </c>
      <c r="C33" s="288"/>
      <c r="D33" s="288"/>
      <c r="E33" s="298">
        <v>1</v>
      </c>
      <c r="F33" s="302">
        <v>18</v>
      </c>
      <c r="G33" s="299">
        <v>2.5000000000000001E-3</v>
      </c>
      <c r="H33" s="125" cm="1">
        <f t="array" ref="H33">SUM(H29:H32+H26+H20)*G33</f>
        <v>19771.11</v>
      </c>
      <c r="I33" s="4"/>
      <c r="J33" s="174" t="s">
        <v>136</v>
      </c>
      <c r="K33" s="175"/>
      <c r="L33" s="175"/>
      <c r="M33" s="175"/>
      <c r="N33" s="175"/>
      <c r="O33" s="175"/>
      <c r="P33" s="176"/>
      <c r="Q33" s="12"/>
    </row>
    <row r="34" spans="1:19" x14ac:dyDescent="0.2">
      <c r="A34" s="60"/>
      <c r="B34" s="285" t="s">
        <v>113</v>
      </c>
      <c r="C34" s="285"/>
      <c r="D34" s="285"/>
      <c r="E34" s="7"/>
      <c r="F34" s="44"/>
      <c r="G34" s="301">
        <f>H34/(H10+H12)</f>
        <v>5.1451849999999997</v>
      </c>
      <c r="H34" s="57">
        <f>SUM(H29:H33)</f>
        <v>30871.11</v>
      </c>
      <c r="I34" s="4"/>
      <c r="J34" s="47" t="s">
        <v>34</v>
      </c>
      <c r="K34" s="322">
        <v>4.4999999999999998E-2</v>
      </c>
      <c r="L34" s="47" t="s">
        <v>48</v>
      </c>
      <c r="M34" s="323">
        <v>30</v>
      </c>
      <c r="N34" s="4" t="s">
        <v>138</v>
      </c>
      <c r="O34" s="44" t="s">
        <v>126</v>
      </c>
      <c r="P34" s="314">
        <v>4.2500000000000003E-2</v>
      </c>
      <c r="Q34" s="12"/>
    </row>
    <row r="35" spans="1:19" x14ac:dyDescent="0.2">
      <c r="A35" s="60"/>
      <c r="B35" s="287"/>
      <c r="C35" s="287"/>
      <c r="D35" s="287"/>
      <c r="E35" s="7"/>
      <c r="F35" s="44"/>
      <c r="G35" s="44"/>
      <c r="H35" s="45"/>
      <c r="I35" s="121"/>
      <c r="J35" s="47" t="s">
        <v>37</v>
      </c>
      <c r="K35" s="322">
        <v>0.06</v>
      </c>
      <c r="L35" s="47" t="s">
        <v>49</v>
      </c>
      <c r="M35" s="324">
        <v>0.75</v>
      </c>
      <c r="N35" s="294"/>
      <c r="O35" s="12" t="s">
        <v>127</v>
      </c>
      <c r="P35" s="325">
        <v>2.5000000000000001E-3</v>
      </c>
      <c r="Q35" s="12"/>
      <c r="R35" s="64"/>
    </row>
    <row r="36" spans="1:19" x14ac:dyDescent="0.2">
      <c r="A36" s="60"/>
      <c r="B36" s="285" t="s">
        <v>114</v>
      </c>
      <c r="C36" s="285"/>
      <c r="D36" s="285"/>
      <c r="E36" s="7"/>
      <c r="F36" s="44"/>
      <c r="G36" s="44"/>
      <c r="H36" s="45">
        <f>+H34+H26+H20</f>
        <v>2005207.1099999999</v>
      </c>
      <c r="I36" s="121"/>
      <c r="J36" s="47" t="s">
        <v>41</v>
      </c>
      <c r="K36" s="162">
        <v>10</v>
      </c>
      <c r="L36" s="4" t="s">
        <v>83</v>
      </c>
      <c r="M36" s="326">
        <v>2.8000000000000001E-2</v>
      </c>
      <c r="N36" s="4" t="s">
        <v>188</v>
      </c>
      <c r="O36" s="4"/>
      <c r="P36" s="44">
        <v>21</v>
      </c>
      <c r="Q36" s="12"/>
      <c r="R36" s="64"/>
    </row>
    <row r="37" spans="1:19" x14ac:dyDescent="0.2">
      <c r="A37" s="60"/>
      <c r="B37" s="285"/>
      <c r="C37" s="285"/>
      <c r="D37" s="285"/>
      <c r="E37" s="7"/>
      <c r="F37" s="44"/>
      <c r="G37" s="44"/>
      <c r="H37" s="44"/>
      <c r="J37" s="47" t="s">
        <v>144</v>
      </c>
      <c r="K37" s="162">
        <f>K36*12</f>
        <v>120</v>
      </c>
      <c r="L37" s="47" t="s">
        <v>135</v>
      </c>
      <c r="M37" s="322">
        <v>0.01</v>
      </c>
      <c r="N37" s="4" t="s">
        <v>189</v>
      </c>
      <c r="O37" s="294"/>
      <c r="P37" s="44">
        <v>21</v>
      </c>
      <c r="Q37" s="12"/>
      <c r="R37" s="5"/>
    </row>
    <row r="38" spans="1:19" x14ac:dyDescent="0.2">
      <c r="A38" s="60"/>
      <c r="B38" s="285" t="s">
        <v>128</v>
      </c>
      <c r="C38" s="285"/>
      <c r="D38" s="285"/>
      <c r="E38" s="7"/>
      <c r="F38" s="44"/>
      <c r="G38" s="44"/>
      <c r="H38" s="44"/>
      <c r="I38" s="4"/>
      <c r="J38" s="4"/>
      <c r="K38" s="4"/>
      <c r="L38" s="4"/>
      <c r="M38" s="4"/>
      <c r="N38" s="4"/>
      <c r="O38" s="4"/>
      <c r="P38" s="4"/>
      <c r="Q38" s="12"/>
    </row>
    <row r="39" spans="1:19" x14ac:dyDescent="0.2">
      <c r="A39" s="60"/>
      <c r="B39" s="287" t="s">
        <v>115</v>
      </c>
      <c r="C39" s="287"/>
      <c r="D39" s="287"/>
      <c r="E39" s="295">
        <v>1</v>
      </c>
      <c r="F39" s="300">
        <v>18</v>
      </c>
      <c r="G39" s="304"/>
      <c r="H39" s="305">
        <f>(H53*(D53+E53))*((F39-E39+1)/12)</f>
        <v>87843.199950000009</v>
      </c>
      <c r="I39" s="4"/>
      <c r="J39" s="4"/>
      <c r="K39" s="4"/>
      <c r="L39" s="4"/>
      <c r="M39" s="4"/>
      <c r="N39" s="4"/>
      <c r="O39" s="4"/>
      <c r="P39" s="4"/>
      <c r="Q39" s="12"/>
      <c r="R39" s="4"/>
      <c r="S39" s="33"/>
    </row>
    <row r="40" spans="1:19" x14ac:dyDescent="0.2">
      <c r="A40" s="60"/>
      <c r="B40" s="287" t="s">
        <v>116</v>
      </c>
      <c r="C40" s="287"/>
      <c r="D40" s="287"/>
      <c r="E40" s="7"/>
      <c r="F40" s="44"/>
      <c r="G40" s="44"/>
      <c r="H40" s="306">
        <f>(H53*G54)+(H53*G55)</f>
        <v>46849.706639999997</v>
      </c>
      <c r="I40" s="4"/>
      <c r="J40" s="21" t="s">
        <v>143</v>
      </c>
      <c r="K40" s="22">
        <f t="shared" ref="K40:P40" si="4">YEAR($H$5)+(K41)</f>
        <v>2024</v>
      </c>
      <c r="L40" s="22">
        <f t="shared" si="4"/>
        <v>2025</v>
      </c>
      <c r="M40" s="22">
        <f t="shared" si="4"/>
        <v>2027</v>
      </c>
      <c r="N40" s="22">
        <f t="shared" si="4"/>
        <v>2029</v>
      </c>
      <c r="O40" s="22">
        <f t="shared" si="4"/>
        <v>2030</v>
      </c>
      <c r="P40" s="173">
        <f t="shared" si="4"/>
        <v>2031</v>
      </c>
      <c r="Q40" s="12"/>
    </row>
    <row r="41" spans="1:19" x14ac:dyDescent="0.2">
      <c r="A41" s="60"/>
      <c r="B41" s="288" t="s">
        <v>117</v>
      </c>
      <c r="C41" s="288"/>
      <c r="D41" s="288"/>
      <c r="E41" s="95"/>
      <c r="F41" s="93"/>
      <c r="G41" s="93"/>
      <c r="H41" s="307"/>
      <c r="I41" s="4"/>
      <c r="J41" s="24"/>
      <c r="K41" s="25">
        <v>3</v>
      </c>
      <c r="L41" s="25">
        <v>4</v>
      </c>
      <c r="M41" s="25">
        <v>6</v>
      </c>
      <c r="N41" s="25">
        <v>8</v>
      </c>
      <c r="O41" s="25">
        <v>9</v>
      </c>
      <c r="P41" s="26">
        <v>10</v>
      </c>
      <c r="Q41" s="12"/>
    </row>
    <row r="42" spans="1:19" x14ac:dyDescent="0.2">
      <c r="A42" s="35"/>
      <c r="B42" s="285" t="s">
        <v>118</v>
      </c>
      <c r="C42" s="285"/>
      <c r="D42" s="285"/>
      <c r="E42" s="7"/>
      <c r="F42" s="44"/>
      <c r="G42" s="44"/>
      <c r="H42" s="45">
        <f>SUM(H39:H41)</f>
        <v>134692.90659</v>
      </c>
      <c r="I42" s="16"/>
      <c r="J42" s="27" t="s">
        <v>35</v>
      </c>
      <c r="K42" s="28"/>
      <c r="L42" s="28"/>
      <c r="M42" s="286"/>
      <c r="N42" s="29"/>
      <c r="O42" s="27"/>
      <c r="P42" s="27"/>
      <c r="Q42" s="12"/>
    </row>
    <row r="43" spans="1:19" x14ac:dyDescent="0.2">
      <c r="A43" s="35"/>
      <c r="B43" s="285"/>
      <c r="C43" s="285"/>
      <c r="D43" s="285"/>
      <c r="E43" s="7"/>
      <c r="F43" s="44"/>
      <c r="G43" s="44"/>
      <c r="H43" s="45"/>
      <c r="I43" s="16"/>
      <c r="J43" s="20" t="s">
        <v>38</v>
      </c>
      <c r="K43" s="124">
        <f>IF(SUMIF('Cash Flow Statement'!$F$1:$DU$1,"=3",'Cash Flow Statement'!$F$21:$DU$21)=0,"",SUMIF('Cash Flow Statement'!$F$1:$DU$1,"=3",'Cash Flow Statement'!$F$21:$DU$21))</f>
        <v>128887.5</v>
      </c>
      <c r="L43" s="124">
        <f>IF(SUMIF('Cash Flow Statement'!$F$1:$DU$1,"=4",'Cash Flow Statement'!$F$21:$DU$21)=0,"",SUMIF('Cash Flow Statement'!$F$1:$DU$1,"=4",'Cash Flow Statement'!$F$21:$DU$21))</f>
        <v>135331.875</v>
      </c>
      <c r="M43" s="124">
        <f>IF(SUMIF('Cash Flow Statement'!$F$1:$DU$1,"=6",'Cash Flow Statement'!$F$21:$DU$21)=0,"",SUMIF('Cash Flow Statement'!$F$1:$DU$1,"=6",'Cash Flow Statement'!$F$21:$DU$21))</f>
        <v>149203.39218749999</v>
      </c>
      <c r="N43" s="124">
        <f>IF(SUMIF('Cash Flow Statement'!$F$1:$DU$1,"=8",'Cash Flow Statement'!$F$21:$DU$21)=0,"",SUMIF('Cash Flow Statement'!$F$1:$DU$1,"=8",'Cash Flow Statement'!$F$21:$DU$21))</f>
        <v>164496.73988671877</v>
      </c>
      <c r="O43" s="124">
        <f>IF(SUMIF('Cash Flow Statement'!$F$1:$DU$1,"=9",'Cash Flow Statement'!$F$21:$DU$21)=0,"",SUMIF('Cash Flow Statement'!$F$1:$DU$1,"=9",'Cash Flow Statement'!$F$21:$DU$21))</f>
        <v>172721.57688105467</v>
      </c>
      <c r="P43" s="124">
        <f>IF(SUMIF('Cash Flow Statement'!$F$1:$DU$1,"=10",'Cash Flow Statement'!$F$21:$DU$21)=0,"",SUMIF('Cash Flow Statement'!$F$1:$DU$1,"=10",'Cash Flow Statement'!$F$21:$DU$21))</f>
        <v>181357.65572510747</v>
      </c>
      <c r="Q43" s="12"/>
    </row>
    <row r="44" spans="1:19" x14ac:dyDescent="0.2">
      <c r="A44" s="35"/>
      <c r="B44" s="44" t="s">
        <v>176</v>
      </c>
      <c r="C44" s="44"/>
      <c r="D44" s="44"/>
      <c r="E44" s="44"/>
      <c r="F44" s="44"/>
      <c r="G44" s="44"/>
      <c r="H44" s="45">
        <f>H36+H42</f>
        <v>2139900.0165899997</v>
      </c>
      <c r="I44" s="45"/>
      <c r="J44" s="27" t="s">
        <v>40</v>
      </c>
      <c r="K44" s="124"/>
      <c r="L44" s="124"/>
      <c r="M44" s="124"/>
      <c r="N44" s="124"/>
      <c r="O44" s="124"/>
      <c r="P44" s="124"/>
      <c r="Q44" s="12"/>
    </row>
    <row r="45" spans="1:19" x14ac:dyDescent="0.2">
      <c r="A45" s="35"/>
      <c r="B45" s="44"/>
      <c r="C45" s="44"/>
      <c r="D45" s="44"/>
      <c r="E45" s="44"/>
      <c r="F45" s="44"/>
      <c r="G45" s="44"/>
      <c r="H45" s="44"/>
      <c r="I45" s="16"/>
      <c r="J45" s="20" t="s">
        <v>42</v>
      </c>
      <c r="K45" s="124">
        <f>IF(SUMIF('Cash Flow Statement'!$F$1:$DU$1,"=3",'Cash Flow Statement'!$F$33:$DU$33)=0,"",SUMIF('Cash Flow Statement'!$F$1:$DU$1,"=3",'Cash Flow Statement'!$F$33:$DU$33))</f>
        <v>26517.766875000001</v>
      </c>
      <c r="L45" s="124">
        <f>IF(SUMIF('Cash Flow Statement'!$F$1:$DU$1,"=4",'Cash Flow Statement'!$F$33:$DU$33)=0,"",SUMIF('Cash Flow Statement'!$F$1:$DU$1,"=4",'Cash Flow Statement'!$F$33:$DU$33))</f>
        <v>27313.299881249997</v>
      </c>
      <c r="M45" s="124">
        <f>IF(SUMIF('Cash Flow Statement'!$F$1:$DU$1,"=6",'Cash Flow Statement'!$F$33:$DU$33)=0,"",SUMIF('Cash Flow Statement'!$F$1:$DU$1,"=6",'Cash Flow Statement'!$F$33:$DU$33))</f>
        <v>28976.679844018119</v>
      </c>
      <c r="N45" s="124">
        <f>IF(SUMIF('Cash Flow Statement'!$F$1:$DU$1,"=8",'Cash Flow Statement'!$F$33:$DU$33)=0,"",SUMIF('Cash Flow Statement'!$F$1:$DU$1,"=8",'Cash Flow Statement'!$F$33:$DU$33))</f>
        <v>30741.359646518831</v>
      </c>
      <c r="O45" s="124">
        <f>IF(SUMIF('Cash Flow Statement'!$F$1:$DU$1,"=9",'Cash Flow Statement'!$F$33:$DU$33)=0,"",SUMIF('Cash Flow Statement'!$F$1:$DU$1,"=9",'Cash Flow Statement'!$F$33:$DU$33))</f>
        <v>31663.600435914388</v>
      </c>
      <c r="P45" s="124">
        <f>IF(SUMIF('Cash Flow Statement'!$F$1:$DU$1,"=10",'Cash Flow Statement'!$F$33:$DU$33)=0,"",SUMIF('Cash Flow Statement'!$F$1:$DU$1,"=10",'Cash Flow Statement'!$F$33:$DU$33))</f>
        <v>32613.508448991823</v>
      </c>
      <c r="Q45" s="12"/>
    </row>
    <row r="46" spans="1:19" x14ac:dyDescent="0.2">
      <c r="A46" s="35"/>
      <c r="B46" s="55" t="s">
        <v>25</v>
      </c>
      <c r="C46" s="55"/>
      <c r="D46" s="55"/>
      <c r="E46" s="44"/>
      <c r="F46" s="44"/>
      <c r="G46" s="44"/>
      <c r="H46" s="44"/>
      <c r="I46" s="16"/>
      <c r="J46" s="30" t="s">
        <v>44</v>
      </c>
      <c r="K46" s="31">
        <f t="shared" ref="K46:P46" si="5">IFERROR(K45/K43,"")</f>
        <v>0.20574351178353215</v>
      </c>
      <c r="L46" s="31">
        <f t="shared" si="5"/>
        <v>0.20182458774956008</v>
      </c>
      <c r="M46" s="31">
        <f t="shared" si="5"/>
        <v>0.1942092563659939</v>
      </c>
      <c r="N46" s="31">
        <f t="shared" si="5"/>
        <v>0.18688126991263759</v>
      </c>
      <c r="O46" s="31">
        <f t="shared" si="5"/>
        <v>0.18332162667620641</v>
      </c>
      <c r="P46" s="31">
        <f t="shared" si="5"/>
        <v>0.17982978616808815</v>
      </c>
      <c r="Q46" s="12"/>
    </row>
    <row r="47" spans="1:19" x14ac:dyDescent="0.2">
      <c r="A47" s="35"/>
      <c r="B47" s="58" t="s">
        <v>28</v>
      </c>
      <c r="C47" s="58"/>
      <c r="D47" s="58"/>
      <c r="E47" s="44"/>
      <c r="F47" s="44"/>
      <c r="G47" s="44"/>
      <c r="H47" s="44"/>
      <c r="I47" s="16"/>
      <c r="J47" s="27" t="s">
        <v>45</v>
      </c>
      <c r="K47" s="124">
        <f>IF(0=SUMIF('Cash Flow Statement'!$F$1:$DU$1,"=3",'Cash Flow Statement'!$F$35:$DU$35),"",SUMIF('Cash Flow Statement'!$F$1:$DU$1,"=3",'Cash Flow Statement'!$F$35:$DU$35))</f>
        <v>102369.733125</v>
      </c>
      <c r="L47" s="124">
        <f>IF(0=SUMIF('Cash Flow Statement'!$F$1:$DU$1,"=4",'Cash Flow Statement'!$F$35:$DU$35),"",SUMIF('Cash Flow Statement'!$F$1:$DU$1,"=4",'Cash Flow Statement'!$F$35:$DU$35))</f>
        <v>108018.57511874998</v>
      </c>
      <c r="M47" s="124">
        <f>IF(0=SUMIF('Cash Flow Statement'!$F$1:$DU$1,"=6",'Cash Flow Statement'!$F$35:$DU$35),"",SUMIF('Cash Flow Statement'!$F$1:$DU$1,"=6",'Cash Flow Statement'!$F$35:$DU$35))</f>
        <v>120226.71234348188</v>
      </c>
      <c r="N47" s="124">
        <f>IF(0=SUMIF('Cash Flow Statement'!$F$1:$DU$1,"=8",'Cash Flow Statement'!$F$35:$DU$35),"",SUMIF('Cash Flow Statement'!$F$1:$DU$1,"=8",'Cash Flow Statement'!$F$35:$DU$35))</f>
        <v>133755.38024019994</v>
      </c>
      <c r="O47" s="124">
        <f>IF(0=SUMIF('Cash Flow Statement'!$F$1:$DU$1,"=9",'Cash Flow Statement'!$F$35:$DU$35),"",SUMIF('Cash Flow Statement'!$F$1:$DU$1,"=9",'Cash Flow Statement'!$F$35:$DU$35))</f>
        <v>141057.97644514032</v>
      </c>
      <c r="P47" s="124">
        <f>IF(0=SUMIF('Cash Flow Statement'!$F$1:$DU$1,"=10",'Cash Flow Statement'!$F$35:$DU$35),"",SUMIF('Cash Flow Statement'!$F$1:$DU$1,"=10",'Cash Flow Statement'!$F$35:$DU$35))</f>
        <v>148744.14727611563</v>
      </c>
      <c r="Q47" s="12"/>
    </row>
    <row r="48" spans="1:19" x14ac:dyDescent="0.2">
      <c r="A48" s="35"/>
      <c r="B48" s="287" t="s">
        <v>122</v>
      </c>
      <c r="C48" s="287"/>
      <c r="D48" s="287"/>
      <c r="E48" s="44"/>
      <c r="F48" s="282">
        <v>0.1</v>
      </c>
      <c r="G48" s="34"/>
      <c r="H48" s="45">
        <f>F48*H50</f>
        <v>101550.70572299999</v>
      </c>
      <c r="I48" s="16"/>
      <c r="J48" s="27" t="s">
        <v>46</v>
      </c>
      <c r="K48" s="19">
        <f>K47/(12*('Cash Flow Statement'!$C$70))</f>
        <v>1.0074200537012146</v>
      </c>
      <c r="L48" s="19">
        <f>IFERROR(L47/(12*('Cash Flow Statement'!$C$70)),"")</f>
        <v>1.0630102807241228</v>
      </c>
      <c r="M48" s="19">
        <f>IFERROR(M47/(12*('Cash Flow Statement'!$C$70)),"")</f>
        <v>1.1831505007197507</v>
      </c>
      <c r="N48" s="19">
        <f>IFERROR(N47/(12*('Cash Flow Statement'!$C$70)),"")</f>
        <v>1.3162860567378138</v>
      </c>
      <c r="O48" s="19">
        <f>IFERROR(O47/(12*('Cash Flow Statement'!$C$70)),"")</f>
        <v>1.388150871037527</v>
      </c>
      <c r="P48" s="19">
        <f>IFERROR(P47/(12*('Cash Flow Statement'!$C$70)),"")</f>
        <v>1.4637904413961105</v>
      </c>
      <c r="Q48" s="12"/>
    </row>
    <row r="49" spans="1:19" x14ac:dyDescent="0.2">
      <c r="A49" s="35"/>
      <c r="B49" s="288" t="s">
        <v>123</v>
      </c>
      <c r="C49" s="288"/>
      <c r="D49" s="288"/>
      <c r="E49" s="93"/>
      <c r="F49" s="289">
        <f>1-F48</f>
        <v>0.9</v>
      </c>
      <c r="G49" s="23"/>
      <c r="H49" s="125">
        <f>F49*H50</f>
        <v>913956.35150699993</v>
      </c>
      <c r="I49" s="16"/>
      <c r="J49" s="4"/>
      <c r="K49" s="4"/>
      <c r="L49" s="4"/>
      <c r="M49" s="4"/>
      <c r="N49" s="4"/>
      <c r="O49" s="4"/>
      <c r="P49" s="4"/>
      <c r="Q49" s="12"/>
    </row>
    <row r="50" spans="1:19" x14ac:dyDescent="0.2">
      <c r="A50" s="35"/>
      <c r="B50" s="287" t="s">
        <v>179</v>
      </c>
      <c r="C50" s="44"/>
      <c r="D50" s="44"/>
      <c r="E50" s="44"/>
      <c r="F50" s="44"/>
      <c r="G50" s="34"/>
      <c r="H50" s="290">
        <f>H44-H59</f>
        <v>1015507.0572299999</v>
      </c>
      <c r="I50" s="16"/>
      <c r="J50" s="27" t="s">
        <v>50</v>
      </c>
      <c r="K50" s="273">
        <f>IFERROR((K47+(12*(+'Cash Flow Statement'!$C$70)))/K43,"")</f>
        <v>1.5826629580881031</v>
      </c>
      <c r="L50" s="273">
        <f>IFERROR((L47+(12*(+'Cash Flow Statement'!$C$70)))/L43,"")</f>
        <v>1.5490387168900923</v>
      </c>
      <c r="M50" s="273">
        <f>IFERROR((M47+(12*(+'Cash Flow Statement'!$C$70)))/M43,"")</f>
        <v>1.4868458952345982</v>
      </c>
      <c r="N50" s="273">
        <f>IFERROR((N47+(12*(+'Cash Flow Statement'!$C$70)))/N43,"")</f>
        <v>1.4308558290448152</v>
      </c>
      <c r="O50" s="273">
        <f>IFERROR((O47+(12*(+'Cash Flow Statement'!$C$70)))/O43,"")</f>
        <v>1.4049994199499396</v>
      </c>
      <c r="P50" s="273">
        <f>IFERROR((P47+(12*(+'Cash Flow Statement'!$C$70)))/P43,"")</f>
        <v>1.380475972523479</v>
      </c>
      <c r="Q50" s="12"/>
    </row>
    <row r="51" spans="1:19" x14ac:dyDescent="0.2">
      <c r="A51" s="35"/>
      <c r="B51" s="44"/>
      <c r="C51" s="44"/>
      <c r="D51" s="44"/>
      <c r="E51" s="44"/>
      <c r="F51" s="44"/>
      <c r="G51" s="44"/>
      <c r="H51" s="4"/>
      <c r="I51" s="16"/>
      <c r="J51" s="27" t="s">
        <v>51</v>
      </c>
      <c r="K51" s="124">
        <f>IF(0=SUMIF('Cash Flow Statement'!$F$1:$DU$1,"=3",'Cash Flow Statement'!$F$80:$DU$80),"",SUMIF('Cash Flow Statement'!$F$1:$DU$1,"=3",'Cash Flow Statement'!$F$80:$DU$80))</f>
        <v>753.99423941961322</v>
      </c>
      <c r="L51" s="124">
        <f>IF(0=SUMIF('Cash Flow Statement'!$F$1:$DU$1,"=4",'Cash Flow Statement'!$F$80:$DU$80),"",SUMIF('Cash Flow Statement'!$F$1:$DU$1,"=4",'Cash Flow Statement'!$F$80:$DU$80))</f>
        <v>6402.8362331696171</v>
      </c>
      <c r="M51" s="124">
        <f>IF(0=SUMIF('Cash Flow Statement'!$F$1:$DU$1,"=6",'Cash Flow Statement'!$F$80:$DU$80),"",SUMIF('Cash Flow Statement'!$F$1:$DU$1,"=6",'Cash Flow Statement'!$F$80:$DU$80))</f>
        <v>18610.973457901498</v>
      </c>
      <c r="N51" s="124">
        <f>IF(0=SUMIF('Cash Flow Statement'!$F$1:$DU$1,"=8",'Cash Flow Statement'!$F$80:$DU$80),"",SUMIF('Cash Flow Statement'!$F$1:$DU$1,"=8",'Cash Flow Statement'!$F$80:$DU$80))</f>
        <v>32139.641354619554</v>
      </c>
      <c r="O51" s="124">
        <f>IF(0=SUMIF('Cash Flow Statement'!$F$1:$DU$1,"=9",'Cash Flow Statement'!$F$80:$DU$80),"",SUMIF('Cash Flow Statement'!$F$1:$DU$1,"=9",'Cash Flow Statement'!$F$80:$DU$80))</f>
        <v>39442.23755955993</v>
      </c>
      <c r="P51" s="124">
        <f>IF(0=SUMIF('Cash Flow Statement'!$F$1:$DT$1,"=10",'Cash Flow Statement'!$F$80:$DT$80)+'Cash Flow Statement'!DT80,"",SUMIF('Cash Flow Statement'!$F$1:$DT$1,"=10",'Cash Flow Statement'!$F$80:$DT$80)+'Cash Flow Statement'!DT80)</f>
        <v>47200.376765784094</v>
      </c>
      <c r="Q51" s="12"/>
    </row>
    <row r="52" spans="1:19" ht="15.75" customHeight="1" x14ac:dyDescent="0.2">
      <c r="A52" s="35"/>
      <c r="B52" s="58" t="s">
        <v>27</v>
      </c>
      <c r="C52" s="58"/>
      <c r="D52" s="44" t="s">
        <v>126</v>
      </c>
      <c r="E52" s="47" t="s">
        <v>127</v>
      </c>
      <c r="F52" s="47"/>
      <c r="G52" s="43" t="s">
        <v>120</v>
      </c>
      <c r="H52" s="50"/>
      <c r="I52" s="121"/>
      <c r="J52" s="27" t="s">
        <v>52</v>
      </c>
      <c r="K52" s="32">
        <f t="shared" ref="K52:P52" si="6">IFERROR(K51/$H$50,"")</f>
        <v>7.4248055102274166E-4</v>
      </c>
      <c r="L52" s="32">
        <f t="shared" si="6"/>
        <v>6.3050632564136408E-3</v>
      </c>
      <c r="M52" s="32">
        <f t="shared" si="6"/>
        <v>1.8326779046387603E-2</v>
      </c>
      <c r="N52" s="32">
        <f t="shared" si="6"/>
        <v>3.1648860661083834E-2</v>
      </c>
      <c r="O52" s="32">
        <f t="shared" si="6"/>
        <v>3.8839944320176935E-2</v>
      </c>
      <c r="P52" s="32">
        <f t="shared" si="6"/>
        <v>4.6479614720288241E-2</v>
      </c>
      <c r="Q52" s="19"/>
      <c r="S52" s="4"/>
    </row>
    <row r="53" spans="1:19" x14ac:dyDescent="0.2">
      <c r="A53" s="35"/>
      <c r="B53" s="287" t="s">
        <v>72</v>
      </c>
      <c r="C53" s="287"/>
      <c r="D53" s="280">
        <v>4.2500000000000003E-2</v>
      </c>
      <c r="E53" s="280">
        <v>7.4999999999999997E-3</v>
      </c>
      <c r="F53" s="282">
        <v>1</v>
      </c>
      <c r="G53" s="34">
        <f>F53*(1-0.4)</f>
        <v>0.6</v>
      </c>
      <c r="H53" s="45">
        <f>(G53*(H36-H19))</f>
        <v>1171242.666</v>
      </c>
      <c r="I53" s="16"/>
      <c r="J53" s="4"/>
      <c r="K53" s="4"/>
      <c r="L53" s="4"/>
      <c r="M53" s="4"/>
      <c r="N53" s="4"/>
      <c r="O53" s="4"/>
      <c r="P53" s="4"/>
      <c r="Q53" s="12"/>
      <c r="S53" s="5"/>
    </row>
    <row r="54" spans="1:19" x14ac:dyDescent="0.2">
      <c r="A54" s="35"/>
      <c r="B54" s="291" t="s">
        <v>22</v>
      </c>
      <c r="C54" s="291"/>
      <c r="D54" s="47"/>
      <c r="E54" s="292"/>
      <c r="F54" s="293"/>
      <c r="G54" s="278">
        <v>0.01</v>
      </c>
      <c r="H54" s="45">
        <f>-(H53*G54)</f>
        <v>-11712.426659999999</v>
      </c>
      <c r="I54" s="14"/>
      <c r="J54" s="4" t="s">
        <v>130</v>
      </c>
      <c r="K54" s="4"/>
      <c r="L54" s="17">
        <f>'Cash Flow Statement'!C50</f>
        <v>7.9366973042488118E-2</v>
      </c>
      <c r="M54" s="4"/>
      <c r="N54" s="4" t="s">
        <v>175</v>
      </c>
      <c r="O54" s="294"/>
      <c r="P54" s="10">
        <f>'Cash Flow Statement'!D80/H50/K36</f>
        <v>0.21849037986273637</v>
      </c>
      <c r="Q54" s="12"/>
      <c r="S54" s="4"/>
    </row>
    <row r="55" spans="1:19" x14ac:dyDescent="0.2">
      <c r="A55" s="35"/>
      <c r="B55" s="291" t="s">
        <v>98</v>
      </c>
      <c r="C55" s="291"/>
      <c r="D55" s="47"/>
      <c r="E55" s="292"/>
      <c r="F55" s="293"/>
      <c r="G55" s="278">
        <v>0.03</v>
      </c>
      <c r="H55" s="45">
        <f>-G55*H53</f>
        <v>-35137.279979999999</v>
      </c>
      <c r="I55" s="4"/>
      <c r="J55" s="5" t="s">
        <v>132</v>
      </c>
      <c r="K55" s="4"/>
      <c r="L55" s="18">
        <f>'Cash Flow Statement'!C51</f>
        <v>1.9450805865910132</v>
      </c>
      <c r="M55" s="4"/>
      <c r="N55" s="294" t="s">
        <v>36</v>
      </c>
      <c r="O55" s="5"/>
      <c r="P55" s="10">
        <f>AVERAGE(K52:P52)</f>
        <v>2.3723790425895497E-2</v>
      </c>
      <c r="Q55" s="12"/>
      <c r="S55" s="5"/>
    </row>
    <row r="56" spans="1:19" x14ac:dyDescent="0.2">
      <c r="A56" s="35"/>
      <c r="B56" s="287" t="s">
        <v>119</v>
      </c>
      <c r="C56" s="287"/>
      <c r="D56" s="280">
        <v>3.2500000000000001E-2</v>
      </c>
      <c r="E56" s="280">
        <v>3.5000000000000001E-3</v>
      </c>
      <c r="F56" s="49">
        <f>1-F53</f>
        <v>0</v>
      </c>
      <c r="G56" s="34"/>
      <c r="H56" s="50"/>
      <c r="I56" s="16"/>
      <c r="J56" s="4" t="s">
        <v>18</v>
      </c>
      <c r="K56" s="4"/>
      <c r="L56" s="17">
        <f>'Cash Flow Statement'!C78</f>
        <v>0.10754751563072204</v>
      </c>
      <c r="M56" s="4"/>
      <c r="N56" s="19" t="s">
        <v>39</v>
      </c>
      <c r="O56" s="4"/>
      <c r="P56" s="10">
        <f>'Cash Flow Statement'!D48/H50/K36</f>
        <v>0.19852080277126441</v>
      </c>
      <c r="Q56" s="19"/>
    </row>
    <row r="57" spans="1:19" x14ac:dyDescent="0.2">
      <c r="A57" s="35"/>
      <c r="B57" s="291" t="s">
        <v>22</v>
      </c>
      <c r="C57" s="291"/>
      <c r="D57" s="47"/>
      <c r="E57" s="47"/>
      <c r="F57" s="44"/>
      <c r="G57" s="34"/>
      <c r="H57" s="50"/>
      <c r="I57" s="294"/>
      <c r="J57" s="5" t="s">
        <v>19</v>
      </c>
      <c r="K57" s="4"/>
      <c r="L57" s="18">
        <f>'Cash Flow Statement'!C79</f>
        <v>2.096791016759803</v>
      </c>
      <c r="M57" s="4"/>
      <c r="N57" s="4" t="s">
        <v>43</v>
      </c>
      <c r="O57" s="4"/>
      <c r="P57" s="124">
        <f>'Cash Flow Statement'!D80</f>
        <v>2218785.2268747222</v>
      </c>
      <c r="Q57" s="274"/>
    </row>
    <row r="58" spans="1:19" x14ac:dyDescent="0.2">
      <c r="A58" s="35"/>
      <c r="B58" s="287"/>
      <c r="C58" s="287"/>
      <c r="D58" s="63"/>
      <c r="E58" s="63"/>
      <c r="F58" s="49"/>
      <c r="G58" s="34"/>
      <c r="H58" s="308"/>
      <c r="I58" s="4"/>
      <c r="J58" s="36"/>
      <c r="K58" s="36"/>
      <c r="L58" s="36"/>
      <c r="M58" s="36"/>
      <c r="N58" s="36"/>
      <c r="O58" s="36"/>
      <c r="P58" s="36"/>
      <c r="Q58" s="19"/>
    </row>
    <row r="59" spans="1:19" x14ac:dyDescent="0.2">
      <c r="A59" s="35"/>
      <c r="B59" s="287" t="s">
        <v>139</v>
      </c>
      <c r="C59" s="287"/>
      <c r="D59" s="47" t="s">
        <v>53</v>
      </c>
      <c r="E59" s="47"/>
      <c r="F59" s="309"/>
      <c r="G59" s="310"/>
      <c r="H59" s="45">
        <f>SUM(H53:H58)</f>
        <v>1124392.9593599997</v>
      </c>
      <c r="I59" s="14"/>
      <c r="J59" s="36"/>
      <c r="K59" s="36"/>
      <c r="L59" s="36"/>
      <c r="M59" s="19"/>
      <c r="N59" s="19"/>
      <c r="O59" s="19"/>
      <c r="P59" s="19"/>
      <c r="Q59" s="19"/>
    </row>
    <row r="60" spans="1:19" x14ac:dyDescent="0.2">
      <c r="A60" s="35"/>
      <c r="B60" s="287"/>
      <c r="C60" s="44"/>
      <c r="D60" s="44"/>
      <c r="E60" s="44"/>
      <c r="F60" s="44"/>
      <c r="G60" s="44"/>
      <c r="H60" s="45"/>
      <c r="I60" s="16"/>
      <c r="J60" s="164" t="s">
        <v>60</v>
      </c>
      <c r="K60" s="165" t="s">
        <v>152</v>
      </c>
      <c r="L60" s="165" t="s">
        <v>63</v>
      </c>
      <c r="M60" s="165" t="s">
        <v>64</v>
      </c>
      <c r="N60" s="165" t="s">
        <v>65</v>
      </c>
      <c r="O60" s="165" t="s">
        <v>66</v>
      </c>
      <c r="P60" s="166" t="s">
        <v>67</v>
      </c>
      <c r="Q60" s="19"/>
    </row>
    <row r="61" spans="1:19" x14ac:dyDescent="0.2">
      <c r="A61" s="35"/>
      <c r="B61" s="61" t="s">
        <v>31</v>
      </c>
      <c r="C61" s="61"/>
      <c r="D61" s="61"/>
      <c r="E61" s="44"/>
      <c r="F61" s="44"/>
      <c r="G61" s="44"/>
      <c r="H61" s="45">
        <f>H50+H59</f>
        <v>2139900.0165899997</v>
      </c>
      <c r="I61" s="4"/>
      <c r="J61" s="4" t="s">
        <v>61</v>
      </c>
      <c r="K61" s="281">
        <v>0</v>
      </c>
      <c r="L61" s="281">
        <v>0.1</v>
      </c>
      <c r="M61" s="281">
        <v>0</v>
      </c>
      <c r="N61" s="200">
        <f>1-M61</f>
        <v>1</v>
      </c>
      <c r="O61" s="200">
        <f>F48+(1-F48)*M61</f>
        <v>0.1</v>
      </c>
      <c r="P61" s="199">
        <f>N61*F49</f>
        <v>0.9</v>
      </c>
      <c r="Q61" s="19"/>
    </row>
    <row r="62" spans="1:19" x14ac:dyDescent="0.2">
      <c r="A62" s="35"/>
      <c r="B62" s="163"/>
      <c r="C62" s="59"/>
      <c r="D62" s="59"/>
      <c r="E62" s="37"/>
      <c r="F62" s="35"/>
      <c r="G62" s="35"/>
      <c r="H62" s="51"/>
      <c r="I62" s="4"/>
      <c r="J62" s="4" t="s">
        <v>62</v>
      </c>
      <c r="K62" s="281">
        <v>0.1</v>
      </c>
      <c r="L62" s="200"/>
      <c r="M62" s="281">
        <v>0.5</v>
      </c>
      <c r="N62" s="200">
        <f>1-M62</f>
        <v>0.5</v>
      </c>
      <c r="O62" s="200">
        <f>F48+(1-F48)*M62</f>
        <v>0.55000000000000004</v>
      </c>
      <c r="P62" s="199">
        <f>N62*F49</f>
        <v>0.45</v>
      </c>
      <c r="Q62" s="19"/>
    </row>
    <row r="63" spans="1:19" x14ac:dyDescent="0.2">
      <c r="A63" s="35"/>
      <c r="B63" s="163"/>
      <c r="C63" s="59"/>
      <c r="D63" s="59"/>
      <c r="E63" s="37"/>
      <c r="F63" s="35"/>
      <c r="G63" s="35"/>
      <c r="H63" s="51"/>
      <c r="I63" s="4"/>
      <c r="J63" s="36"/>
      <c r="K63" s="36"/>
      <c r="L63" s="36"/>
      <c r="M63" s="19"/>
      <c r="N63" s="19"/>
      <c r="O63" s="19"/>
      <c r="P63" s="19"/>
      <c r="Q63" s="19"/>
    </row>
    <row r="64" spans="1:19" x14ac:dyDescent="0.2">
      <c r="A64" s="35"/>
      <c r="B64" s="19"/>
      <c r="C64" s="59"/>
      <c r="D64" s="59"/>
      <c r="E64" s="37"/>
      <c r="F64" s="35"/>
      <c r="G64" s="35"/>
      <c r="H64" s="51"/>
      <c r="I64" s="8"/>
      <c r="J64" s="167" t="s">
        <v>58</v>
      </c>
      <c r="K64" s="168"/>
      <c r="L64" s="38">
        <f>F48</f>
        <v>0.1</v>
      </c>
      <c r="M64" s="171" t="s">
        <v>70</v>
      </c>
      <c r="N64" s="328">
        <f>'Cash Flow Statement'!C138</f>
        <v>0.19814203381538392</v>
      </c>
      <c r="O64" s="171" t="s">
        <v>71</v>
      </c>
      <c r="P64" s="327">
        <f>'Cash Flow Statement'!C139</f>
        <v>3.1872225528366025</v>
      </c>
      <c r="Q64" s="19"/>
    </row>
    <row r="65" spans="1:17" x14ac:dyDescent="0.2">
      <c r="A65" s="2"/>
      <c r="C65" s="59"/>
      <c r="D65" s="59"/>
      <c r="E65" s="37"/>
      <c r="F65" s="35"/>
      <c r="G65" s="35"/>
      <c r="H65" s="51"/>
      <c r="I65" s="14"/>
      <c r="J65" s="169" t="s">
        <v>59</v>
      </c>
      <c r="K65" s="170"/>
      <c r="L65" s="38">
        <f>F49</f>
        <v>0.9</v>
      </c>
      <c r="M65" s="172" t="s">
        <v>68</v>
      </c>
      <c r="N65" s="328">
        <f>'Cash Flow Statement'!C131</f>
        <v>0.11439973711967469</v>
      </c>
      <c r="O65" s="172" t="s">
        <v>69</v>
      </c>
      <c r="P65" s="327">
        <f>'Cash Flow Statement'!C132</f>
        <v>1.1539123605768249</v>
      </c>
      <c r="Q65" s="19"/>
    </row>
    <row r="66" spans="1:17" x14ac:dyDescent="0.2">
      <c r="A66" s="2"/>
      <c r="B66" s="161"/>
      <c r="C66" s="2"/>
      <c r="D66" s="2"/>
      <c r="E66" s="2"/>
      <c r="F66" s="2"/>
      <c r="G66" s="2"/>
      <c r="H66" s="2"/>
      <c r="I66" s="4"/>
      <c r="J66" s="36"/>
      <c r="K66" s="36"/>
      <c r="L66" s="36"/>
      <c r="M66" s="19"/>
      <c r="N66" s="19"/>
      <c r="O66" s="19"/>
      <c r="P66" s="19"/>
      <c r="Q66" s="19"/>
    </row>
  </sheetData>
  <conditionalFormatting sqref="M36:M37">
    <cfRule type="cellIs" dxfId="0" priority="79" operator="equal">
      <formula>0</formula>
    </cfRule>
    <cfRule type="cellIs" priority="80" operator="equal">
      <formula>0</formula>
    </cfRule>
  </conditionalFormatting>
  <pageMargins left="0.25" right="0.25" top="0.75" bottom="0.75" header="0.3" footer="0.3"/>
  <pageSetup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D91D-B365-4F4E-8F41-8050C85FEB28}">
  <dimension ref="A1:XEZ323"/>
  <sheetViews>
    <sheetView view="pageBreakPreview" zoomScaleNormal="108" zoomScaleSheetLayoutView="100" workbookViewId="0">
      <pane xSplit="4" ySplit="3" topLeftCell="E55" activePane="bottomRight" state="frozen"/>
      <selection activeCell="H44" sqref="H44"/>
      <selection pane="topRight" activeCell="H44" sqref="H44"/>
      <selection pane="bottomLeft" activeCell="H44" sqref="H44"/>
      <selection pane="bottomRight" activeCell="B75" sqref="B75"/>
    </sheetView>
  </sheetViews>
  <sheetFormatPr baseColWidth="10" defaultColWidth="8" defaultRowHeight="15" outlineLevelCol="1" x14ac:dyDescent="0.2"/>
  <cols>
    <col min="1" max="1" width="2.5" style="2" customWidth="1"/>
    <col min="2" max="2" width="33.1640625" style="6" bestFit="1" customWidth="1"/>
    <col min="3" max="3" width="16.33203125" style="6" bestFit="1" customWidth="1"/>
    <col min="4" max="4" width="16.6640625" style="6" customWidth="1"/>
    <col min="5" max="5" width="17" style="6" bestFit="1" customWidth="1"/>
    <col min="6" max="6" width="30.1640625" style="6" customWidth="1" outlineLevel="1"/>
    <col min="7" max="16" width="29.1640625" style="6" customWidth="1" outlineLevel="1"/>
    <col min="17" max="17" width="29.1640625" style="6" customWidth="1"/>
    <col min="18" max="28" width="29.1640625" style="6" customWidth="1" outlineLevel="1"/>
    <col min="29" max="29" width="29.1640625" style="6" bestFit="1" customWidth="1"/>
    <col min="30" max="40" width="29.1640625" style="6" customWidth="1" outlineLevel="1"/>
    <col min="41" max="41" width="29.1640625" style="6" bestFit="1" customWidth="1"/>
    <col min="42" max="52" width="29.1640625" style="6" customWidth="1" outlineLevel="1"/>
    <col min="53" max="53" width="29.1640625" style="6" bestFit="1" customWidth="1"/>
    <col min="54" max="64" width="29.1640625" style="6" customWidth="1" outlineLevel="1"/>
    <col min="65" max="65" width="29.1640625" style="6" bestFit="1" customWidth="1"/>
    <col min="66" max="76" width="29.1640625" style="6" customWidth="1" outlineLevel="1"/>
    <col min="77" max="77" width="29.1640625" style="6" bestFit="1" customWidth="1"/>
    <col min="78" max="88" width="29.1640625" style="6" customWidth="1" outlineLevel="1"/>
    <col min="89" max="89" width="29.1640625" style="6" bestFit="1" customWidth="1"/>
    <col min="90" max="100" width="29.1640625" style="6" customWidth="1" outlineLevel="1"/>
    <col min="101" max="101" width="29.1640625" style="6" bestFit="1" customWidth="1"/>
    <col min="102" max="112" width="29.1640625" style="6" customWidth="1" outlineLevel="1"/>
    <col min="113" max="113" width="29.1640625" style="6" bestFit="1" customWidth="1"/>
    <col min="114" max="124" width="29.1640625" style="6" customWidth="1" outlineLevel="1"/>
    <col min="125" max="125" width="29.1640625" style="6" bestFit="1" customWidth="1"/>
    <col min="126" max="126" width="12.1640625" style="6" bestFit="1" customWidth="1"/>
    <col min="127" max="127" width="9.6640625" style="36" bestFit="1" customWidth="1"/>
    <col min="128" max="135" width="9.6640625" style="1" bestFit="1" customWidth="1"/>
    <col min="136" max="16384" width="8" style="1"/>
  </cols>
  <sheetData>
    <row r="1" spans="1:126 16380:16380" x14ac:dyDescent="0.2">
      <c r="A1" s="158"/>
      <c r="B1" s="65"/>
      <c r="C1" s="66"/>
      <c r="D1" s="66"/>
      <c r="E1" s="66">
        <v>0</v>
      </c>
      <c r="F1" s="68">
        <f>ROUNDUP((DATEDIF($E$3,F3,"d")+1)/365,0)</f>
        <v>1</v>
      </c>
      <c r="G1" s="68">
        <f t="shared" ref="G1:Q1" si="0">$F$1</f>
        <v>1</v>
      </c>
      <c r="H1" s="68">
        <f t="shared" si="0"/>
        <v>1</v>
      </c>
      <c r="I1" s="68">
        <f t="shared" si="0"/>
        <v>1</v>
      </c>
      <c r="J1" s="68">
        <f t="shared" si="0"/>
        <v>1</v>
      </c>
      <c r="K1" s="68">
        <f t="shared" si="0"/>
        <v>1</v>
      </c>
      <c r="L1" s="68">
        <f t="shared" si="0"/>
        <v>1</v>
      </c>
      <c r="M1" s="68">
        <f t="shared" si="0"/>
        <v>1</v>
      </c>
      <c r="N1" s="68">
        <f t="shared" si="0"/>
        <v>1</v>
      </c>
      <c r="O1" s="68">
        <f t="shared" si="0"/>
        <v>1</v>
      </c>
      <c r="P1" s="68">
        <f t="shared" si="0"/>
        <v>1</v>
      </c>
      <c r="Q1" s="68">
        <f t="shared" si="0"/>
        <v>1</v>
      </c>
      <c r="R1" s="68">
        <f>F1+1</f>
        <v>2</v>
      </c>
      <c r="S1" s="68">
        <f t="shared" ref="S1:CC1" si="1">G1+1</f>
        <v>2</v>
      </c>
      <c r="T1" s="68">
        <f t="shared" si="1"/>
        <v>2</v>
      </c>
      <c r="U1" s="68">
        <f t="shared" si="1"/>
        <v>2</v>
      </c>
      <c r="V1" s="68">
        <f t="shared" si="1"/>
        <v>2</v>
      </c>
      <c r="W1" s="68">
        <f t="shared" si="1"/>
        <v>2</v>
      </c>
      <c r="X1" s="68">
        <f t="shared" si="1"/>
        <v>2</v>
      </c>
      <c r="Y1" s="68">
        <f t="shared" si="1"/>
        <v>2</v>
      </c>
      <c r="Z1" s="68">
        <f t="shared" si="1"/>
        <v>2</v>
      </c>
      <c r="AA1" s="68">
        <f t="shared" si="1"/>
        <v>2</v>
      </c>
      <c r="AB1" s="68">
        <f t="shared" si="1"/>
        <v>2</v>
      </c>
      <c r="AC1" s="68">
        <f t="shared" si="1"/>
        <v>2</v>
      </c>
      <c r="AD1" s="68">
        <f t="shared" si="1"/>
        <v>3</v>
      </c>
      <c r="AE1" s="68">
        <f t="shared" si="1"/>
        <v>3</v>
      </c>
      <c r="AF1" s="68">
        <f t="shared" si="1"/>
        <v>3</v>
      </c>
      <c r="AG1" s="68">
        <f t="shared" si="1"/>
        <v>3</v>
      </c>
      <c r="AH1" s="68">
        <f t="shared" si="1"/>
        <v>3</v>
      </c>
      <c r="AI1" s="68">
        <f t="shared" si="1"/>
        <v>3</v>
      </c>
      <c r="AJ1" s="68">
        <f t="shared" si="1"/>
        <v>3</v>
      </c>
      <c r="AK1" s="68">
        <f t="shared" si="1"/>
        <v>3</v>
      </c>
      <c r="AL1" s="68">
        <f t="shared" si="1"/>
        <v>3</v>
      </c>
      <c r="AM1" s="68">
        <f t="shared" si="1"/>
        <v>3</v>
      </c>
      <c r="AN1" s="68">
        <f t="shared" si="1"/>
        <v>3</v>
      </c>
      <c r="AO1" s="68">
        <f t="shared" si="1"/>
        <v>3</v>
      </c>
      <c r="AP1" s="68">
        <f t="shared" si="1"/>
        <v>4</v>
      </c>
      <c r="AQ1" s="68">
        <f t="shared" si="1"/>
        <v>4</v>
      </c>
      <c r="AR1" s="68">
        <f t="shared" si="1"/>
        <v>4</v>
      </c>
      <c r="AS1" s="68">
        <f t="shared" si="1"/>
        <v>4</v>
      </c>
      <c r="AT1" s="68">
        <f t="shared" si="1"/>
        <v>4</v>
      </c>
      <c r="AU1" s="68">
        <f t="shared" si="1"/>
        <v>4</v>
      </c>
      <c r="AV1" s="68">
        <f t="shared" si="1"/>
        <v>4</v>
      </c>
      <c r="AW1" s="68">
        <f t="shared" si="1"/>
        <v>4</v>
      </c>
      <c r="AX1" s="68">
        <f t="shared" si="1"/>
        <v>4</v>
      </c>
      <c r="AY1" s="68">
        <f t="shared" si="1"/>
        <v>4</v>
      </c>
      <c r="AZ1" s="68">
        <f t="shared" si="1"/>
        <v>4</v>
      </c>
      <c r="BA1" s="68">
        <f t="shared" si="1"/>
        <v>4</v>
      </c>
      <c r="BB1" s="68">
        <f t="shared" si="1"/>
        <v>5</v>
      </c>
      <c r="BC1" s="68">
        <f t="shared" si="1"/>
        <v>5</v>
      </c>
      <c r="BD1" s="68">
        <f t="shared" si="1"/>
        <v>5</v>
      </c>
      <c r="BE1" s="68">
        <f t="shared" si="1"/>
        <v>5</v>
      </c>
      <c r="BF1" s="68">
        <f t="shared" si="1"/>
        <v>5</v>
      </c>
      <c r="BG1" s="68">
        <f t="shared" si="1"/>
        <v>5</v>
      </c>
      <c r="BH1" s="68">
        <f t="shared" si="1"/>
        <v>5</v>
      </c>
      <c r="BI1" s="68">
        <f t="shared" si="1"/>
        <v>5</v>
      </c>
      <c r="BJ1" s="68">
        <f t="shared" si="1"/>
        <v>5</v>
      </c>
      <c r="BK1" s="68">
        <f t="shared" si="1"/>
        <v>5</v>
      </c>
      <c r="BL1" s="68">
        <f t="shared" si="1"/>
        <v>5</v>
      </c>
      <c r="BM1" s="68">
        <f t="shared" si="1"/>
        <v>5</v>
      </c>
      <c r="BN1" s="68">
        <f t="shared" si="1"/>
        <v>6</v>
      </c>
      <c r="BO1" s="68">
        <f t="shared" si="1"/>
        <v>6</v>
      </c>
      <c r="BP1" s="68">
        <f t="shared" si="1"/>
        <v>6</v>
      </c>
      <c r="BQ1" s="68">
        <f t="shared" si="1"/>
        <v>6</v>
      </c>
      <c r="BR1" s="68">
        <f t="shared" si="1"/>
        <v>6</v>
      </c>
      <c r="BS1" s="68">
        <f t="shared" si="1"/>
        <v>6</v>
      </c>
      <c r="BT1" s="68">
        <f t="shared" si="1"/>
        <v>6</v>
      </c>
      <c r="BU1" s="68">
        <f t="shared" si="1"/>
        <v>6</v>
      </c>
      <c r="BV1" s="68">
        <f t="shared" si="1"/>
        <v>6</v>
      </c>
      <c r="BW1" s="68">
        <f t="shared" si="1"/>
        <v>6</v>
      </c>
      <c r="BX1" s="68">
        <f t="shared" si="1"/>
        <v>6</v>
      </c>
      <c r="BY1" s="68">
        <f t="shared" si="1"/>
        <v>6</v>
      </c>
      <c r="BZ1" s="68">
        <f t="shared" si="1"/>
        <v>7</v>
      </c>
      <c r="CA1" s="68">
        <f t="shared" si="1"/>
        <v>7</v>
      </c>
      <c r="CB1" s="68">
        <f t="shared" si="1"/>
        <v>7</v>
      </c>
      <c r="CC1" s="68">
        <f t="shared" si="1"/>
        <v>7</v>
      </c>
      <c r="CD1" s="68">
        <f t="shared" ref="CD1:DU1" si="2">BR1+1</f>
        <v>7</v>
      </c>
      <c r="CE1" s="68">
        <f t="shared" si="2"/>
        <v>7</v>
      </c>
      <c r="CF1" s="68">
        <f t="shared" si="2"/>
        <v>7</v>
      </c>
      <c r="CG1" s="68">
        <f t="shared" si="2"/>
        <v>7</v>
      </c>
      <c r="CH1" s="68">
        <f t="shared" si="2"/>
        <v>7</v>
      </c>
      <c r="CI1" s="68">
        <f t="shared" si="2"/>
        <v>7</v>
      </c>
      <c r="CJ1" s="68">
        <f t="shared" si="2"/>
        <v>7</v>
      </c>
      <c r="CK1" s="68">
        <f t="shared" si="2"/>
        <v>7</v>
      </c>
      <c r="CL1" s="68">
        <f t="shared" si="2"/>
        <v>8</v>
      </c>
      <c r="CM1" s="68">
        <f t="shared" si="2"/>
        <v>8</v>
      </c>
      <c r="CN1" s="68">
        <f t="shared" si="2"/>
        <v>8</v>
      </c>
      <c r="CO1" s="68">
        <f t="shared" si="2"/>
        <v>8</v>
      </c>
      <c r="CP1" s="68">
        <f t="shared" si="2"/>
        <v>8</v>
      </c>
      <c r="CQ1" s="68">
        <f t="shared" si="2"/>
        <v>8</v>
      </c>
      <c r="CR1" s="68">
        <f t="shared" si="2"/>
        <v>8</v>
      </c>
      <c r="CS1" s="68">
        <f t="shared" si="2"/>
        <v>8</v>
      </c>
      <c r="CT1" s="68">
        <f t="shared" si="2"/>
        <v>8</v>
      </c>
      <c r="CU1" s="68">
        <f t="shared" si="2"/>
        <v>8</v>
      </c>
      <c r="CV1" s="68">
        <f t="shared" si="2"/>
        <v>8</v>
      </c>
      <c r="CW1" s="68">
        <f t="shared" si="2"/>
        <v>8</v>
      </c>
      <c r="CX1" s="68">
        <f t="shared" si="2"/>
        <v>9</v>
      </c>
      <c r="CY1" s="68">
        <f t="shared" si="2"/>
        <v>9</v>
      </c>
      <c r="CZ1" s="68">
        <f t="shared" si="2"/>
        <v>9</v>
      </c>
      <c r="DA1" s="68">
        <f t="shared" si="2"/>
        <v>9</v>
      </c>
      <c r="DB1" s="68">
        <f t="shared" si="2"/>
        <v>9</v>
      </c>
      <c r="DC1" s="68">
        <f t="shared" si="2"/>
        <v>9</v>
      </c>
      <c r="DD1" s="68">
        <f t="shared" si="2"/>
        <v>9</v>
      </c>
      <c r="DE1" s="68">
        <f t="shared" si="2"/>
        <v>9</v>
      </c>
      <c r="DF1" s="68">
        <f t="shared" si="2"/>
        <v>9</v>
      </c>
      <c r="DG1" s="68">
        <f t="shared" si="2"/>
        <v>9</v>
      </c>
      <c r="DH1" s="68">
        <f t="shared" si="2"/>
        <v>9</v>
      </c>
      <c r="DI1" s="68">
        <f t="shared" si="2"/>
        <v>9</v>
      </c>
      <c r="DJ1" s="68">
        <f t="shared" si="2"/>
        <v>10</v>
      </c>
      <c r="DK1" s="68">
        <f t="shared" si="2"/>
        <v>10</v>
      </c>
      <c r="DL1" s="68">
        <f t="shared" si="2"/>
        <v>10</v>
      </c>
      <c r="DM1" s="68">
        <f t="shared" si="2"/>
        <v>10</v>
      </c>
      <c r="DN1" s="68">
        <f t="shared" si="2"/>
        <v>10</v>
      </c>
      <c r="DO1" s="68">
        <f t="shared" si="2"/>
        <v>10</v>
      </c>
      <c r="DP1" s="68">
        <f t="shared" si="2"/>
        <v>10</v>
      </c>
      <c r="DQ1" s="68">
        <f t="shared" si="2"/>
        <v>10</v>
      </c>
      <c r="DR1" s="68">
        <f t="shared" si="2"/>
        <v>10</v>
      </c>
      <c r="DS1" s="68">
        <f t="shared" si="2"/>
        <v>10</v>
      </c>
      <c r="DT1" s="68">
        <f t="shared" si="2"/>
        <v>10</v>
      </c>
      <c r="DU1" s="68">
        <f t="shared" si="2"/>
        <v>10</v>
      </c>
      <c r="DV1" s="69"/>
    </row>
    <row r="2" spans="1:126 16380:16380" x14ac:dyDescent="0.2">
      <c r="A2" s="159"/>
      <c r="B2" s="70"/>
      <c r="C2" s="67"/>
      <c r="D2" s="67" t="s">
        <v>0</v>
      </c>
      <c r="E2" s="71">
        <v>0</v>
      </c>
      <c r="F2" s="71">
        <f>ROUNDUP((DATEDIF($E$3,F3,"d")+1)/365,0)</f>
        <v>1</v>
      </c>
      <c r="G2" s="71">
        <f>F2+1</f>
        <v>2</v>
      </c>
      <c r="H2" s="71">
        <f t="shared" ref="H2:BS2" si="3">G2+1</f>
        <v>3</v>
      </c>
      <c r="I2" s="71">
        <f t="shared" si="3"/>
        <v>4</v>
      </c>
      <c r="J2" s="71">
        <f t="shared" si="3"/>
        <v>5</v>
      </c>
      <c r="K2" s="71">
        <f t="shared" si="3"/>
        <v>6</v>
      </c>
      <c r="L2" s="71">
        <f t="shared" si="3"/>
        <v>7</v>
      </c>
      <c r="M2" s="71">
        <f t="shared" si="3"/>
        <v>8</v>
      </c>
      <c r="N2" s="71">
        <f t="shared" si="3"/>
        <v>9</v>
      </c>
      <c r="O2" s="71">
        <f t="shared" si="3"/>
        <v>10</v>
      </c>
      <c r="P2" s="71">
        <f t="shared" si="3"/>
        <v>11</v>
      </c>
      <c r="Q2" s="71">
        <f t="shared" si="3"/>
        <v>12</v>
      </c>
      <c r="R2" s="71">
        <f t="shared" si="3"/>
        <v>13</v>
      </c>
      <c r="S2" s="71">
        <f t="shared" si="3"/>
        <v>14</v>
      </c>
      <c r="T2" s="71">
        <f t="shared" si="3"/>
        <v>15</v>
      </c>
      <c r="U2" s="71">
        <f t="shared" si="3"/>
        <v>16</v>
      </c>
      <c r="V2" s="71">
        <f t="shared" si="3"/>
        <v>17</v>
      </c>
      <c r="W2" s="71">
        <f t="shared" si="3"/>
        <v>18</v>
      </c>
      <c r="X2" s="71">
        <f t="shared" si="3"/>
        <v>19</v>
      </c>
      <c r="Y2" s="71">
        <f t="shared" si="3"/>
        <v>20</v>
      </c>
      <c r="Z2" s="71">
        <f t="shared" si="3"/>
        <v>21</v>
      </c>
      <c r="AA2" s="71">
        <f t="shared" si="3"/>
        <v>22</v>
      </c>
      <c r="AB2" s="71">
        <f t="shared" si="3"/>
        <v>23</v>
      </c>
      <c r="AC2" s="71">
        <f t="shared" si="3"/>
        <v>24</v>
      </c>
      <c r="AD2" s="71">
        <f t="shared" si="3"/>
        <v>25</v>
      </c>
      <c r="AE2" s="71">
        <f t="shared" si="3"/>
        <v>26</v>
      </c>
      <c r="AF2" s="71">
        <f t="shared" si="3"/>
        <v>27</v>
      </c>
      <c r="AG2" s="71">
        <f t="shared" si="3"/>
        <v>28</v>
      </c>
      <c r="AH2" s="71">
        <f t="shared" si="3"/>
        <v>29</v>
      </c>
      <c r="AI2" s="71">
        <f t="shared" si="3"/>
        <v>30</v>
      </c>
      <c r="AJ2" s="71">
        <f t="shared" si="3"/>
        <v>31</v>
      </c>
      <c r="AK2" s="71">
        <f t="shared" si="3"/>
        <v>32</v>
      </c>
      <c r="AL2" s="71">
        <f t="shared" si="3"/>
        <v>33</v>
      </c>
      <c r="AM2" s="71">
        <f t="shared" si="3"/>
        <v>34</v>
      </c>
      <c r="AN2" s="71">
        <f t="shared" si="3"/>
        <v>35</v>
      </c>
      <c r="AO2" s="71">
        <f t="shared" si="3"/>
        <v>36</v>
      </c>
      <c r="AP2" s="71">
        <f t="shared" si="3"/>
        <v>37</v>
      </c>
      <c r="AQ2" s="71">
        <f t="shared" si="3"/>
        <v>38</v>
      </c>
      <c r="AR2" s="71">
        <f t="shared" si="3"/>
        <v>39</v>
      </c>
      <c r="AS2" s="71">
        <f t="shared" si="3"/>
        <v>40</v>
      </c>
      <c r="AT2" s="71">
        <f t="shared" si="3"/>
        <v>41</v>
      </c>
      <c r="AU2" s="71">
        <f t="shared" si="3"/>
        <v>42</v>
      </c>
      <c r="AV2" s="71">
        <f t="shared" si="3"/>
        <v>43</v>
      </c>
      <c r="AW2" s="71">
        <f t="shared" si="3"/>
        <v>44</v>
      </c>
      <c r="AX2" s="71">
        <f t="shared" si="3"/>
        <v>45</v>
      </c>
      <c r="AY2" s="71">
        <f t="shared" si="3"/>
        <v>46</v>
      </c>
      <c r="AZ2" s="71">
        <f t="shared" si="3"/>
        <v>47</v>
      </c>
      <c r="BA2" s="71">
        <f t="shared" si="3"/>
        <v>48</v>
      </c>
      <c r="BB2" s="71">
        <f t="shared" si="3"/>
        <v>49</v>
      </c>
      <c r="BC2" s="71">
        <f t="shared" si="3"/>
        <v>50</v>
      </c>
      <c r="BD2" s="71">
        <f t="shared" si="3"/>
        <v>51</v>
      </c>
      <c r="BE2" s="71">
        <f t="shared" si="3"/>
        <v>52</v>
      </c>
      <c r="BF2" s="71">
        <f t="shared" si="3"/>
        <v>53</v>
      </c>
      <c r="BG2" s="71">
        <f t="shared" si="3"/>
        <v>54</v>
      </c>
      <c r="BH2" s="71">
        <f t="shared" si="3"/>
        <v>55</v>
      </c>
      <c r="BI2" s="71">
        <f t="shared" si="3"/>
        <v>56</v>
      </c>
      <c r="BJ2" s="71">
        <f t="shared" si="3"/>
        <v>57</v>
      </c>
      <c r="BK2" s="71">
        <f t="shared" si="3"/>
        <v>58</v>
      </c>
      <c r="BL2" s="71">
        <f t="shared" si="3"/>
        <v>59</v>
      </c>
      <c r="BM2" s="71">
        <f t="shared" si="3"/>
        <v>60</v>
      </c>
      <c r="BN2" s="71">
        <f t="shared" si="3"/>
        <v>61</v>
      </c>
      <c r="BO2" s="71">
        <f t="shared" si="3"/>
        <v>62</v>
      </c>
      <c r="BP2" s="71">
        <f t="shared" si="3"/>
        <v>63</v>
      </c>
      <c r="BQ2" s="71">
        <f t="shared" si="3"/>
        <v>64</v>
      </c>
      <c r="BR2" s="71">
        <f t="shared" si="3"/>
        <v>65</v>
      </c>
      <c r="BS2" s="71">
        <f t="shared" si="3"/>
        <v>66</v>
      </c>
      <c r="BT2" s="71">
        <f t="shared" ref="BT2:DU2" si="4">BS2+1</f>
        <v>67</v>
      </c>
      <c r="BU2" s="71">
        <f t="shared" si="4"/>
        <v>68</v>
      </c>
      <c r="BV2" s="71">
        <f t="shared" si="4"/>
        <v>69</v>
      </c>
      <c r="BW2" s="71">
        <f t="shared" si="4"/>
        <v>70</v>
      </c>
      <c r="BX2" s="71">
        <f t="shared" si="4"/>
        <v>71</v>
      </c>
      <c r="BY2" s="71">
        <f t="shared" si="4"/>
        <v>72</v>
      </c>
      <c r="BZ2" s="71">
        <f t="shared" si="4"/>
        <v>73</v>
      </c>
      <c r="CA2" s="71">
        <f t="shared" si="4"/>
        <v>74</v>
      </c>
      <c r="CB2" s="71">
        <f t="shared" si="4"/>
        <v>75</v>
      </c>
      <c r="CC2" s="71">
        <f t="shared" si="4"/>
        <v>76</v>
      </c>
      <c r="CD2" s="71">
        <f t="shared" si="4"/>
        <v>77</v>
      </c>
      <c r="CE2" s="71">
        <f t="shared" si="4"/>
        <v>78</v>
      </c>
      <c r="CF2" s="71">
        <f t="shared" si="4"/>
        <v>79</v>
      </c>
      <c r="CG2" s="71">
        <f t="shared" si="4"/>
        <v>80</v>
      </c>
      <c r="CH2" s="71">
        <f t="shared" si="4"/>
        <v>81</v>
      </c>
      <c r="CI2" s="71">
        <f t="shared" si="4"/>
        <v>82</v>
      </c>
      <c r="CJ2" s="71">
        <f t="shared" si="4"/>
        <v>83</v>
      </c>
      <c r="CK2" s="71">
        <f t="shared" si="4"/>
        <v>84</v>
      </c>
      <c r="CL2" s="71">
        <f t="shared" si="4"/>
        <v>85</v>
      </c>
      <c r="CM2" s="71">
        <f t="shared" si="4"/>
        <v>86</v>
      </c>
      <c r="CN2" s="71">
        <f t="shared" si="4"/>
        <v>87</v>
      </c>
      <c r="CO2" s="71">
        <f t="shared" si="4"/>
        <v>88</v>
      </c>
      <c r="CP2" s="71">
        <f t="shared" si="4"/>
        <v>89</v>
      </c>
      <c r="CQ2" s="71">
        <f t="shared" si="4"/>
        <v>90</v>
      </c>
      <c r="CR2" s="71">
        <f t="shared" si="4"/>
        <v>91</v>
      </c>
      <c r="CS2" s="71">
        <f t="shared" si="4"/>
        <v>92</v>
      </c>
      <c r="CT2" s="71">
        <f t="shared" si="4"/>
        <v>93</v>
      </c>
      <c r="CU2" s="71">
        <f t="shared" si="4"/>
        <v>94</v>
      </c>
      <c r="CV2" s="71">
        <f t="shared" si="4"/>
        <v>95</v>
      </c>
      <c r="CW2" s="71">
        <f t="shared" si="4"/>
        <v>96</v>
      </c>
      <c r="CX2" s="71">
        <f t="shared" si="4"/>
        <v>97</v>
      </c>
      <c r="CY2" s="71">
        <f t="shared" si="4"/>
        <v>98</v>
      </c>
      <c r="CZ2" s="71">
        <f t="shared" si="4"/>
        <v>99</v>
      </c>
      <c r="DA2" s="71">
        <f t="shared" si="4"/>
        <v>100</v>
      </c>
      <c r="DB2" s="71">
        <f t="shared" si="4"/>
        <v>101</v>
      </c>
      <c r="DC2" s="71">
        <f t="shared" si="4"/>
        <v>102</v>
      </c>
      <c r="DD2" s="71">
        <f t="shared" si="4"/>
        <v>103</v>
      </c>
      <c r="DE2" s="71">
        <f t="shared" si="4"/>
        <v>104</v>
      </c>
      <c r="DF2" s="71">
        <f t="shared" si="4"/>
        <v>105</v>
      </c>
      <c r="DG2" s="71">
        <f t="shared" si="4"/>
        <v>106</v>
      </c>
      <c r="DH2" s="71">
        <f t="shared" si="4"/>
        <v>107</v>
      </c>
      <c r="DI2" s="71">
        <f t="shared" si="4"/>
        <v>108</v>
      </c>
      <c r="DJ2" s="71">
        <f t="shared" si="4"/>
        <v>109</v>
      </c>
      <c r="DK2" s="71">
        <f t="shared" si="4"/>
        <v>110</v>
      </c>
      <c r="DL2" s="71">
        <f t="shared" si="4"/>
        <v>111</v>
      </c>
      <c r="DM2" s="71">
        <f t="shared" si="4"/>
        <v>112</v>
      </c>
      <c r="DN2" s="71">
        <f t="shared" si="4"/>
        <v>113</v>
      </c>
      <c r="DO2" s="71">
        <f t="shared" si="4"/>
        <v>114</v>
      </c>
      <c r="DP2" s="71">
        <f t="shared" si="4"/>
        <v>115</v>
      </c>
      <c r="DQ2" s="71">
        <f t="shared" si="4"/>
        <v>116</v>
      </c>
      <c r="DR2" s="71">
        <f t="shared" si="4"/>
        <v>117</v>
      </c>
      <c r="DS2" s="71">
        <f t="shared" si="4"/>
        <v>118</v>
      </c>
      <c r="DT2" s="71">
        <f t="shared" si="4"/>
        <v>119</v>
      </c>
      <c r="DU2" s="71">
        <f t="shared" si="4"/>
        <v>120</v>
      </c>
      <c r="DV2" s="155"/>
    </row>
    <row r="3" spans="1:126 16380:16380" ht="16" thickBot="1" x14ac:dyDescent="0.25">
      <c r="A3" s="88"/>
      <c r="B3" s="72"/>
      <c r="C3" s="73"/>
      <c r="D3" s="74"/>
      <c r="E3" s="73">
        <f>Summary!H5</f>
        <v>44561</v>
      </c>
      <c r="F3" s="73">
        <f>EOMONTH(E3,0)+1</f>
        <v>44562</v>
      </c>
      <c r="G3" s="73">
        <f>EOMONTH(F3,0)+1</f>
        <v>44593</v>
      </c>
      <c r="H3" s="73">
        <f t="shared" ref="H3:BS3" si="5">EOMONTH(G3,0)+1</f>
        <v>44621</v>
      </c>
      <c r="I3" s="73">
        <f t="shared" si="5"/>
        <v>44652</v>
      </c>
      <c r="J3" s="73">
        <f t="shared" si="5"/>
        <v>44682</v>
      </c>
      <c r="K3" s="73">
        <f t="shared" si="5"/>
        <v>44713</v>
      </c>
      <c r="L3" s="73">
        <f t="shared" si="5"/>
        <v>44743</v>
      </c>
      <c r="M3" s="73">
        <f t="shared" si="5"/>
        <v>44774</v>
      </c>
      <c r="N3" s="73">
        <f t="shared" si="5"/>
        <v>44805</v>
      </c>
      <c r="O3" s="73">
        <f t="shared" si="5"/>
        <v>44835</v>
      </c>
      <c r="P3" s="73">
        <f t="shared" si="5"/>
        <v>44866</v>
      </c>
      <c r="Q3" s="73">
        <f t="shared" si="5"/>
        <v>44896</v>
      </c>
      <c r="R3" s="73">
        <f t="shared" si="5"/>
        <v>44927</v>
      </c>
      <c r="S3" s="73">
        <f t="shared" si="5"/>
        <v>44958</v>
      </c>
      <c r="T3" s="73">
        <f t="shared" si="5"/>
        <v>44986</v>
      </c>
      <c r="U3" s="73">
        <f t="shared" si="5"/>
        <v>45017</v>
      </c>
      <c r="V3" s="73">
        <f t="shared" si="5"/>
        <v>45047</v>
      </c>
      <c r="W3" s="73">
        <f t="shared" si="5"/>
        <v>45078</v>
      </c>
      <c r="X3" s="73">
        <f t="shared" si="5"/>
        <v>45108</v>
      </c>
      <c r="Y3" s="73">
        <f t="shared" si="5"/>
        <v>45139</v>
      </c>
      <c r="Z3" s="73">
        <f t="shared" si="5"/>
        <v>45170</v>
      </c>
      <c r="AA3" s="73">
        <f t="shared" si="5"/>
        <v>45200</v>
      </c>
      <c r="AB3" s="73">
        <f t="shared" si="5"/>
        <v>45231</v>
      </c>
      <c r="AC3" s="73">
        <f t="shared" si="5"/>
        <v>45261</v>
      </c>
      <c r="AD3" s="73">
        <f t="shared" si="5"/>
        <v>45292</v>
      </c>
      <c r="AE3" s="73">
        <f t="shared" si="5"/>
        <v>45323</v>
      </c>
      <c r="AF3" s="73">
        <f t="shared" si="5"/>
        <v>45352</v>
      </c>
      <c r="AG3" s="73">
        <f t="shared" si="5"/>
        <v>45383</v>
      </c>
      <c r="AH3" s="73">
        <f t="shared" si="5"/>
        <v>45413</v>
      </c>
      <c r="AI3" s="73">
        <f t="shared" si="5"/>
        <v>45444</v>
      </c>
      <c r="AJ3" s="73">
        <f t="shared" si="5"/>
        <v>45474</v>
      </c>
      <c r="AK3" s="73">
        <f t="shared" si="5"/>
        <v>45505</v>
      </c>
      <c r="AL3" s="73">
        <f t="shared" si="5"/>
        <v>45536</v>
      </c>
      <c r="AM3" s="73">
        <f t="shared" si="5"/>
        <v>45566</v>
      </c>
      <c r="AN3" s="73">
        <f t="shared" si="5"/>
        <v>45597</v>
      </c>
      <c r="AO3" s="73">
        <f t="shared" si="5"/>
        <v>45627</v>
      </c>
      <c r="AP3" s="73">
        <f t="shared" si="5"/>
        <v>45658</v>
      </c>
      <c r="AQ3" s="73">
        <f t="shared" si="5"/>
        <v>45689</v>
      </c>
      <c r="AR3" s="73">
        <f t="shared" si="5"/>
        <v>45717</v>
      </c>
      <c r="AS3" s="73">
        <f t="shared" si="5"/>
        <v>45748</v>
      </c>
      <c r="AT3" s="73">
        <f t="shared" si="5"/>
        <v>45778</v>
      </c>
      <c r="AU3" s="73">
        <f t="shared" si="5"/>
        <v>45809</v>
      </c>
      <c r="AV3" s="73">
        <f t="shared" si="5"/>
        <v>45839</v>
      </c>
      <c r="AW3" s="73">
        <f t="shared" si="5"/>
        <v>45870</v>
      </c>
      <c r="AX3" s="73">
        <f t="shared" si="5"/>
        <v>45901</v>
      </c>
      <c r="AY3" s="73">
        <f t="shared" si="5"/>
        <v>45931</v>
      </c>
      <c r="AZ3" s="73">
        <f t="shared" si="5"/>
        <v>45962</v>
      </c>
      <c r="BA3" s="73">
        <f t="shared" si="5"/>
        <v>45992</v>
      </c>
      <c r="BB3" s="73">
        <f t="shared" si="5"/>
        <v>46023</v>
      </c>
      <c r="BC3" s="73">
        <f t="shared" si="5"/>
        <v>46054</v>
      </c>
      <c r="BD3" s="73">
        <f t="shared" si="5"/>
        <v>46082</v>
      </c>
      <c r="BE3" s="73">
        <f t="shared" si="5"/>
        <v>46113</v>
      </c>
      <c r="BF3" s="73">
        <f t="shared" si="5"/>
        <v>46143</v>
      </c>
      <c r="BG3" s="73">
        <f t="shared" si="5"/>
        <v>46174</v>
      </c>
      <c r="BH3" s="73">
        <f t="shared" si="5"/>
        <v>46204</v>
      </c>
      <c r="BI3" s="73">
        <f t="shared" si="5"/>
        <v>46235</v>
      </c>
      <c r="BJ3" s="73">
        <f t="shared" si="5"/>
        <v>46266</v>
      </c>
      <c r="BK3" s="73">
        <f t="shared" si="5"/>
        <v>46296</v>
      </c>
      <c r="BL3" s="73">
        <f t="shared" si="5"/>
        <v>46327</v>
      </c>
      <c r="BM3" s="73">
        <f t="shared" si="5"/>
        <v>46357</v>
      </c>
      <c r="BN3" s="73">
        <f t="shared" si="5"/>
        <v>46388</v>
      </c>
      <c r="BO3" s="73">
        <f t="shared" si="5"/>
        <v>46419</v>
      </c>
      <c r="BP3" s="73">
        <f t="shared" si="5"/>
        <v>46447</v>
      </c>
      <c r="BQ3" s="73">
        <f t="shared" si="5"/>
        <v>46478</v>
      </c>
      <c r="BR3" s="73">
        <f t="shared" si="5"/>
        <v>46508</v>
      </c>
      <c r="BS3" s="73">
        <f t="shared" si="5"/>
        <v>46539</v>
      </c>
      <c r="BT3" s="73">
        <f t="shared" ref="BT3:DU3" si="6">EOMONTH(BS3,0)+1</f>
        <v>46569</v>
      </c>
      <c r="BU3" s="73">
        <f t="shared" si="6"/>
        <v>46600</v>
      </c>
      <c r="BV3" s="73">
        <f t="shared" si="6"/>
        <v>46631</v>
      </c>
      <c r="BW3" s="73">
        <f t="shared" si="6"/>
        <v>46661</v>
      </c>
      <c r="BX3" s="73">
        <f t="shared" si="6"/>
        <v>46692</v>
      </c>
      <c r="BY3" s="73">
        <f t="shared" si="6"/>
        <v>46722</v>
      </c>
      <c r="BZ3" s="73">
        <f t="shared" si="6"/>
        <v>46753</v>
      </c>
      <c r="CA3" s="73">
        <f t="shared" si="6"/>
        <v>46784</v>
      </c>
      <c r="CB3" s="73">
        <f t="shared" si="6"/>
        <v>46813</v>
      </c>
      <c r="CC3" s="73">
        <f t="shared" si="6"/>
        <v>46844</v>
      </c>
      <c r="CD3" s="73">
        <f t="shared" si="6"/>
        <v>46874</v>
      </c>
      <c r="CE3" s="73">
        <f t="shared" si="6"/>
        <v>46905</v>
      </c>
      <c r="CF3" s="73">
        <f t="shared" si="6"/>
        <v>46935</v>
      </c>
      <c r="CG3" s="73">
        <f t="shared" si="6"/>
        <v>46966</v>
      </c>
      <c r="CH3" s="73">
        <f t="shared" si="6"/>
        <v>46997</v>
      </c>
      <c r="CI3" s="73">
        <f t="shared" si="6"/>
        <v>47027</v>
      </c>
      <c r="CJ3" s="73">
        <f t="shared" si="6"/>
        <v>47058</v>
      </c>
      <c r="CK3" s="73">
        <f t="shared" si="6"/>
        <v>47088</v>
      </c>
      <c r="CL3" s="73">
        <f t="shared" si="6"/>
        <v>47119</v>
      </c>
      <c r="CM3" s="73">
        <f t="shared" si="6"/>
        <v>47150</v>
      </c>
      <c r="CN3" s="73">
        <f t="shared" si="6"/>
        <v>47178</v>
      </c>
      <c r="CO3" s="73">
        <f t="shared" si="6"/>
        <v>47209</v>
      </c>
      <c r="CP3" s="73">
        <f t="shared" si="6"/>
        <v>47239</v>
      </c>
      <c r="CQ3" s="73">
        <f t="shared" si="6"/>
        <v>47270</v>
      </c>
      <c r="CR3" s="73">
        <f t="shared" si="6"/>
        <v>47300</v>
      </c>
      <c r="CS3" s="73">
        <f t="shared" si="6"/>
        <v>47331</v>
      </c>
      <c r="CT3" s="73">
        <f t="shared" si="6"/>
        <v>47362</v>
      </c>
      <c r="CU3" s="73">
        <f t="shared" si="6"/>
        <v>47392</v>
      </c>
      <c r="CV3" s="73">
        <f t="shared" si="6"/>
        <v>47423</v>
      </c>
      <c r="CW3" s="73">
        <f t="shared" si="6"/>
        <v>47453</v>
      </c>
      <c r="CX3" s="73">
        <f t="shared" si="6"/>
        <v>47484</v>
      </c>
      <c r="CY3" s="73">
        <f t="shared" si="6"/>
        <v>47515</v>
      </c>
      <c r="CZ3" s="73">
        <f t="shared" si="6"/>
        <v>47543</v>
      </c>
      <c r="DA3" s="73">
        <f t="shared" si="6"/>
        <v>47574</v>
      </c>
      <c r="DB3" s="73">
        <f t="shared" si="6"/>
        <v>47604</v>
      </c>
      <c r="DC3" s="73">
        <f t="shared" si="6"/>
        <v>47635</v>
      </c>
      <c r="DD3" s="73">
        <f t="shared" si="6"/>
        <v>47665</v>
      </c>
      <c r="DE3" s="73">
        <f t="shared" si="6"/>
        <v>47696</v>
      </c>
      <c r="DF3" s="73">
        <f t="shared" si="6"/>
        <v>47727</v>
      </c>
      <c r="DG3" s="73">
        <f t="shared" si="6"/>
        <v>47757</v>
      </c>
      <c r="DH3" s="73">
        <f t="shared" si="6"/>
        <v>47788</v>
      </c>
      <c r="DI3" s="73">
        <f t="shared" si="6"/>
        <v>47818</v>
      </c>
      <c r="DJ3" s="73">
        <f t="shared" si="6"/>
        <v>47849</v>
      </c>
      <c r="DK3" s="73">
        <f t="shared" si="6"/>
        <v>47880</v>
      </c>
      <c r="DL3" s="73">
        <f t="shared" si="6"/>
        <v>47908</v>
      </c>
      <c r="DM3" s="73">
        <f t="shared" si="6"/>
        <v>47939</v>
      </c>
      <c r="DN3" s="73">
        <f t="shared" si="6"/>
        <v>47969</v>
      </c>
      <c r="DO3" s="73">
        <f t="shared" si="6"/>
        <v>48000</v>
      </c>
      <c r="DP3" s="73">
        <f t="shared" si="6"/>
        <v>48030</v>
      </c>
      <c r="DQ3" s="73">
        <f t="shared" si="6"/>
        <v>48061</v>
      </c>
      <c r="DR3" s="73">
        <f t="shared" si="6"/>
        <v>48092</v>
      </c>
      <c r="DS3" s="73">
        <f t="shared" si="6"/>
        <v>48122</v>
      </c>
      <c r="DT3" s="73">
        <f t="shared" si="6"/>
        <v>48153</v>
      </c>
      <c r="DU3" s="73">
        <f t="shared" si="6"/>
        <v>48183</v>
      </c>
      <c r="DV3" s="156"/>
    </row>
    <row r="4" spans="1:126 16380:16380" x14ac:dyDescent="0.2">
      <c r="A4" s="160"/>
      <c r="B4" s="75" t="s">
        <v>1</v>
      </c>
      <c r="C4" s="76"/>
      <c r="D4" s="77"/>
      <c r="E4" s="78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79"/>
      <c r="CL4" s="79"/>
      <c r="CM4" s="79"/>
      <c r="CN4" s="79"/>
      <c r="CO4" s="79"/>
      <c r="CP4" s="79"/>
      <c r="CQ4" s="79"/>
      <c r="CR4" s="79"/>
      <c r="CS4" s="79"/>
      <c r="CT4" s="79"/>
      <c r="CU4" s="79"/>
      <c r="CV4" s="79"/>
      <c r="CW4" s="79"/>
      <c r="CX4" s="79"/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80"/>
    </row>
    <row r="5" spans="1:126 16380:16380" x14ac:dyDescent="0.2">
      <c r="A5" s="81"/>
      <c r="B5" s="81" t="s">
        <v>2</v>
      </c>
      <c r="C5" s="44"/>
      <c r="D5" s="82"/>
      <c r="E5" s="83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4"/>
      <c r="AD5" s="84"/>
      <c r="AE5" s="84"/>
      <c r="AF5" s="84"/>
      <c r="AG5" s="84"/>
      <c r="AH5" s="84"/>
      <c r="AI5" s="85"/>
      <c r="AJ5" s="7"/>
      <c r="AK5" s="84"/>
      <c r="AL5" s="84"/>
      <c r="AM5" s="84"/>
      <c r="AN5" s="84"/>
      <c r="AO5" s="84"/>
      <c r="AP5" s="84"/>
      <c r="AQ5" s="84"/>
      <c r="AR5" s="84"/>
      <c r="AS5" s="84"/>
      <c r="AT5" s="85"/>
      <c r="AU5" s="85"/>
      <c r="AV5" s="86"/>
      <c r="AW5" s="84"/>
      <c r="AX5" s="84"/>
      <c r="AY5" s="84"/>
      <c r="AZ5" s="84"/>
      <c r="BA5" s="84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87"/>
      <c r="XEZ5" s="84"/>
    </row>
    <row r="6" spans="1:126 16380:16380" x14ac:dyDescent="0.2">
      <c r="A6" s="88"/>
      <c r="B6" s="265"/>
      <c r="C6" s="44"/>
      <c r="D6" s="82"/>
      <c r="E6" s="83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86"/>
      <c r="AV6" s="86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87"/>
    </row>
    <row r="7" spans="1:126 16380:16380" x14ac:dyDescent="0.2">
      <c r="A7" s="88"/>
      <c r="B7" s="89" t="s">
        <v>190</v>
      </c>
      <c r="C7" s="44"/>
      <c r="D7" s="132">
        <f t="shared" ref="D7:D8" si="7">SUM(E7:DU7)</f>
        <v>589597.52778333996</v>
      </c>
      <c r="E7" s="133" t="b">
        <f>IF(AND(Summary!$N8&lt;='Cash Flow Statement'!E$2,'Cash Flow Statement'!E$2&lt;=Summary!$O8),IF((E2-Summary!$N$8)&lt;12,Summary!$P$7*Summary!$L$8,IF(MOD(E2,12)=MOD(Summary!$N8,12),(Summary!$L$8*Summary!$P$7*((1+Summary!$K$5)^((E2-12-MOD(Summary!$N8,12))/12))),HLOOKUP(D3,$E$3:$DV$7,5,FALSE))))</f>
        <v>0</v>
      </c>
      <c r="F7" s="46" t="b">
        <f>IF(AND(Summary!$N8&lt;='Cash Flow Statement'!F$2,'Cash Flow Statement'!F$2&lt;=Summary!$O8),IF((F2-Summary!$N$8)&lt;12,Summary!$P$7*Summary!$L$8,IF(MOD(F2,12)=MOD(Summary!$N8,12),(Summary!$L$8*Summary!$P$7*((1+Summary!$K$5)^((F2-12-MOD(Summary!$N8,12))/12))),HLOOKUP(E3,$E$3:$DV$7,5,FALSE))))</f>
        <v>0</v>
      </c>
      <c r="G7" s="46" t="b">
        <f>IF(AND(Summary!$N8&lt;='Cash Flow Statement'!G$2,'Cash Flow Statement'!G$2&lt;=Summary!$O8),IF((G2-Summary!$N$8)&lt;12,Summary!$P$7*Summary!$L$8,IF(MOD(G2,12)=MOD(Summary!$N8,12),(Summary!$L$8*Summary!$P$7*((1+Summary!$K$5)^((G2-12-MOD(Summary!$N8,12))/12))),HLOOKUP(F3,$E$3:$DV$7,5,FALSE))))</f>
        <v>0</v>
      </c>
      <c r="H7" s="46" t="b">
        <f>IF(AND(Summary!$N8&lt;='Cash Flow Statement'!H$2,'Cash Flow Statement'!H$2&lt;=Summary!$O8),IF((H2-Summary!$N$8)&lt;12,Summary!$P$7*Summary!$L$8,IF(MOD(H2,12)=MOD(Summary!$N8,12),(Summary!$L$8*Summary!$P$7*((1+Summary!$K$5)^((H2-12-MOD(Summary!$N8,12))/12))),HLOOKUP(G3,$E$3:$DV$7,5,FALSE))))</f>
        <v>0</v>
      </c>
      <c r="I7" s="46" t="b">
        <f>IF(AND(Summary!$N8&lt;='Cash Flow Statement'!I$2,'Cash Flow Statement'!I$2&lt;=Summary!$O8),IF((I2-Summary!$N$8)&lt;12,Summary!$P$7*Summary!$L$8,IF(MOD(I2,12)=MOD(Summary!$N8,12),(Summary!$L$8*Summary!$P$7*((1+Summary!$K$5)^((I2-12-MOD(Summary!$N8,12))/12))),HLOOKUP(H3,$E$3:$DV$7,5,FALSE))))</f>
        <v>0</v>
      </c>
      <c r="J7" s="46" t="b">
        <f>IF(AND(Summary!$N8&lt;='Cash Flow Statement'!J$2,'Cash Flow Statement'!J$2&lt;=Summary!$O8),IF((J2-Summary!$N$8)&lt;12,Summary!$P$7*Summary!$L$8,IF(MOD(J2,12)=MOD(Summary!$N8,12),(Summary!$L$8*Summary!$P$7*((1+Summary!$K$5)^((J2-12-MOD(Summary!$N8,12))/12))),HLOOKUP(I3,$E$3:$DV$7,5,FALSE))))</f>
        <v>0</v>
      </c>
      <c r="K7" s="46" t="b">
        <f>IF(AND(Summary!$N8&lt;='Cash Flow Statement'!K$2,'Cash Flow Statement'!K$2&lt;=Summary!$O8),IF((K2-Summary!$N$8)&lt;12,Summary!$P$7*Summary!$L$8,IF(MOD(K2,12)=MOD(Summary!$N8,12),(Summary!$L$8*Summary!$P$7*((1+Summary!$K$5)^((K2-12-MOD(Summary!$N8,12))/12))),HLOOKUP(J3,$E$3:$DV$7,5,FALSE))))</f>
        <v>0</v>
      </c>
      <c r="L7" s="46" t="b">
        <f>IF(AND(Summary!$N8&lt;='Cash Flow Statement'!L$2,'Cash Flow Statement'!L$2&lt;=Summary!$O8),IF((L2-Summary!$N$8)&lt;12,Summary!$P$7*Summary!$L$8,IF(MOD(L2,12)=MOD(Summary!$N8,12),(Summary!$L$8*Summary!$P$7*((1+Summary!$K$5)^((L2-12-MOD(Summary!$N8,12))/12))),HLOOKUP(K3,$E$3:$DV$7,5,FALSE))))</f>
        <v>0</v>
      </c>
      <c r="M7" s="46" t="b">
        <f>IF(AND(Summary!$N8&lt;='Cash Flow Statement'!M$2,'Cash Flow Statement'!M$2&lt;=Summary!$O8),IF((M2-Summary!$N$8)&lt;12,Summary!$P$7*Summary!$L$8,IF(MOD(M2,12)=MOD(Summary!$N8,12),(Summary!$L$8*Summary!$P$7*((1+Summary!$K$5)^((M2-12-MOD(Summary!$N8,12))/12))),HLOOKUP(L3,$E$3:$DV$7,5,FALSE))))</f>
        <v>0</v>
      </c>
      <c r="N7" s="46" t="b">
        <f>IF(AND(Summary!$N8&lt;='Cash Flow Statement'!N$2,'Cash Flow Statement'!N$2&lt;=Summary!$O8),IF((N2-Summary!$N$8)&lt;12,Summary!$P$7*Summary!$L$8,IF(MOD(N2,12)=MOD(Summary!$N8,12),(Summary!$L$8*Summary!$P$7*((1+Summary!$K$5)^((N2-12-MOD(Summary!$N8,12))/12))),HLOOKUP(M3,$E$3:$DV$7,5,FALSE))))</f>
        <v>0</v>
      </c>
      <c r="O7" s="46">
        <f>IF(AND(Summary!$N8&lt;='Cash Flow Statement'!O$2,'Cash Flow Statement'!O$2&lt;=Summary!$O8),IF((O2-Summary!$N$8)&lt;12,Summary!$P$7*Summary!$L$8,IF(MOD(O2,12)=MOD(Summary!$N8,12),(Summary!$L$8*Summary!$P$7*((1+Summary!$K$5)^((O2-12-MOD(Summary!$N8,12))/12))),HLOOKUP(N3,$E$3:$DV$7,5,FALSE))))</f>
        <v>4500</v>
      </c>
      <c r="P7" s="46">
        <f>IF(AND(Summary!$N8&lt;='Cash Flow Statement'!P$2,'Cash Flow Statement'!P$2&lt;=Summary!$O8),IF((P2-Summary!$N$8)&lt;12,Summary!$P$7*Summary!$L$8,IF(MOD(P2,12)=MOD(Summary!$N8,12),(Summary!$L$8*Summary!$P$7*((1+Summary!$K$5)^((P2-12-MOD(Summary!$N8,12))/12))),HLOOKUP(O3,$E$3:$DV$7,5,FALSE))))</f>
        <v>4500</v>
      </c>
      <c r="Q7" s="46">
        <f>IF(AND(Summary!$N8&lt;='Cash Flow Statement'!Q$2,'Cash Flow Statement'!Q$2&lt;=Summary!$O8),IF((Q2-Summary!$N$8)&lt;12,Summary!$P$7*Summary!$L$8,IF(MOD(Q2,12)=MOD(Summary!$N8,12),(Summary!$L$8*Summary!$P$7*((1+Summary!$K$5)^((Q2-12-MOD(Summary!$N8,12))/12))),HLOOKUP(P3,$E$3:$DV$7,5,FALSE))))</f>
        <v>4500</v>
      </c>
      <c r="R7" s="46">
        <f>IF(AND(Summary!$N8&lt;='Cash Flow Statement'!R$2,'Cash Flow Statement'!R$2&lt;=Summary!$O8),IF((R2-Summary!$N$8)&lt;12,Summary!$P$7*Summary!$L$8,IF(MOD(R2,12)=MOD(Summary!$N8,12),(Summary!$L$8*Summary!$P$7*((1+Summary!$K$5)^((R2-12-MOD(Summary!$N8,12))/12))),HLOOKUP(Q3,$E$3:$DV$7,5,FALSE))))</f>
        <v>4500</v>
      </c>
      <c r="S7" s="46">
        <f>IF(AND(Summary!$N8&lt;='Cash Flow Statement'!S$2,'Cash Flow Statement'!S$2&lt;=Summary!$O8),IF((S2-Summary!$N$8)&lt;12,Summary!$P$7*Summary!$L$8,IF(MOD(S2,12)=MOD(Summary!$N8,12),(Summary!$L$8*Summary!$P$7*((1+Summary!$K$5)^((S2-12-MOD(Summary!$N8,12))/12))),HLOOKUP(R3,$E$3:$DV$7,5,FALSE))))</f>
        <v>4500</v>
      </c>
      <c r="T7" s="46">
        <f>IF(AND(Summary!$N8&lt;='Cash Flow Statement'!T$2,'Cash Flow Statement'!T$2&lt;=Summary!$O8),IF((T2-Summary!$N$8)&lt;12,Summary!$P$7*Summary!$L$8,IF(MOD(T2,12)=MOD(Summary!$N8,12),(Summary!$L$8*Summary!$P$7*((1+Summary!$K$5)^((T2-12-MOD(Summary!$N8,12))/12))),HLOOKUP(S3,$E$3:$DV$7,5,FALSE))))</f>
        <v>4500</v>
      </c>
      <c r="U7" s="46">
        <f>IF(AND(Summary!$N8&lt;='Cash Flow Statement'!U$2,'Cash Flow Statement'!U$2&lt;=Summary!$O8),IF((U2-Summary!$N$8)&lt;12,Summary!$P$7*Summary!$L$8,IF(MOD(U2,12)=MOD(Summary!$N8,12),(Summary!$L$8*Summary!$P$7*((1+Summary!$K$5)^((U2-12-MOD(Summary!$N8,12))/12))),HLOOKUP(T3,$E$3:$DV$7,5,FALSE))))</f>
        <v>4500</v>
      </c>
      <c r="V7" s="46">
        <f>IF(AND(Summary!$N8&lt;='Cash Flow Statement'!V$2,'Cash Flow Statement'!V$2&lt;=Summary!$O8),IF((V2-Summary!$N$8)&lt;12,Summary!$P$7*Summary!$L$8,IF(MOD(V2,12)=MOD(Summary!$N8,12),(Summary!$L$8*Summary!$P$7*((1+Summary!$K$5)^((V2-12-MOD(Summary!$N8,12))/12))),HLOOKUP(U3,$E$3:$DV$7,5,FALSE))))</f>
        <v>4500</v>
      </c>
      <c r="W7" s="46">
        <f>IF(AND(Summary!$N8&lt;='Cash Flow Statement'!W$2,'Cash Flow Statement'!W$2&lt;=Summary!$O8),IF((W2-Summary!$N$8)&lt;12,Summary!$P$7*Summary!$L$8,IF(MOD(W2,12)=MOD(Summary!$N8,12),(Summary!$L$8*Summary!$P$7*((1+Summary!$K$5)^((W2-12-MOD(Summary!$N8,12))/12))),HLOOKUP(V3,$E$3:$DV$7,5,FALSE))))</f>
        <v>4500</v>
      </c>
      <c r="X7" s="46">
        <f>IF(AND(Summary!$N8&lt;='Cash Flow Statement'!X$2,'Cash Flow Statement'!X$2&lt;=Summary!$O8),IF((X2-Summary!$N$8)&lt;12,Summary!$P$7*Summary!$L$8,IF(MOD(X2,12)=MOD(Summary!$N8,12),(Summary!$L$8*Summary!$P$7*((1+Summary!$K$5)^((X2-12-MOD(Summary!$N8,12))/12))),HLOOKUP(W3,$E$3:$DV$7,5,FALSE))))</f>
        <v>4500</v>
      </c>
      <c r="Y7" s="46">
        <f>IF(AND(Summary!$N8&lt;='Cash Flow Statement'!Y$2,'Cash Flow Statement'!Y$2&lt;=Summary!$O8),IF((Y2-Summary!$N$8)&lt;12,Summary!$P$7*Summary!$L$8,IF(MOD(Y2,12)=MOD(Summary!$N8,12),(Summary!$L$8*Summary!$P$7*((1+Summary!$K$5)^((Y2-12-MOD(Summary!$N8,12))/12))),HLOOKUP(X3,$E$3:$DV$7,5,FALSE))))</f>
        <v>4500</v>
      </c>
      <c r="Z7" s="46">
        <f>IF(AND(Summary!$N8&lt;='Cash Flow Statement'!Z$2,'Cash Flow Statement'!Z$2&lt;=Summary!$O8),IF((Z2-Summary!$N$8)&lt;12,Summary!$P$7*Summary!$L$8,IF(MOD(Z2,12)=MOD(Summary!$N8,12),(Summary!$L$8*Summary!$P$7*((1+Summary!$K$5)^((Z2-12-MOD(Summary!$N8,12))/12))),HLOOKUP(Y3,$E$3:$DV$7,5,FALSE))))</f>
        <v>4500</v>
      </c>
      <c r="AA7" s="46">
        <f>IF(AND(Summary!$N8&lt;='Cash Flow Statement'!AA$2,'Cash Flow Statement'!AA$2&lt;=Summary!$O8),IF((AA2-Summary!$N$8)&lt;12,Summary!$P$7*Summary!$L$8,IF(MOD(AA2,12)=MOD(Summary!$N8,12),(Summary!$L$8*Summary!$P$7*((1+Summary!$K$5)^((AA2-12-MOD(Summary!$N8,12))/12))),HLOOKUP(Z3,$E$3:$DV$7,5,FALSE))))</f>
        <v>4500</v>
      </c>
      <c r="AB7" s="46">
        <f>IF(AND(Summary!$N8&lt;='Cash Flow Statement'!AB$2,'Cash Flow Statement'!AB$2&lt;=Summary!$O8),IF((AB2-Summary!$N$8)&lt;12,Summary!$P$7*Summary!$L$8,IF(MOD(AB2,12)=MOD(Summary!$N8,12),(Summary!$L$8*Summary!$P$7*((1+Summary!$K$5)^((AB2-12-MOD(Summary!$N8,12))/12))),HLOOKUP(AA3,$E$3:$DV$7,5,FALSE))))</f>
        <v>4500</v>
      </c>
      <c r="AC7" s="46">
        <f>IF(AND(Summary!$N8&lt;='Cash Flow Statement'!AC$2,'Cash Flow Statement'!AC$2&lt;=Summary!$O8),IF((AC2-Summary!$N$8)&lt;12,Summary!$P$7*Summary!$L$8,IF(MOD(AC2,12)=MOD(Summary!$N8,12),(Summary!$L$8*Summary!$P$7*((1+Summary!$K$5)^((AC2-12-MOD(Summary!$N8,12))/12))),HLOOKUP(AB3,$E$3:$DV$7,5,FALSE))))</f>
        <v>4500</v>
      </c>
      <c r="AD7" s="46">
        <f>IF(AND(Summary!$N8&lt;='Cash Flow Statement'!AD$2,'Cash Flow Statement'!AD$2&lt;=Summary!$O8),IF((AD2-Summary!$N$8)&lt;12,Summary!$P$7*Summary!$L$8,IF(MOD(AD2,12)=MOD(Summary!$N8,12),(Summary!$L$8*Summary!$P$7*((1+Summary!$K$5)^((AD2-12-MOD(Summary!$N8,12))/12))),HLOOKUP(AC3,$E$3:$DV$7,5,FALSE))))</f>
        <v>4500</v>
      </c>
      <c r="AE7" s="46">
        <f>IF(AND(Summary!$N8&lt;='Cash Flow Statement'!AE$2,'Cash Flow Statement'!AE$2&lt;=Summary!$O8),IF((AE2-Summary!$N$8)&lt;12,Summary!$P$7*Summary!$L$8,IF(MOD(AE2,12)=MOD(Summary!$N8,12),(Summary!$L$8*Summary!$P$7*((1+Summary!$K$5)^((AE2-12-MOD(Summary!$N8,12))/12))),HLOOKUP(AD3,$E$3:$DV$7,5,FALSE))))</f>
        <v>4500</v>
      </c>
      <c r="AF7" s="46">
        <f>IF(AND(Summary!$N8&lt;='Cash Flow Statement'!AF$2,'Cash Flow Statement'!AF$2&lt;=Summary!$O8),IF((AF2-Summary!$N$8)&lt;12,Summary!$P$7*Summary!$L$8,IF(MOD(AF2,12)=MOD(Summary!$N8,12),(Summary!$L$8*Summary!$P$7*((1+Summary!$K$5)^((AF2-12-MOD(Summary!$N8,12))/12))),HLOOKUP(AE3,$E$3:$DV$7,5,FALSE))))</f>
        <v>4500</v>
      </c>
      <c r="AG7" s="46">
        <f>IF(AND(Summary!$N8&lt;='Cash Flow Statement'!AG$2,'Cash Flow Statement'!AG$2&lt;=Summary!$O8),IF((AG2-Summary!$N$8)&lt;12,Summary!$P$7*Summary!$L$8,IF(MOD(AG2,12)=MOD(Summary!$N8,12),(Summary!$L$8*Summary!$P$7*((1+Summary!$K$5)^((AG2-12-MOD(Summary!$N8,12))/12))),HLOOKUP(AF3,$E$3:$DV$7,5,FALSE))))</f>
        <v>4500</v>
      </c>
      <c r="AH7" s="46">
        <f>IF(AND(Summary!$N8&lt;='Cash Flow Statement'!AH$2,'Cash Flow Statement'!AH$2&lt;=Summary!$O8),IF((AH2-Summary!$N$8)&lt;12,Summary!$P$7*Summary!$L$8,IF(MOD(AH2,12)=MOD(Summary!$N8,12),(Summary!$L$8*Summary!$P$7*((1+Summary!$K$5)^((AH2-12-MOD(Summary!$N8,12))/12))),HLOOKUP(AG3,$E$3:$DV$7,5,FALSE))))</f>
        <v>4500</v>
      </c>
      <c r="AI7" s="46">
        <f>IF(AND(Summary!$N8&lt;='Cash Flow Statement'!AI$2,'Cash Flow Statement'!AI$2&lt;=Summary!$O8),IF((AI2-Summary!$N$8)&lt;12,Summary!$P$7*Summary!$L$8,IF(MOD(AI2,12)=MOD(Summary!$N8,12),(Summary!$L$8*Summary!$P$7*((1+Summary!$K$5)^((AI2-12-MOD(Summary!$N8,12))/12))),HLOOKUP(AH3,$E$3:$DV$7,5,FALSE))))</f>
        <v>4500</v>
      </c>
      <c r="AJ7" s="46">
        <f>IF(AND(Summary!$N8&lt;='Cash Flow Statement'!AJ$2,'Cash Flow Statement'!AJ$2&lt;=Summary!$O8),IF((AJ2-Summary!$N$8)&lt;12,Summary!$P$7*Summary!$L$8,IF(MOD(AJ2,12)=MOD(Summary!$N8,12),(Summary!$L$8*Summary!$P$7*((1+Summary!$K$5)^((AJ2-12-MOD(Summary!$N8,12))/12))),HLOOKUP(AI3,$E$3:$DV$7,5,FALSE))))</f>
        <v>4500</v>
      </c>
      <c r="AK7" s="46">
        <f>IF(AND(Summary!$N8&lt;='Cash Flow Statement'!AK$2,'Cash Flow Statement'!AK$2&lt;=Summary!$O8),IF((AK2-Summary!$N$8)&lt;12,Summary!$P$7*Summary!$L$8,IF(MOD(AK2,12)=MOD(Summary!$N8,12),(Summary!$L$8*Summary!$P$7*((1+Summary!$K$5)^((AK2-12-MOD(Summary!$N8,12))/12))),HLOOKUP(AJ3,$E$3:$DV$7,5,FALSE))))</f>
        <v>4500</v>
      </c>
      <c r="AL7" s="46">
        <f>IF(AND(Summary!$N8&lt;='Cash Flow Statement'!AL$2,'Cash Flow Statement'!AL$2&lt;=Summary!$O8),IF((AL2-Summary!$N$8)&lt;12,Summary!$P$7*Summary!$L$8,IF(MOD(AL2,12)=MOD(Summary!$N8,12),(Summary!$L$8*Summary!$P$7*((1+Summary!$K$5)^((AL2-12-MOD(Summary!$N8,12))/12))),HLOOKUP(AK3,$E$3:$DV$7,5,FALSE))))</f>
        <v>4500</v>
      </c>
      <c r="AM7" s="46">
        <f>IF(AND(Summary!$N8&lt;='Cash Flow Statement'!AM$2,'Cash Flow Statement'!AM$2&lt;=Summary!$O8),IF((AM2-Summary!$N$8)&lt;12,Summary!$P$7*Summary!$L$8,IF(MOD(AM2,12)=MOD(Summary!$N8,12),(Summary!$L$8*Summary!$P$7*((1+Summary!$K$5)^((AM2-12-MOD(Summary!$N8,12))/12))),HLOOKUP(AL3,$E$3:$DV$7,5,FALSE))))</f>
        <v>4725</v>
      </c>
      <c r="AN7" s="46">
        <f>IF(AND(Summary!$N8&lt;='Cash Flow Statement'!AN$2,'Cash Flow Statement'!AN$2&lt;=Summary!$O8),IF((AN2-Summary!$N$8)&lt;12,Summary!$P$7*Summary!$L$8,IF(MOD(AN2,12)=MOD(Summary!$N8,12),(Summary!$L$8*Summary!$P$7*((1+Summary!$K$5)^((AN2-12-MOD(Summary!$N8,12))/12))),HLOOKUP(AM3,$E$3:$DV$7,5,FALSE))))</f>
        <v>4725</v>
      </c>
      <c r="AO7" s="46">
        <f>IF(AND(Summary!$N8&lt;='Cash Flow Statement'!AO$2,'Cash Flow Statement'!AO$2&lt;=Summary!$O8),IF((AO2-Summary!$N$8)&lt;12,Summary!$P$7*Summary!$L$8,IF(MOD(AO2,12)=MOD(Summary!$N8,12),(Summary!$L$8*Summary!$P$7*((1+Summary!$K$5)^((AO2-12-MOD(Summary!$N8,12))/12))),HLOOKUP(AN3,$E$3:$DV$7,5,FALSE))))</f>
        <v>4725</v>
      </c>
      <c r="AP7" s="46">
        <f>IF(AND(Summary!$N8&lt;='Cash Flow Statement'!AP$2,'Cash Flow Statement'!AP$2&lt;=Summary!$O8),IF((AP2-Summary!$N$8)&lt;12,Summary!$P$7*Summary!$L$8,IF(MOD(AP2,12)=MOD(Summary!$N8,12),(Summary!$L$8*Summary!$P$7*((1+Summary!$K$5)^((AP2-12-MOD(Summary!$N8,12))/12))),HLOOKUP(AO3,$E$3:$DV$7,5,FALSE))))</f>
        <v>4725</v>
      </c>
      <c r="AQ7" s="46">
        <f>IF(AND(Summary!$N8&lt;='Cash Flow Statement'!AQ$2,'Cash Flow Statement'!AQ$2&lt;=Summary!$O8),IF((AQ2-Summary!$N$8)&lt;12,Summary!$P$7*Summary!$L$8,IF(MOD(AQ2,12)=MOD(Summary!$N8,12),(Summary!$L$8*Summary!$P$7*((1+Summary!$K$5)^((AQ2-12-MOD(Summary!$N8,12))/12))),HLOOKUP(AP3,$E$3:$DV$7,5,FALSE))))</f>
        <v>4725</v>
      </c>
      <c r="AR7" s="46">
        <f>IF(AND(Summary!$N8&lt;='Cash Flow Statement'!AR$2,'Cash Flow Statement'!AR$2&lt;=Summary!$O8),IF((AR2-Summary!$N$8)&lt;12,Summary!$P$7*Summary!$L$8,IF(MOD(AR2,12)=MOD(Summary!$N8,12),(Summary!$L$8*Summary!$P$7*((1+Summary!$K$5)^((AR2-12-MOD(Summary!$N8,12))/12))),HLOOKUP(AQ3,$E$3:$DV$7,5,FALSE))))</f>
        <v>4725</v>
      </c>
      <c r="AS7" s="46">
        <f>IF(AND(Summary!$N8&lt;='Cash Flow Statement'!AS$2,'Cash Flow Statement'!AS$2&lt;=Summary!$O8),IF((AS2-Summary!$N$8)&lt;12,Summary!$P$7*Summary!$L$8,IF(MOD(AS2,12)=MOD(Summary!$N8,12),(Summary!$L$8*Summary!$P$7*((1+Summary!$K$5)^((AS2-12-MOD(Summary!$N8,12))/12))),HLOOKUP(AR3,$E$3:$DV$7,5,FALSE))))</f>
        <v>4725</v>
      </c>
      <c r="AT7" s="46">
        <f>IF(AND(Summary!$N8&lt;='Cash Flow Statement'!AT$2,'Cash Flow Statement'!AT$2&lt;=Summary!$O8),IF((AT2-Summary!$N$8)&lt;12,Summary!$P$7*Summary!$L$8,IF(MOD(AT2,12)=MOD(Summary!$N8,12),(Summary!$L$8*Summary!$P$7*((1+Summary!$K$5)^((AT2-12-MOD(Summary!$N8,12))/12))),HLOOKUP(AS3,$E$3:$DV$7,5,FALSE))))</f>
        <v>4725</v>
      </c>
      <c r="AU7" s="46">
        <f>IF(AND(Summary!$N8&lt;='Cash Flow Statement'!AU$2,'Cash Flow Statement'!AU$2&lt;=Summary!$O8),IF((AU2-Summary!$N$8)&lt;12,Summary!$P$7*Summary!$L$8,IF(MOD(AU2,12)=MOD(Summary!$N8,12),(Summary!$L$8*Summary!$P$7*((1+Summary!$K$5)^((AU2-12-MOD(Summary!$N8,12))/12))),HLOOKUP(AT3,$E$3:$DV$7,5,FALSE))))</f>
        <v>4725</v>
      </c>
      <c r="AV7" s="46">
        <f>IF(AND(Summary!$N8&lt;='Cash Flow Statement'!AV$2,'Cash Flow Statement'!AV$2&lt;=Summary!$O8),IF((AV2-Summary!$N$8)&lt;12,Summary!$P$7*Summary!$L$8,IF(MOD(AV2,12)=MOD(Summary!$N8,12),(Summary!$L$8*Summary!$P$7*((1+Summary!$K$5)^((AV2-12-MOD(Summary!$N8,12))/12))),HLOOKUP(AU3,$E$3:$DV$7,5,FALSE))))</f>
        <v>4725</v>
      </c>
      <c r="AW7" s="46">
        <f>IF(AND(Summary!$N8&lt;='Cash Flow Statement'!AW$2,'Cash Flow Statement'!AW$2&lt;=Summary!$O8),IF((AW2-Summary!$N$8)&lt;12,Summary!$P$7*Summary!$L$8,IF(MOD(AW2,12)=MOD(Summary!$N8,12),(Summary!$L$8*Summary!$P$7*((1+Summary!$K$5)^((AW2-12-MOD(Summary!$N8,12))/12))),HLOOKUP(AV3,$E$3:$DV$7,5,FALSE))))</f>
        <v>4725</v>
      </c>
      <c r="AX7" s="46">
        <f>IF(AND(Summary!$N8&lt;='Cash Flow Statement'!AX$2,'Cash Flow Statement'!AX$2&lt;=Summary!$O8),IF((AX2-Summary!$N$8)&lt;12,Summary!$P$7*Summary!$L$8,IF(MOD(AX2,12)=MOD(Summary!$N8,12),(Summary!$L$8*Summary!$P$7*((1+Summary!$K$5)^((AX2-12-MOD(Summary!$N8,12))/12))),HLOOKUP(AW3,$E$3:$DV$7,5,FALSE))))</f>
        <v>4725</v>
      </c>
      <c r="AY7" s="46">
        <f>IF(AND(Summary!$N8&lt;='Cash Flow Statement'!AY$2,'Cash Flow Statement'!AY$2&lt;=Summary!$O8),IF((AY2-Summary!$N$8)&lt;12,Summary!$P$7*Summary!$L$8,IF(MOD(AY2,12)=MOD(Summary!$N8,12),(Summary!$L$8*Summary!$P$7*((1+Summary!$K$5)^((AY2-12-MOD(Summary!$N8,12))/12))),HLOOKUP(AX3,$E$3:$DV$7,5,FALSE))))</f>
        <v>4961.25</v>
      </c>
      <c r="AZ7" s="46">
        <f>IF(AND(Summary!$N8&lt;='Cash Flow Statement'!AZ$2,'Cash Flow Statement'!AZ$2&lt;=Summary!$O8),IF((AZ2-Summary!$N$8)&lt;12,Summary!$P$7*Summary!$L$8,IF(MOD(AZ2,12)=MOD(Summary!$N8,12),(Summary!$L$8*Summary!$P$7*((1+Summary!$K$5)^((AZ2-12-MOD(Summary!$N8,12))/12))),HLOOKUP(AY3,$E$3:$DV$7,5,FALSE))))</f>
        <v>4961.25</v>
      </c>
      <c r="BA7" s="46">
        <f>IF(AND(Summary!$N8&lt;='Cash Flow Statement'!BA$2,'Cash Flow Statement'!BA$2&lt;=Summary!$O8),IF((BA2-Summary!$N$8)&lt;12,Summary!$P$7*Summary!$L$8,IF(MOD(BA2,12)=MOD(Summary!$N8,12),(Summary!$L$8*Summary!$P$7*((1+Summary!$K$5)^((BA2-12-MOD(Summary!$N8,12))/12))),HLOOKUP(AZ3,$E$3:$DV$7,5,FALSE))))</f>
        <v>4961.25</v>
      </c>
      <c r="BB7" s="46">
        <f>IF(AND(Summary!$N8&lt;='Cash Flow Statement'!BB$2,'Cash Flow Statement'!BB$2&lt;=Summary!$O8),IF((BB2-Summary!$N$8)&lt;12,Summary!$P$7*Summary!$L$8,IF(MOD(BB2,12)=MOD(Summary!$N8,12),(Summary!$L$8*Summary!$P$7*((1+Summary!$K$5)^((BB2-12-MOD(Summary!$N8,12))/12))),HLOOKUP(BA3,$E$3:$DV$7,5,FALSE))))</f>
        <v>4961.25</v>
      </c>
      <c r="BC7" s="46">
        <f>IF(AND(Summary!$N8&lt;='Cash Flow Statement'!BC$2,'Cash Flow Statement'!BC$2&lt;=Summary!$O8),IF((BC2-Summary!$N$8)&lt;12,Summary!$P$7*Summary!$L$8,IF(MOD(BC2,12)=MOD(Summary!$N8,12),(Summary!$L$8*Summary!$P$7*((1+Summary!$K$5)^((BC2-12-MOD(Summary!$N8,12))/12))),HLOOKUP(BB3,$E$3:$DV$7,5,FALSE))))</f>
        <v>4961.25</v>
      </c>
      <c r="BD7" s="46">
        <f>IF(AND(Summary!$N8&lt;='Cash Flow Statement'!BD$2,'Cash Flow Statement'!BD$2&lt;=Summary!$O8),IF((BD2-Summary!$N$8)&lt;12,Summary!$P$7*Summary!$L$8,IF(MOD(BD2,12)=MOD(Summary!$N8,12),(Summary!$L$8*Summary!$P$7*((1+Summary!$K$5)^((BD2-12-MOD(Summary!$N8,12))/12))),HLOOKUP(BC3,$E$3:$DV$7,5,FALSE))))</f>
        <v>4961.25</v>
      </c>
      <c r="BE7" s="46">
        <f>IF(AND(Summary!$N8&lt;='Cash Flow Statement'!BE$2,'Cash Flow Statement'!BE$2&lt;=Summary!$O8),IF((BE2-Summary!$N$8)&lt;12,Summary!$P$7*Summary!$L$8,IF(MOD(BE2,12)=MOD(Summary!$N8,12),(Summary!$L$8*Summary!$P$7*((1+Summary!$K$5)^((BE2-12-MOD(Summary!$N8,12))/12))),HLOOKUP(BD3,$E$3:$DV$7,5,FALSE))))</f>
        <v>4961.25</v>
      </c>
      <c r="BF7" s="46">
        <f>IF(AND(Summary!$N8&lt;='Cash Flow Statement'!BF$2,'Cash Flow Statement'!BF$2&lt;=Summary!$O8),IF((BF2-Summary!$N$8)&lt;12,Summary!$P$7*Summary!$L$8,IF(MOD(BF2,12)=MOD(Summary!$N8,12),(Summary!$L$8*Summary!$P$7*((1+Summary!$K$5)^((BF2-12-MOD(Summary!$N8,12))/12))),HLOOKUP(BE3,$E$3:$DV$7,5,FALSE))))</f>
        <v>4961.25</v>
      </c>
      <c r="BG7" s="46">
        <f>IF(AND(Summary!$N8&lt;='Cash Flow Statement'!BG$2,'Cash Flow Statement'!BG$2&lt;=Summary!$O8),IF((BG2-Summary!$N$8)&lt;12,Summary!$P$7*Summary!$L$8,IF(MOD(BG2,12)=MOD(Summary!$N8,12),(Summary!$L$8*Summary!$P$7*((1+Summary!$K$5)^((BG2-12-MOD(Summary!$N8,12))/12))),HLOOKUP(BF3,$E$3:$DV$7,5,FALSE))))</f>
        <v>4961.25</v>
      </c>
      <c r="BH7" s="46">
        <f>IF(AND(Summary!$N8&lt;='Cash Flow Statement'!BH$2,'Cash Flow Statement'!BH$2&lt;=Summary!$O8),IF((BH2-Summary!$N$8)&lt;12,Summary!$P$7*Summary!$L$8,IF(MOD(BH2,12)=MOD(Summary!$N8,12),(Summary!$L$8*Summary!$P$7*((1+Summary!$K$5)^((BH2-12-MOD(Summary!$N8,12))/12))),HLOOKUP(BG3,$E$3:$DV$7,5,FALSE))))</f>
        <v>4961.25</v>
      </c>
      <c r="BI7" s="46">
        <f>IF(AND(Summary!$N8&lt;='Cash Flow Statement'!BI$2,'Cash Flow Statement'!BI$2&lt;=Summary!$O8),IF((BI2-Summary!$N$8)&lt;12,Summary!$P$7*Summary!$L$8,IF(MOD(BI2,12)=MOD(Summary!$N8,12),(Summary!$L$8*Summary!$P$7*((1+Summary!$K$5)^((BI2-12-MOD(Summary!$N8,12))/12))),HLOOKUP(BH3,$E$3:$DV$7,5,FALSE))))</f>
        <v>4961.25</v>
      </c>
      <c r="BJ7" s="46">
        <f>IF(AND(Summary!$N8&lt;='Cash Flow Statement'!BJ$2,'Cash Flow Statement'!BJ$2&lt;=Summary!$O8),IF((BJ2-Summary!$N$8)&lt;12,Summary!$P$7*Summary!$L$8,IF(MOD(BJ2,12)=MOD(Summary!$N8,12),(Summary!$L$8*Summary!$P$7*((1+Summary!$K$5)^((BJ2-12-MOD(Summary!$N8,12))/12))),HLOOKUP(BI3,$E$3:$DV$7,5,FALSE))))</f>
        <v>4961.25</v>
      </c>
      <c r="BK7" s="46">
        <f>IF(AND(Summary!$N8&lt;='Cash Flow Statement'!BK$2,'Cash Flow Statement'!BK$2&lt;=Summary!$O8),IF((BK2-Summary!$N$8)&lt;12,Summary!$P$7*Summary!$L$8,IF(MOD(BK2,12)=MOD(Summary!$N8,12),(Summary!$L$8*Summary!$P$7*((1+Summary!$K$5)^((BK2-12-MOD(Summary!$N8,12))/12))),HLOOKUP(BJ3,$E$3:$DV$7,5,FALSE))))</f>
        <v>5209.3125000000009</v>
      </c>
      <c r="BL7" s="46">
        <f>IF(AND(Summary!$N8&lt;='Cash Flow Statement'!BL$2,'Cash Flow Statement'!BL$2&lt;=Summary!$O8),IF((BL2-Summary!$N$8)&lt;12,Summary!$P$7*Summary!$L$8,IF(MOD(BL2,12)=MOD(Summary!$N8,12),(Summary!$L$8*Summary!$P$7*((1+Summary!$K$5)^((BL2-12-MOD(Summary!$N8,12))/12))),HLOOKUP(BK3,$E$3:$DV$7,5,FALSE))))</f>
        <v>5209.3125000000009</v>
      </c>
      <c r="BM7" s="46">
        <f>IF(AND(Summary!$N8&lt;='Cash Flow Statement'!BM$2,'Cash Flow Statement'!BM$2&lt;=Summary!$O8),IF((BM2-Summary!$N$8)&lt;12,Summary!$P$7*Summary!$L$8,IF(MOD(BM2,12)=MOD(Summary!$N8,12),(Summary!$L$8*Summary!$P$7*((1+Summary!$K$5)^((BM2-12-MOD(Summary!$N8,12))/12))),HLOOKUP(BL3,$E$3:$DV$7,5,FALSE))))</f>
        <v>5209.3125000000009</v>
      </c>
      <c r="BN7" s="46">
        <f>IF(AND(Summary!$N8&lt;='Cash Flow Statement'!BN$2,'Cash Flow Statement'!BN$2&lt;=Summary!$O8),IF((BN2-Summary!$N$8)&lt;12,Summary!$P$7*Summary!$L$8,IF(MOD(BN2,12)=MOD(Summary!$N8,12),(Summary!$L$8*Summary!$P$7*((1+Summary!$K$5)^((BN2-12-MOD(Summary!$N8,12))/12))),HLOOKUP(BM3,$E$3:$DV$7,5,FALSE))))</f>
        <v>5209.3125000000009</v>
      </c>
      <c r="BO7" s="46">
        <f>IF(AND(Summary!$N8&lt;='Cash Flow Statement'!BO$2,'Cash Flow Statement'!BO$2&lt;=Summary!$O8),IF((BO2-Summary!$N$8)&lt;12,Summary!$P$7*Summary!$L$8,IF(MOD(BO2,12)=MOD(Summary!$N8,12),(Summary!$L$8*Summary!$P$7*((1+Summary!$K$5)^((BO2-12-MOD(Summary!$N8,12))/12))),HLOOKUP(BN3,$E$3:$DV$7,5,FALSE))))</f>
        <v>5209.3125000000009</v>
      </c>
      <c r="BP7" s="46">
        <f>IF(AND(Summary!$N8&lt;='Cash Flow Statement'!BP$2,'Cash Flow Statement'!BP$2&lt;=Summary!$O8),IF((BP2-Summary!$N$8)&lt;12,Summary!$P$7*Summary!$L$8,IF(MOD(BP2,12)=MOD(Summary!$N8,12),(Summary!$L$8*Summary!$P$7*((1+Summary!$K$5)^((BP2-12-MOD(Summary!$N8,12))/12))),HLOOKUP(BO3,$E$3:$DV$7,5,FALSE))))</f>
        <v>5209.3125000000009</v>
      </c>
      <c r="BQ7" s="46">
        <f>IF(AND(Summary!$N8&lt;='Cash Flow Statement'!BQ$2,'Cash Flow Statement'!BQ$2&lt;=Summary!$O8),IF((BQ2-Summary!$N$8)&lt;12,Summary!$P$7*Summary!$L$8,IF(MOD(BQ2,12)=MOD(Summary!$N8,12),(Summary!$L$8*Summary!$P$7*((1+Summary!$K$5)^((BQ2-12-MOD(Summary!$N8,12))/12))),HLOOKUP(BP3,$E$3:$DV$7,5,FALSE))))</f>
        <v>5209.3125000000009</v>
      </c>
      <c r="BR7" s="46">
        <f>IF(AND(Summary!$N8&lt;='Cash Flow Statement'!BR$2,'Cash Flow Statement'!BR$2&lt;=Summary!$O8),IF((BR2-Summary!$N$8)&lt;12,Summary!$P$7*Summary!$L$8,IF(MOD(BR2,12)=MOD(Summary!$N8,12),(Summary!$L$8*Summary!$P$7*((1+Summary!$K$5)^((BR2-12-MOD(Summary!$N8,12))/12))),HLOOKUP(BQ3,$E$3:$DV$7,5,FALSE))))</f>
        <v>5209.3125000000009</v>
      </c>
      <c r="BS7" s="46">
        <f>IF(AND(Summary!$N8&lt;='Cash Flow Statement'!BS$2,'Cash Flow Statement'!BS$2&lt;=Summary!$O8),IF((BS2-Summary!$N$8)&lt;12,Summary!$P$7*Summary!$L$8,IF(MOD(BS2,12)=MOD(Summary!$N8,12),(Summary!$L$8*Summary!$P$7*((1+Summary!$K$5)^((BS2-12-MOD(Summary!$N8,12))/12))),HLOOKUP(BR3,$E$3:$DV$7,5,FALSE))))</f>
        <v>5209.3125000000009</v>
      </c>
      <c r="BT7" s="46">
        <f>IF(AND(Summary!$N8&lt;='Cash Flow Statement'!BT$2,'Cash Flow Statement'!BT$2&lt;=Summary!$O8),IF((BT2-Summary!$N$8)&lt;12,Summary!$P$7*Summary!$L$8,IF(MOD(BT2,12)=MOD(Summary!$N8,12),(Summary!$L$8*Summary!$P$7*((1+Summary!$K$5)^((BT2-12-MOD(Summary!$N8,12))/12))),HLOOKUP(BS3,$E$3:$DV$7,5,FALSE))))</f>
        <v>5209.3125000000009</v>
      </c>
      <c r="BU7" s="46">
        <f>IF(AND(Summary!$N8&lt;='Cash Flow Statement'!BU$2,'Cash Flow Statement'!BU$2&lt;=Summary!$O8),IF((BU2-Summary!$N$8)&lt;12,Summary!$P$7*Summary!$L$8,IF(MOD(BU2,12)=MOD(Summary!$N8,12),(Summary!$L$8*Summary!$P$7*((1+Summary!$K$5)^((BU2-12-MOD(Summary!$N8,12))/12))),HLOOKUP(BT3,$E$3:$DV$7,5,FALSE))))</f>
        <v>5209.3125000000009</v>
      </c>
      <c r="BV7" s="46">
        <f>IF(AND(Summary!$N8&lt;='Cash Flow Statement'!BV$2,'Cash Flow Statement'!BV$2&lt;=Summary!$O8),IF((BV2-Summary!$N$8)&lt;12,Summary!$P$7*Summary!$L$8,IF(MOD(BV2,12)=MOD(Summary!$N8,12),(Summary!$L$8*Summary!$P$7*((1+Summary!$K$5)^((BV2-12-MOD(Summary!$N8,12))/12))),HLOOKUP(BU3,$E$3:$DV$7,5,FALSE))))</f>
        <v>5209.3125000000009</v>
      </c>
      <c r="BW7" s="46">
        <f>IF(AND(Summary!$N8&lt;='Cash Flow Statement'!BW$2,'Cash Flow Statement'!BW$2&lt;=Summary!$O8),IF((BW2-Summary!$N$8)&lt;12,Summary!$P$7*Summary!$L$8,IF(MOD(BW2,12)=MOD(Summary!$N8,12),(Summary!$L$8*Summary!$P$7*((1+Summary!$K$5)^((BW2-12-MOD(Summary!$N8,12))/12))),HLOOKUP(BV3,$E$3:$DV$7,5,FALSE))))</f>
        <v>5469.7781249999998</v>
      </c>
      <c r="BX7" s="46">
        <f>IF(AND(Summary!$N8&lt;='Cash Flow Statement'!BX$2,'Cash Flow Statement'!BX$2&lt;=Summary!$O8),IF((BX2-Summary!$N$8)&lt;12,Summary!$P$7*Summary!$L$8,IF(MOD(BX2,12)=MOD(Summary!$N8,12),(Summary!$L$8*Summary!$P$7*((1+Summary!$K$5)^((BX2-12-MOD(Summary!$N8,12))/12))),HLOOKUP(BW3,$E$3:$DV$7,5,FALSE))))</f>
        <v>5469.7781249999998</v>
      </c>
      <c r="BY7" s="46">
        <f>IF(AND(Summary!$N8&lt;='Cash Flow Statement'!BY$2,'Cash Flow Statement'!BY$2&lt;=Summary!$O8),IF((BY2-Summary!$N$8)&lt;12,Summary!$P$7*Summary!$L$8,IF(MOD(BY2,12)=MOD(Summary!$N8,12),(Summary!$L$8*Summary!$P$7*((1+Summary!$K$5)^((BY2-12-MOD(Summary!$N8,12))/12))),HLOOKUP(BX3,$E$3:$DV$7,5,FALSE))))</f>
        <v>5469.7781249999998</v>
      </c>
      <c r="BZ7" s="46">
        <f>IF(AND(Summary!$N8&lt;='Cash Flow Statement'!BZ$2,'Cash Flow Statement'!BZ$2&lt;=Summary!$O8),IF((BZ2-Summary!$N$8)&lt;12,Summary!$P$7*Summary!$L$8,IF(MOD(BZ2,12)=MOD(Summary!$N8,12),(Summary!$L$8*Summary!$P$7*((1+Summary!$K$5)^((BZ2-12-MOD(Summary!$N8,12))/12))),HLOOKUP(BY3,$E$3:$DV$7,5,FALSE))))</f>
        <v>5469.7781249999998</v>
      </c>
      <c r="CA7" s="46">
        <f>IF(AND(Summary!$N8&lt;='Cash Flow Statement'!CA$2,'Cash Flow Statement'!CA$2&lt;=Summary!$O8),IF((CA2-Summary!$N$8)&lt;12,Summary!$P$7*Summary!$L$8,IF(MOD(CA2,12)=MOD(Summary!$N8,12),(Summary!$L$8*Summary!$P$7*((1+Summary!$K$5)^((CA2-12-MOD(Summary!$N8,12))/12))),HLOOKUP(BZ3,$E$3:$DV$7,5,FALSE))))</f>
        <v>5469.7781249999998</v>
      </c>
      <c r="CB7" s="46">
        <f>IF(AND(Summary!$N8&lt;='Cash Flow Statement'!CB$2,'Cash Flow Statement'!CB$2&lt;=Summary!$O8),IF((CB2-Summary!$N$8)&lt;12,Summary!$P$7*Summary!$L$8,IF(MOD(CB2,12)=MOD(Summary!$N8,12),(Summary!$L$8*Summary!$P$7*((1+Summary!$K$5)^((CB2-12-MOD(Summary!$N8,12))/12))),HLOOKUP(CA3,$E$3:$DV$7,5,FALSE))))</f>
        <v>5469.7781249999998</v>
      </c>
      <c r="CC7" s="46">
        <f>IF(AND(Summary!$N8&lt;='Cash Flow Statement'!CC$2,'Cash Flow Statement'!CC$2&lt;=Summary!$O8),IF((CC2-Summary!$N$8)&lt;12,Summary!$P$7*Summary!$L$8,IF(MOD(CC2,12)=MOD(Summary!$N8,12),(Summary!$L$8*Summary!$P$7*((1+Summary!$K$5)^((CC2-12-MOD(Summary!$N8,12))/12))),HLOOKUP(CB3,$E$3:$DV$7,5,FALSE))))</f>
        <v>5469.7781249999998</v>
      </c>
      <c r="CD7" s="46">
        <f>IF(AND(Summary!$N8&lt;='Cash Flow Statement'!CD$2,'Cash Flow Statement'!CD$2&lt;=Summary!$O8),IF((CD2-Summary!$N$8)&lt;12,Summary!$P$7*Summary!$L$8,IF(MOD(CD2,12)=MOD(Summary!$N8,12),(Summary!$L$8*Summary!$P$7*((1+Summary!$K$5)^((CD2-12-MOD(Summary!$N8,12))/12))),HLOOKUP(CC3,$E$3:$DV$7,5,FALSE))))</f>
        <v>5469.7781249999998</v>
      </c>
      <c r="CE7" s="46">
        <f>IF(AND(Summary!$N8&lt;='Cash Flow Statement'!CE$2,'Cash Flow Statement'!CE$2&lt;=Summary!$O8),IF((CE2-Summary!$N$8)&lt;12,Summary!$P$7*Summary!$L$8,IF(MOD(CE2,12)=MOD(Summary!$N8,12),(Summary!$L$8*Summary!$P$7*((1+Summary!$K$5)^((CE2-12-MOD(Summary!$N8,12))/12))),HLOOKUP(CD3,$E$3:$DV$7,5,FALSE))))</f>
        <v>5469.7781249999998</v>
      </c>
      <c r="CF7" s="46">
        <f>IF(AND(Summary!$N8&lt;='Cash Flow Statement'!CF$2,'Cash Flow Statement'!CF$2&lt;=Summary!$O8),IF((CF2-Summary!$N$8)&lt;12,Summary!$P$7*Summary!$L$8,IF(MOD(CF2,12)=MOD(Summary!$N8,12),(Summary!$L$8*Summary!$P$7*((1+Summary!$K$5)^((CF2-12-MOD(Summary!$N8,12))/12))),HLOOKUP(CE3,$E$3:$DV$7,5,FALSE))))</f>
        <v>5469.7781249999998</v>
      </c>
      <c r="CG7" s="46">
        <f>IF(AND(Summary!$N8&lt;='Cash Flow Statement'!CG$2,'Cash Flow Statement'!CG$2&lt;=Summary!$O8),IF((CG2-Summary!$N$8)&lt;12,Summary!$P$7*Summary!$L$8,IF(MOD(CG2,12)=MOD(Summary!$N8,12),(Summary!$L$8*Summary!$P$7*((1+Summary!$K$5)^((CG2-12-MOD(Summary!$N8,12))/12))),HLOOKUP(CF3,$E$3:$DV$7,5,FALSE))))</f>
        <v>5469.7781249999998</v>
      </c>
      <c r="CH7" s="46">
        <f>IF(AND(Summary!$N8&lt;='Cash Flow Statement'!CH$2,'Cash Flow Statement'!CH$2&lt;=Summary!$O8),IF((CH2-Summary!$N$8)&lt;12,Summary!$P$7*Summary!$L$8,IF(MOD(CH2,12)=MOD(Summary!$N8,12),(Summary!$L$8*Summary!$P$7*((1+Summary!$K$5)^((CH2-12-MOD(Summary!$N8,12))/12))),HLOOKUP(CG3,$E$3:$DV$7,5,FALSE))))</f>
        <v>5469.7781249999998</v>
      </c>
      <c r="CI7" s="46">
        <f>IF(AND(Summary!$N8&lt;='Cash Flow Statement'!CI$2,'Cash Flow Statement'!CI$2&lt;=Summary!$O8),IF((CI2-Summary!$N$8)&lt;12,Summary!$P$7*Summary!$L$8,IF(MOD(CI2,12)=MOD(Summary!$N8,12),(Summary!$L$8*Summary!$P$7*((1+Summary!$K$5)^((CI2-12-MOD(Summary!$N8,12))/12))),HLOOKUP(CH3,$E$3:$DV$7,5,FALSE))))</f>
        <v>5743.2670312500004</v>
      </c>
      <c r="CJ7" s="46">
        <f>IF(AND(Summary!$N8&lt;='Cash Flow Statement'!CJ$2,'Cash Flow Statement'!CJ$2&lt;=Summary!$O8),IF((CJ2-Summary!$N$8)&lt;12,Summary!$P$7*Summary!$L$8,IF(MOD(CJ2,12)=MOD(Summary!$N8,12),(Summary!$L$8*Summary!$P$7*((1+Summary!$K$5)^((CJ2-12-MOD(Summary!$N8,12))/12))),HLOOKUP(CI3,$E$3:$DV$7,5,FALSE))))</f>
        <v>5743.2670312500004</v>
      </c>
      <c r="CK7" s="46">
        <f>IF(AND(Summary!$N8&lt;='Cash Flow Statement'!CK$2,'Cash Flow Statement'!CK$2&lt;=Summary!$O8),IF((CK2-Summary!$N$8)&lt;12,Summary!$P$7*Summary!$L$8,IF(MOD(CK2,12)=MOD(Summary!$N8,12),(Summary!$L$8*Summary!$P$7*((1+Summary!$K$5)^((CK2-12-MOD(Summary!$N8,12))/12))),HLOOKUP(CJ3,$E$3:$DV$7,5,FALSE))))</f>
        <v>5743.2670312500004</v>
      </c>
      <c r="CL7" s="46">
        <f>IF(AND(Summary!$N8&lt;='Cash Flow Statement'!CL$2,'Cash Flow Statement'!CL$2&lt;=Summary!$O8),IF((CL2-Summary!$N$8)&lt;12,Summary!$P$7*Summary!$L$8,IF(MOD(CL2,12)=MOD(Summary!$N8,12),(Summary!$L$8*Summary!$P$7*((1+Summary!$K$5)^((CL2-12-MOD(Summary!$N8,12))/12))),HLOOKUP(CK3,$E$3:$DV$7,5,FALSE))))</f>
        <v>5743.2670312500004</v>
      </c>
      <c r="CM7" s="46">
        <f>IF(AND(Summary!$N8&lt;='Cash Flow Statement'!CM$2,'Cash Flow Statement'!CM$2&lt;=Summary!$O8),IF((CM2-Summary!$N$8)&lt;12,Summary!$P$7*Summary!$L$8,IF(MOD(CM2,12)=MOD(Summary!$N8,12),(Summary!$L$8*Summary!$P$7*((1+Summary!$K$5)^((CM2-12-MOD(Summary!$N8,12))/12))),HLOOKUP(CL3,$E$3:$DV$7,5,FALSE))))</f>
        <v>5743.2670312500004</v>
      </c>
      <c r="CN7" s="46">
        <f>IF(AND(Summary!$N8&lt;='Cash Flow Statement'!CN$2,'Cash Flow Statement'!CN$2&lt;=Summary!$O8),IF((CN2-Summary!$N$8)&lt;12,Summary!$P$7*Summary!$L$8,IF(MOD(CN2,12)=MOD(Summary!$N8,12),(Summary!$L$8*Summary!$P$7*((1+Summary!$K$5)^((CN2-12-MOD(Summary!$N8,12))/12))),HLOOKUP(CM3,$E$3:$DV$7,5,FALSE))))</f>
        <v>5743.2670312500004</v>
      </c>
      <c r="CO7" s="46">
        <f>IF(AND(Summary!$N8&lt;='Cash Flow Statement'!CO$2,'Cash Flow Statement'!CO$2&lt;=Summary!$O8),IF((CO2-Summary!$N$8)&lt;12,Summary!$P$7*Summary!$L$8,IF(MOD(CO2,12)=MOD(Summary!$N8,12),(Summary!$L$8*Summary!$P$7*((1+Summary!$K$5)^((CO2-12-MOD(Summary!$N8,12))/12))),HLOOKUP(CN3,$E$3:$DV$7,5,FALSE))))</f>
        <v>5743.2670312500004</v>
      </c>
      <c r="CP7" s="46">
        <f>IF(AND(Summary!$N8&lt;='Cash Flow Statement'!CP$2,'Cash Flow Statement'!CP$2&lt;=Summary!$O8),IF((CP2-Summary!$N$8)&lt;12,Summary!$P$7*Summary!$L$8,IF(MOD(CP2,12)=MOD(Summary!$N8,12),(Summary!$L$8*Summary!$P$7*((1+Summary!$K$5)^((CP2-12-MOD(Summary!$N8,12))/12))),HLOOKUP(CO3,$E$3:$DV$7,5,FALSE))))</f>
        <v>5743.2670312500004</v>
      </c>
      <c r="CQ7" s="46">
        <f>IF(AND(Summary!$N8&lt;='Cash Flow Statement'!CQ$2,'Cash Flow Statement'!CQ$2&lt;=Summary!$O8),IF((CQ2-Summary!$N$8)&lt;12,Summary!$P$7*Summary!$L$8,IF(MOD(CQ2,12)=MOD(Summary!$N8,12),(Summary!$L$8*Summary!$P$7*((1+Summary!$K$5)^((CQ2-12-MOD(Summary!$N8,12))/12))),HLOOKUP(CP3,$E$3:$DV$7,5,FALSE))))</f>
        <v>5743.2670312500004</v>
      </c>
      <c r="CR7" s="46">
        <f>IF(AND(Summary!$N8&lt;='Cash Flow Statement'!CR$2,'Cash Flow Statement'!CR$2&lt;=Summary!$O8),IF((CR2-Summary!$N$8)&lt;12,Summary!$P$7*Summary!$L$8,IF(MOD(CR2,12)=MOD(Summary!$N8,12),(Summary!$L$8*Summary!$P$7*((1+Summary!$K$5)^((CR2-12-MOD(Summary!$N8,12))/12))),HLOOKUP(CQ3,$E$3:$DV$7,5,FALSE))))</f>
        <v>5743.2670312500004</v>
      </c>
      <c r="CS7" s="46">
        <f>IF(AND(Summary!$N8&lt;='Cash Flow Statement'!CS$2,'Cash Flow Statement'!CS$2&lt;=Summary!$O8),IF((CS2-Summary!$N$8)&lt;12,Summary!$P$7*Summary!$L$8,IF(MOD(CS2,12)=MOD(Summary!$N8,12),(Summary!$L$8*Summary!$P$7*((1+Summary!$K$5)^((CS2-12-MOD(Summary!$N8,12))/12))),HLOOKUP(CR3,$E$3:$DV$7,5,FALSE))))</f>
        <v>5743.2670312500004</v>
      </c>
      <c r="CT7" s="46">
        <f>IF(AND(Summary!$N8&lt;='Cash Flow Statement'!CT$2,'Cash Flow Statement'!CT$2&lt;=Summary!$O8),IF((CT2-Summary!$N$8)&lt;12,Summary!$P$7*Summary!$L$8,IF(MOD(CT2,12)=MOD(Summary!$N8,12),(Summary!$L$8*Summary!$P$7*((1+Summary!$K$5)^((CT2-12-MOD(Summary!$N8,12))/12))),HLOOKUP(CS3,$E$3:$DV$7,5,FALSE))))</f>
        <v>5743.2670312500004</v>
      </c>
      <c r="CU7" s="46">
        <f>IF(AND(Summary!$N8&lt;='Cash Flow Statement'!CU$2,'Cash Flow Statement'!CU$2&lt;=Summary!$O8),IF((CU2-Summary!$N$8)&lt;12,Summary!$P$7*Summary!$L$8,IF(MOD(CU2,12)=MOD(Summary!$N8,12),(Summary!$L$8*Summary!$P$7*((1+Summary!$K$5)^((CU2-12-MOD(Summary!$N8,12))/12))),HLOOKUP(CT3,$E$3:$DV$7,5,FALSE))))</f>
        <v>6030.4303828125003</v>
      </c>
      <c r="CV7" s="46">
        <f>IF(AND(Summary!$N8&lt;='Cash Flow Statement'!CV$2,'Cash Flow Statement'!CV$2&lt;=Summary!$O8),IF((CV2-Summary!$N$8)&lt;12,Summary!$P$7*Summary!$L$8,IF(MOD(CV2,12)=MOD(Summary!$N8,12),(Summary!$L$8*Summary!$P$7*((1+Summary!$K$5)^((CV2-12-MOD(Summary!$N8,12))/12))),HLOOKUP(CU3,$E$3:$DV$7,5,FALSE))))</f>
        <v>6030.4303828125003</v>
      </c>
      <c r="CW7" s="46">
        <f>IF(AND(Summary!$N8&lt;='Cash Flow Statement'!CW$2,'Cash Flow Statement'!CW$2&lt;=Summary!$O8),IF((CW2-Summary!$N$8)&lt;12,Summary!$P$7*Summary!$L$8,IF(MOD(CW2,12)=MOD(Summary!$N8,12),(Summary!$L$8*Summary!$P$7*((1+Summary!$K$5)^((CW2-12-MOD(Summary!$N8,12))/12))),HLOOKUP(CV3,$E$3:$DV$7,5,FALSE))))</f>
        <v>6030.4303828125003</v>
      </c>
      <c r="CX7" s="46">
        <f>IF(AND(Summary!$N8&lt;='Cash Flow Statement'!CX$2,'Cash Flow Statement'!CX$2&lt;=Summary!$O8),IF((CX2-Summary!$N$8)&lt;12,Summary!$P$7*Summary!$L$8,IF(MOD(CX2,12)=MOD(Summary!$N8,12),(Summary!$L$8*Summary!$P$7*((1+Summary!$K$5)^((CX2-12-MOD(Summary!$N8,12))/12))),HLOOKUP(CW3,$E$3:$DV$7,5,FALSE))))</f>
        <v>6030.4303828125003</v>
      </c>
      <c r="CY7" s="46">
        <f>IF(AND(Summary!$N8&lt;='Cash Flow Statement'!CY$2,'Cash Flow Statement'!CY$2&lt;=Summary!$O8),IF((CY2-Summary!$N$8)&lt;12,Summary!$P$7*Summary!$L$8,IF(MOD(CY2,12)=MOD(Summary!$N8,12),(Summary!$L$8*Summary!$P$7*((1+Summary!$K$5)^((CY2-12-MOD(Summary!$N8,12))/12))),HLOOKUP(CX3,$E$3:$DV$7,5,FALSE))))</f>
        <v>6030.4303828125003</v>
      </c>
      <c r="CZ7" s="46">
        <f>IF(AND(Summary!$N8&lt;='Cash Flow Statement'!CZ$2,'Cash Flow Statement'!CZ$2&lt;=Summary!$O8),IF((CZ2-Summary!$N$8)&lt;12,Summary!$P$7*Summary!$L$8,IF(MOD(CZ2,12)=MOD(Summary!$N8,12),(Summary!$L$8*Summary!$P$7*((1+Summary!$K$5)^((CZ2-12-MOD(Summary!$N8,12))/12))),HLOOKUP(CY3,$E$3:$DV$7,5,FALSE))))</f>
        <v>6030.4303828125003</v>
      </c>
      <c r="DA7" s="46">
        <f>IF(AND(Summary!$N8&lt;='Cash Flow Statement'!DA$2,'Cash Flow Statement'!DA$2&lt;=Summary!$O8),IF((DA2-Summary!$N$8)&lt;12,Summary!$P$7*Summary!$L$8,IF(MOD(DA2,12)=MOD(Summary!$N8,12),(Summary!$L$8*Summary!$P$7*((1+Summary!$K$5)^((DA2-12-MOD(Summary!$N8,12))/12))),HLOOKUP(CZ3,$E$3:$DV$7,5,FALSE))))</f>
        <v>6030.4303828125003</v>
      </c>
      <c r="DB7" s="46">
        <f>IF(AND(Summary!$N8&lt;='Cash Flow Statement'!DB$2,'Cash Flow Statement'!DB$2&lt;=Summary!$O8),IF((DB2-Summary!$N$8)&lt;12,Summary!$P$7*Summary!$L$8,IF(MOD(DB2,12)=MOD(Summary!$N8,12),(Summary!$L$8*Summary!$P$7*((1+Summary!$K$5)^((DB2-12-MOD(Summary!$N8,12))/12))),HLOOKUP(DA3,$E$3:$DV$7,5,FALSE))))</f>
        <v>6030.4303828125003</v>
      </c>
      <c r="DC7" s="46">
        <f>IF(AND(Summary!$N8&lt;='Cash Flow Statement'!DC$2,'Cash Flow Statement'!DC$2&lt;=Summary!$O8),IF((DC2-Summary!$N$8)&lt;12,Summary!$P$7*Summary!$L$8,IF(MOD(DC2,12)=MOD(Summary!$N8,12),(Summary!$L$8*Summary!$P$7*((1+Summary!$K$5)^((DC2-12-MOD(Summary!$N8,12))/12))),HLOOKUP(DB3,$E$3:$DV$7,5,FALSE))))</f>
        <v>6030.4303828125003</v>
      </c>
      <c r="DD7" s="46">
        <f>IF(AND(Summary!$N8&lt;='Cash Flow Statement'!DD$2,'Cash Flow Statement'!DD$2&lt;=Summary!$O8),IF((DD2-Summary!$N$8)&lt;12,Summary!$P$7*Summary!$L$8,IF(MOD(DD2,12)=MOD(Summary!$N8,12),(Summary!$L$8*Summary!$P$7*((1+Summary!$K$5)^((DD2-12-MOD(Summary!$N8,12))/12))),HLOOKUP(DC3,$E$3:$DV$7,5,FALSE))))</f>
        <v>6030.4303828125003</v>
      </c>
      <c r="DE7" s="46">
        <f>IF(AND(Summary!$N8&lt;='Cash Flow Statement'!DE$2,'Cash Flow Statement'!DE$2&lt;=Summary!$O8),IF((DE2-Summary!$N$8)&lt;12,Summary!$P$7*Summary!$L$8,IF(MOD(DE2,12)=MOD(Summary!$N8,12),(Summary!$L$8*Summary!$P$7*((1+Summary!$K$5)^((DE2-12-MOD(Summary!$N8,12))/12))),HLOOKUP(DD3,$E$3:$DV$7,5,FALSE))))</f>
        <v>6030.4303828125003</v>
      </c>
      <c r="DF7" s="46">
        <f>IF(AND(Summary!$N8&lt;='Cash Flow Statement'!DF$2,'Cash Flow Statement'!DF$2&lt;=Summary!$O8),IF((DF2-Summary!$N$8)&lt;12,Summary!$P$7*Summary!$L$8,IF(MOD(DF2,12)=MOD(Summary!$N8,12),(Summary!$L$8*Summary!$P$7*((1+Summary!$K$5)^((DF2-12-MOD(Summary!$N8,12))/12))),HLOOKUP(DE3,$E$3:$DV$7,5,FALSE))))</f>
        <v>6030.4303828125003</v>
      </c>
      <c r="DG7" s="46">
        <f>IF(AND(Summary!$N8&lt;='Cash Flow Statement'!DG$2,'Cash Flow Statement'!DG$2&lt;=Summary!$O8),IF((DG2-Summary!$N$8)&lt;12,Summary!$P$7*Summary!$L$8,IF(MOD(DG2,12)=MOD(Summary!$N8,12),(Summary!$L$8*Summary!$P$7*((1+Summary!$K$5)^((DG2-12-MOD(Summary!$N8,12))/12))),HLOOKUP(DF3,$E$3:$DV$7,5,FALSE))))</f>
        <v>6331.9519019531263</v>
      </c>
      <c r="DH7" s="46">
        <f>IF(AND(Summary!$N8&lt;='Cash Flow Statement'!DH$2,'Cash Flow Statement'!DH$2&lt;=Summary!$O8),IF((DH2-Summary!$N$8)&lt;12,Summary!$P$7*Summary!$L$8,IF(MOD(DH2,12)=MOD(Summary!$N8,12),(Summary!$L$8*Summary!$P$7*((1+Summary!$K$5)^((DH2-12-MOD(Summary!$N8,12))/12))),HLOOKUP(DG3,$E$3:$DV$7,5,FALSE))))</f>
        <v>6331.9519019531263</v>
      </c>
      <c r="DI7" s="46">
        <f>IF(AND(Summary!$N8&lt;='Cash Flow Statement'!DI$2,'Cash Flow Statement'!DI$2&lt;=Summary!$O8),IF((DI2-Summary!$N$8)&lt;12,Summary!$P$7*Summary!$L$8,IF(MOD(DI2,12)=MOD(Summary!$N8,12),(Summary!$L$8*Summary!$P$7*((1+Summary!$K$5)^((DI2-12-MOD(Summary!$N8,12))/12))),HLOOKUP(DH3,$E$3:$DV$7,5,FALSE))))</f>
        <v>6331.9519019531263</v>
      </c>
      <c r="DJ7" s="46">
        <f>IF(AND(Summary!$N8&lt;='Cash Flow Statement'!DJ$2,'Cash Flow Statement'!DJ$2&lt;=Summary!$O8),IF((DJ2-Summary!$N$8)&lt;12,Summary!$P$7*Summary!$L$8,IF(MOD(DJ2,12)=MOD(Summary!$N8,12),(Summary!$L$8*Summary!$P$7*((1+Summary!$K$5)^((DJ2-12-MOD(Summary!$N8,12))/12))),HLOOKUP(DI3,$E$3:$DV$7,5,FALSE))))</f>
        <v>6331.9519019531263</v>
      </c>
      <c r="DK7" s="46">
        <f>IF(AND(Summary!$N8&lt;='Cash Flow Statement'!DK$2,'Cash Flow Statement'!DK$2&lt;=Summary!$O8),IF((DK2-Summary!$N$8)&lt;12,Summary!$P$7*Summary!$L$8,IF(MOD(DK2,12)=MOD(Summary!$N8,12),(Summary!$L$8*Summary!$P$7*((1+Summary!$K$5)^((DK2-12-MOD(Summary!$N8,12))/12))),HLOOKUP(DJ3,$E$3:$DV$7,5,FALSE))))</f>
        <v>6331.9519019531263</v>
      </c>
      <c r="DL7" s="46">
        <f>IF(AND(Summary!$N8&lt;='Cash Flow Statement'!DL$2,'Cash Flow Statement'!DL$2&lt;=Summary!$O8),IF((DL2-Summary!$N$8)&lt;12,Summary!$P$7*Summary!$L$8,IF(MOD(DL2,12)=MOD(Summary!$N8,12),(Summary!$L$8*Summary!$P$7*((1+Summary!$K$5)^((DL2-12-MOD(Summary!$N8,12))/12))),HLOOKUP(DK3,$E$3:$DV$7,5,FALSE))))</f>
        <v>6331.9519019531263</v>
      </c>
      <c r="DM7" s="46">
        <f>IF(AND(Summary!$N8&lt;='Cash Flow Statement'!DM$2,'Cash Flow Statement'!DM$2&lt;=Summary!$O8),IF((DM2-Summary!$N$8)&lt;12,Summary!$P$7*Summary!$L$8,IF(MOD(DM2,12)=MOD(Summary!$N8,12),(Summary!$L$8*Summary!$P$7*((1+Summary!$K$5)^((DM2-12-MOD(Summary!$N8,12))/12))),HLOOKUP(DL3,$E$3:$DV$7,5,FALSE))))</f>
        <v>6331.9519019531263</v>
      </c>
      <c r="DN7" s="46">
        <f>IF(AND(Summary!$N8&lt;='Cash Flow Statement'!DN$2,'Cash Flow Statement'!DN$2&lt;=Summary!$O8),IF((DN2-Summary!$N$8)&lt;12,Summary!$P$7*Summary!$L$8,IF(MOD(DN2,12)=MOD(Summary!$N8,12),(Summary!$L$8*Summary!$P$7*((1+Summary!$K$5)^((DN2-12-MOD(Summary!$N8,12))/12))),HLOOKUP(DM3,$E$3:$DV$7,5,FALSE))))</f>
        <v>6331.9519019531263</v>
      </c>
      <c r="DO7" s="46">
        <f>IF(AND(Summary!$N8&lt;='Cash Flow Statement'!DO$2,'Cash Flow Statement'!DO$2&lt;=Summary!$O8),IF((DO2-Summary!$N$8)&lt;12,Summary!$P$7*Summary!$L$8,IF(MOD(DO2,12)=MOD(Summary!$N8,12),(Summary!$L$8*Summary!$P$7*((1+Summary!$K$5)^((DO2-12-MOD(Summary!$N8,12))/12))),HLOOKUP(DN3,$E$3:$DV$7,5,FALSE))))</f>
        <v>6331.9519019531263</v>
      </c>
      <c r="DP7" s="46">
        <f>IF(AND(Summary!$N8&lt;='Cash Flow Statement'!DP$2,'Cash Flow Statement'!DP$2&lt;=Summary!$O8),IF((DP2-Summary!$N$8)&lt;12,Summary!$P$7*Summary!$L$8,IF(MOD(DP2,12)=MOD(Summary!$N8,12),(Summary!$L$8*Summary!$P$7*((1+Summary!$K$5)^((DP2-12-MOD(Summary!$N8,12))/12))),HLOOKUP(DO3,$E$3:$DV$7,5,FALSE))))</f>
        <v>6331.9519019531263</v>
      </c>
      <c r="DQ7" s="46">
        <f>IF(AND(Summary!$N8&lt;='Cash Flow Statement'!DQ$2,'Cash Flow Statement'!DQ$2&lt;=Summary!$O8),IF((DQ2-Summary!$N$8)&lt;12,Summary!$P$7*Summary!$L$8,IF(MOD(DQ2,12)=MOD(Summary!$N8,12),(Summary!$L$8*Summary!$P$7*((1+Summary!$K$5)^((DQ2-12-MOD(Summary!$N8,12))/12))),HLOOKUP(DP3,$E$3:$DV$7,5,FALSE))))</f>
        <v>6331.9519019531263</v>
      </c>
      <c r="DR7" s="46">
        <f>IF(AND(Summary!$N8&lt;='Cash Flow Statement'!DR$2,'Cash Flow Statement'!DR$2&lt;=Summary!$O8),IF((DR2-Summary!$N$8)&lt;12,Summary!$P$7*Summary!$L$8,IF(MOD(DR2,12)=MOD(Summary!$N8,12),(Summary!$L$8*Summary!$P$7*((1+Summary!$K$5)^((DR2-12-MOD(Summary!$N8,12))/12))),HLOOKUP(DQ3,$E$3:$DV$7,5,FALSE))))</f>
        <v>6331.9519019531263</v>
      </c>
      <c r="DS7" s="46">
        <f>IF(AND(Summary!$N8&lt;='Cash Flow Statement'!DS$2,'Cash Flow Statement'!DS$2&lt;=Summary!$O8),IF((DS2-Summary!$N$8)&lt;12,Summary!$P$7*Summary!$L$8,IF(MOD(DS2,12)=MOD(Summary!$N8,12),(Summary!$L$8*Summary!$P$7*((1+Summary!$K$5)^((DS2-12-MOD(Summary!$N8,12))/12))),HLOOKUP(DR3,$E$3:$DV$7,5,FALSE))))</f>
        <v>6648.5494970507816</v>
      </c>
      <c r="DT7" s="46">
        <f>IF(AND(Summary!$N8&lt;='Cash Flow Statement'!DT$2,'Cash Flow Statement'!DT$2&lt;=Summary!$O8),IF((DT2-Summary!$N$8)&lt;12,Summary!$P$7*Summary!$L$8,IF(MOD(DT2,12)=MOD(Summary!$N8,12),(Summary!$L$8*Summary!$P$7*((1+Summary!$K$5)^((DT2-12-MOD(Summary!$N8,12))/12))),HLOOKUP(DS3,$E$3:$DV$7,5,FALSE))))</f>
        <v>6648.5494970507816</v>
      </c>
      <c r="DU7" s="46">
        <f>IF(AND(Summary!$N8&lt;='Cash Flow Statement'!DU$2,'Cash Flow Statement'!DU$2&lt;=Summary!$O8),IF((DU2-Summary!$N$8)&lt;12,Summary!$P$7*Summary!$L$8,IF(MOD(DU2,12)=MOD(Summary!$N8,12),(Summary!$L$8*Summary!$P$7*((1+Summary!$K$5)^((DU2-12-MOD(Summary!$N8,12))/12))),HLOOKUP(DT3,$E$3:$DV$7,5,FALSE))))</f>
        <v>6648.5494970507816</v>
      </c>
      <c r="DV7" s="87"/>
    </row>
    <row r="8" spans="1:126 16380:16380" x14ac:dyDescent="0.2">
      <c r="A8" s="88"/>
      <c r="B8" s="89" t="s">
        <v>191</v>
      </c>
      <c r="C8" s="44"/>
      <c r="D8" s="132">
        <f t="shared" si="7"/>
        <v>180748.69242679677</v>
      </c>
      <c r="E8" s="134" t="b">
        <f>IF(AND(Summary!$N9&lt;='Cash Flow Statement'!E$2,'Cash Flow Statement'!E$2&lt;=Summary!$O9),IF((E2-Summary!$N9)&lt;12,Summary!$P$7*Summary!$L$9,IF(MOD(E2,12)=MOD(Summary!$N9,12),(Summary!$L9*Summary!$P$7*((1+Summary!$K$5)^((E2-12-MOD(Summary!$N9,12))/12))),HLOOKUP(D3,$E$3:$DV8,6,FALSE))))</f>
        <v>0</v>
      </c>
      <c r="F8" s="46" t="b">
        <f>IF(AND(Summary!$N9&lt;='Cash Flow Statement'!F$2,'Cash Flow Statement'!F$2&lt;=Summary!$O9),IF((F2-Summary!$N9)&lt;12,Summary!$P$7*Summary!$L$9,IF(MOD(F2,12)=MOD(Summary!$N9,12),(Summary!$L9*Summary!$P$7*((1+Summary!$K$5)^((F2-12-MOD(Summary!$N9,12))/12))),HLOOKUP(E3,$E$3:$DV8,6,FALSE))))</f>
        <v>0</v>
      </c>
      <c r="G8" s="46" t="b">
        <f>IF(AND(Summary!$N9&lt;='Cash Flow Statement'!G$2,'Cash Flow Statement'!G$2&lt;=Summary!$O9),IF((G2-Summary!$N9)&lt;12,Summary!$P$7*Summary!$L$9,IF(MOD(G2,12)=MOD(Summary!$N9,12),(Summary!$L9*Summary!$P$7*((1+Summary!$K$5)^((G2-12-MOD(Summary!$N9,12))/12))),HLOOKUP(F3,$E$3:$DV8,6,FALSE))))</f>
        <v>0</v>
      </c>
      <c r="H8" s="46" t="b">
        <f>IF(AND(Summary!$N9&lt;='Cash Flow Statement'!H$2,'Cash Flow Statement'!H$2&lt;=Summary!$O9),IF((H2-Summary!$N9)&lt;12,Summary!$P$7*Summary!$L$9,IF(MOD(H2,12)=MOD(Summary!$N9,12),(Summary!$L9*Summary!$P$7*((1+Summary!$K$5)^((H2-12-MOD(Summary!$N9,12))/12))),HLOOKUP(G3,$E$3:$DV8,6,FALSE))))</f>
        <v>0</v>
      </c>
      <c r="I8" s="46" t="b">
        <f>IF(AND(Summary!$N9&lt;='Cash Flow Statement'!I$2,'Cash Flow Statement'!I$2&lt;=Summary!$O9),IF((I2-Summary!$N9)&lt;12,Summary!$P$7*Summary!$L$9,IF(MOD(I2,12)=MOD(Summary!$N9,12),(Summary!$L9*Summary!$P$7*((1+Summary!$K$5)^((I2-12-MOD(Summary!$N9,12))/12))),HLOOKUP(H3,$E$3:$DV8,6,FALSE))))</f>
        <v>0</v>
      </c>
      <c r="J8" s="46" t="b">
        <f>IF(AND(Summary!$N9&lt;='Cash Flow Statement'!J$2,'Cash Flow Statement'!J$2&lt;=Summary!$O9),IF((J2-Summary!$N9)&lt;12,Summary!$P$7*Summary!$L$9,IF(MOD(J2,12)=MOD(Summary!$N9,12),(Summary!$L9*Summary!$P$7*((1+Summary!$K$5)^((J2-12-MOD(Summary!$N9,12))/12))),HLOOKUP(I3,$E$3:$DV8,6,FALSE))))</f>
        <v>0</v>
      </c>
      <c r="K8" s="46" t="b">
        <f>IF(AND(Summary!$N9&lt;='Cash Flow Statement'!K$2,'Cash Flow Statement'!K$2&lt;=Summary!$O9),IF((K2-Summary!$N9)&lt;12,Summary!$P$7*Summary!$L$9,IF(MOD(K2,12)=MOD(Summary!$N9,12),(Summary!$L9*Summary!$P$7*((1+Summary!$K$5)^((K2-12-MOD(Summary!$N9,12))/12))),HLOOKUP(J3,$E$3:$DV8,6,FALSE))))</f>
        <v>0</v>
      </c>
      <c r="L8" s="46" t="b">
        <f>IF(AND(Summary!$N9&lt;='Cash Flow Statement'!L$2,'Cash Flow Statement'!L$2&lt;=Summary!$O9),IF((L2-Summary!$N9)&lt;12,Summary!$P$7*Summary!$L$9,IF(MOD(L2,12)=MOD(Summary!$N9,12),(Summary!$L9*Summary!$P$7*((1+Summary!$K$5)^((L2-12-MOD(Summary!$N9,12))/12))),HLOOKUP(K3,$E$3:$DV8,6,FALSE))))</f>
        <v>0</v>
      </c>
      <c r="M8" s="46" t="b">
        <f>IF(AND(Summary!$N9&lt;='Cash Flow Statement'!M$2,'Cash Flow Statement'!M$2&lt;=Summary!$O9),IF((M2-Summary!$N9)&lt;12,Summary!$P$7*Summary!$L$9,IF(MOD(M2,12)=MOD(Summary!$N9,12),(Summary!$L9*Summary!$P$7*((1+Summary!$K$5)^((M2-12-MOD(Summary!$N9,12))/12))),HLOOKUP(L3,$E$3:$DV8,6,FALSE))))</f>
        <v>0</v>
      </c>
      <c r="N8" s="46" t="b">
        <f>IF(AND(Summary!$N9&lt;='Cash Flow Statement'!N$2,'Cash Flow Statement'!N$2&lt;=Summary!$O9),IF((N2-Summary!$N9)&lt;12,Summary!$P$7*Summary!$L$9,IF(MOD(N2,12)=MOD(Summary!$N9,12),(Summary!$L9*Summary!$P$7*((1+Summary!$K$5)^((N2-12-MOD(Summary!$N9,12))/12))),HLOOKUP(M3,$E$3:$DV8,6,FALSE))))</f>
        <v>0</v>
      </c>
      <c r="O8" s="46" t="b">
        <f>IF(AND(Summary!$N9&lt;='Cash Flow Statement'!O$2,'Cash Flow Statement'!O$2&lt;=Summary!$O9),IF((O2-Summary!$N9)&lt;12,Summary!$P$7*Summary!$L$9,IF(MOD(O2,12)=MOD(Summary!$N9,12),(Summary!$L9*Summary!$P$7*((1+Summary!$K$5)^((O2-12-MOD(Summary!$N9,12))/12))),HLOOKUP(N3,$E$3:$DV8,6,FALSE))))</f>
        <v>0</v>
      </c>
      <c r="P8" s="46" t="b">
        <f>IF(AND(Summary!$N9&lt;='Cash Flow Statement'!P$2,'Cash Flow Statement'!P$2&lt;=Summary!$O9),IF((P2-Summary!$N9)&lt;12,Summary!$P$7*Summary!$L$9,IF(MOD(P2,12)=MOD(Summary!$N9,12),(Summary!$L9*Summary!$P$7*((1+Summary!$K$5)^((P2-12-MOD(Summary!$N9,12))/12))),HLOOKUP(O3,$E$3:$DV8,6,FALSE))))</f>
        <v>0</v>
      </c>
      <c r="Q8" s="46" t="b">
        <f>IF(AND(Summary!$N9&lt;='Cash Flow Statement'!Q$2,'Cash Flow Statement'!Q$2&lt;=Summary!$O9),IF((Q2-Summary!$N9)&lt;12,Summary!$P$7*Summary!$L$9,IF(MOD(Q2,12)=MOD(Summary!$N9,12),(Summary!$L9*Summary!$P$7*((1+Summary!$K$5)^((Q2-12-MOD(Summary!$N9,12))/12))),HLOOKUP(P3,$E$3:$DV8,6,FALSE))))</f>
        <v>0</v>
      </c>
      <c r="R8" s="46" t="b">
        <f>IF(AND(Summary!$N9&lt;='Cash Flow Statement'!R$2,'Cash Flow Statement'!R$2&lt;=Summary!$O9),IF((R2-Summary!$N9)&lt;12,Summary!$P$7*Summary!$L$9,IF(MOD(R2,12)=MOD(Summary!$N9,12),(Summary!$L9*Summary!$P$7*((1+Summary!$K$5)^((R2-12-MOD(Summary!$N9,12))/12))),HLOOKUP(Q3,$E$3:$DV8,6,FALSE))))</f>
        <v>0</v>
      </c>
      <c r="S8" s="46" t="b">
        <f>IF(AND(Summary!$N9&lt;='Cash Flow Statement'!S$2,'Cash Flow Statement'!S$2&lt;=Summary!$O9),IF((S2-Summary!$N9)&lt;12,Summary!$P$7*Summary!$L$9,IF(MOD(S2,12)=MOD(Summary!$N9,12),(Summary!$L9*Summary!$P$7*((1+Summary!$K$5)^((S2-12-MOD(Summary!$N9,12))/12))),HLOOKUP(R3,$E$3:$DV8,6,FALSE))))</f>
        <v>0</v>
      </c>
      <c r="T8" s="46" t="b">
        <f>IF(AND(Summary!$N9&lt;='Cash Flow Statement'!T$2,'Cash Flow Statement'!T$2&lt;=Summary!$O9),IF((T2-Summary!$N9)&lt;12,Summary!$P$7*Summary!$L$9,IF(MOD(T2,12)=MOD(Summary!$N9,12),(Summary!$L9*Summary!$P$7*((1+Summary!$K$5)^((T2-12-MOD(Summary!$N9,12))/12))),HLOOKUP(S3,$E$3:$DV8,6,FALSE))))</f>
        <v>0</v>
      </c>
      <c r="U8" s="46" t="b">
        <f>IF(AND(Summary!$N9&lt;='Cash Flow Statement'!U$2,'Cash Flow Statement'!U$2&lt;=Summary!$O9),IF((U2-Summary!$N9)&lt;12,Summary!$P$7*Summary!$L$9,IF(MOD(U2,12)=MOD(Summary!$N9,12),(Summary!$L9*Summary!$P$7*((1+Summary!$K$5)^((U2-12-MOD(Summary!$N9,12))/12))),HLOOKUP(T3,$E$3:$DV8,6,FALSE))))</f>
        <v>0</v>
      </c>
      <c r="V8" s="46" t="b">
        <f>IF(AND(Summary!$N9&lt;='Cash Flow Statement'!V$2,'Cash Flow Statement'!V$2&lt;=Summary!$O9),IF((V2-Summary!$N9)&lt;12,Summary!$P$7*Summary!$L$9,IF(MOD(V2,12)=MOD(Summary!$N9,12),(Summary!$L9*Summary!$P$7*((1+Summary!$K$5)^((V2-12-MOD(Summary!$N9,12))/12))),HLOOKUP(U3,$E$3:$DV8,6,FALSE))))</f>
        <v>0</v>
      </c>
      <c r="W8" s="46" t="b">
        <f>IF(AND(Summary!$N9&lt;='Cash Flow Statement'!W$2,'Cash Flow Statement'!W$2&lt;=Summary!$O9),IF((W2-Summary!$N9)&lt;12,Summary!$P$7*Summary!$L$9,IF(MOD(W2,12)=MOD(Summary!$N9,12),(Summary!$L9*Summary!$P$7*((1+Summary!$K$5)^((W2-12-MOD(Summary!$N9,12))/12))),HLOOKUP(V3,$E$3:$DV8,6,FALSE))))</f>
        <v>0</v>
      </c>
      <c r="X8" s="46" t="b">
        <f>IF(AND(Summary!$N9&lt;='Cash Flow Statement'!X$2,'Cash Flow Statement'!X$2&lt;=Summary!$O9),IF((X2-Summary!$N9)&lt;12,Summary!$P$7*Summary!$L$9,IF(MOD(X2,12)=MOD(Summary!$N9,12),(Summary!$L9*Summary!$P$7*((1+Summary!$K$5)^((X2-12-MOD(Summary!$N9,12))/12))),HLOOKUP(W3,$E$3:$DV8,6,FALSE))))</f>
        <v>0</v>
      </c>
      <c r="Y8" s="46" t="b">
        <f>IF(AND(Summary!$N9&lt;='Cash Flow Statement'!Y$2,'Cash Flow Statement'!Y$2&lt;=Summary!$O9),IF((Y2-Summary!$N9)&lt;12,Summary!$P$7*Summary!$L$9,IF(MOD(Y2,12)=MOD(Summary!$N9,12),(Summary!$L9*Summary!$P$7*((1+Summary!$K$5)^((Y2-12-MOD(Summary!$N9,12))/12))),HLOOKUP(X3,$E$3:$DV8,6,FALSE))))</f>
        <v>0</v>
      </c>
      <c r="Z8" s="46">
        <f>IF(AND(Summary!$N9&lt;='Cash Flow Statement'!Z$2,'Cash Flow Statement'!Z$2&lt;=Summary!$O9),IF((Z2-Summary!$N9)&lt;12,Summary!$P$7*Summary!$L$9,IF(MOD(Z2,12)=MOD(Summary!$N9,12),(Summary!$L9*Summary!$P$7*((1+Summary!$K$5)^((Z2-12-MOD(Summary!$N9,12))/12))),HLOOKUP(Y3,$E$3:$DV8,6,FALSE))))</f>
        <v>1500</v>
      </c>
      <c r="AA8" s="46">
        <f>IF(AND(Summary!$N9&lt;='Cash Flow Statement'!AA$2,'Cash Flow Statement'!AA$2&lt;=Summary!$O9),IF((AA2-Summary!$N9)&lt;12,Summary!$P$7*Summary!$L$9,IF(MOD(AA2,12)=MOD(Summary!$N9,12),(Summary!$L9*Summary!$P$7*((1+Summary!$K$5)^((AA2-12-MOD(Summary!$N9,12))/12))),HLOOKUP(Z3,$E$3:$DV8,6,FALSE))))</f>
        <v>1500</v>
      </c>
      <c r="AB8" s="46">
        <f>IF(AND(Summary!$N9&lt;='Cash Flow Statement'!AB$2,'Cash Flow Statement'!AB$2&lt;=Summary!$O9),IF((AB2-Summary!$N9)&lt;12,Summary!$P$7*Summary!$L$9,IF(MOD(AB2,12)=MOD(Summary!$N9,12),(Summary!$L9*Summary!$P$7*((1+Summary!$K$5)^((AB2-12-MOD(Summary!$N9,12))/12))),HLOOKUP(AA3,$E$3:$DV8,6,FALSE))))</f>
        <v>1500</v>
      </c>
      <c r="AC8" s="46">
        <f>IF(AND(Summary!$N9&lt;='Cash Flow Statement'!AC$2,'Cash Flow Statement'!AC$2&lt;=Summary!$O9),IF((AC2-Summary!$N9)&lt;12,Summary!$P$7*Summary!$L$9,IF(MOD(AC2,12)=MOD(Summary!$N9,12),(Summary!$L9*Summary!$P$7*((1+Summary!$K$5)^((AC2-12-MOD(Summary!$N9,12))/12))),HLOOKUP(AB3,$E$3:$DV8,6,FALSE))))</f>
        <v>1500</v>
      </c>
      <c r="AD8" s="46">
        <f>IF(AND(Summary!$N9&lt;='Cash Flow Statement'!AD$2,'Cash Flow Statement'!AD$2&lt;=Summary!$O9),IF((AD2-Summary!$N9)&lt;12,Summary!$P$7*Summary!$L$9,IF(MOD(AD2,12)=MOD(Summary!$N9,12),(Summary!$L9*Summary!$P$7*((1+Summary!$K$5)^((AD2-12-MOD(Summary!$N9,12))/12))),HLOOKUP(AC3,$E$3:$DV8,6,FALSE))))</f>
        <v>1500</v>
      </c>
      <c r="AE8" s="46">
        <f>IF(AND(Summary!$N9&lt;='Cash Flow Statement'!AE$2,'Cash Flow Statement'!AE$2&lt;=Summary!$O9),IF((AE2-Summary!$N9)&lt;12,Summary!$P$7*Summary!$L$9,IF(MOD(AE2,12)=MOD(Summary!$N9,12),(Summary!$L9*Summary!$P$7*((1+Summary!$K$5)^((AE2-12-MOD(Summary!$N9,12))/12))),HLOOKUP(AD3,$E$3:$DV8,6,FALSE))))</f>
        <v>1500</v>
      </c>
      <c r="AF8" s="46">
        <f>IF(AND(Summary!$N9&lt;='Cash Flow Statement'!AF$2,'Cash Flow Statement'!AF$2&lt;=Summary!$O9),IF((AF2-Summary!$N9)&lt;12,Summary!$P$7*Summary!$L$9,IF(MOD(AF2,12)=MOD(Summary!$N9,12),(Summary!$L9*Summary!$P$7*((1+Summary!$K$5)^((AF2-12-MOD(Summary!$N9,12))/12))),HLOOKUP(AE3,$E$3:$DV8,6,FALSE))))</f>
        <v>1500</v>
      </c>
      <c r="AG8" s="46">
        <f>IF(AND(Summary!$N9&lt;='Cash Flow Statement'!AG$2,'Cash Flow Statement'!AG$2&lt;=Summary!$O9),IF((AG2-Summary!$N9)&lt;12,Summary!$P$7*Summary!$L$9,IF(MOD(AG2,12)=MOD(Summary!$N9,12),(Summary!$L9*Summary!$P$7*((1+Summary!$K$5)^((AG2-12-MOD(Summary!$N9,12))/12))),HLOOKUP(AF3,$E$3:$DV8,6,FALSE))))</f>
        <v>1500</v>
      </c>
      <c r="AH8" s="46">
        <f>IF(AND(Summary!$N9&lt;='Cash Flow Statement'!AH$2,'Cash Flow Statement'!AH$2&lt;=Summary!$O9),IF((AH2-Summary!$N9)&lt;12,Summary!$P$7*Summary!$L$9,IF(MOD(AH2,12)=MOD(Summary!$N9,12),(Summary!$L9*Summary!$P$7*((1+Summary!$K$5)^((AH2-12-MOD(Summary!$N9,12))/12))),HLOOKUP(AG3,$E$3:$DV8,6,FALSE))))</f>
        <v>1500</v>
      </c>
      <c r="AI8" s="46">
        <f>IF(AND(Summary!$N9&lt;='Cash Flow Statement'!AI$2,'Cash Flow Statement'!AI$2&lt;=Summary!$O9),IF((AI2-Summary!$N9)&lt;12,Summary!$P$7*Summary!$L$9,IF(MOD(AI2,12)=MOD(Summary!$N9,12),(Summary!$L9*Summary!$P$7*((1+Summary!$K$5)^((AI2-12-MOD(Summary!$N9,12))/12))),HLOOKUP(AH3,$E$3:$DV8,6,FALSE))))</f>
        <v>1500</v>
      </c>
      <c r="AJ8" s="46">
        <f>IF(AND(Summary!$N9&lt;='Cash Flow Statement'!AJ$2,'Cash Flow Statement'!AJ$2&lt;=Summary!$O9),IF((AJ2-Summary!$N9)&lt;12,Summary!$P$7*Summary!$L$9,IF(MOD(AJ2,12)=MOD(Summary!$N9,12),(Summary!$L9*Summary!$P$7*((1+Summary!$K$5)^((AJ2-12-MOD(Summary!$N9,12))/12))),HLOOKUP(AI3,$E$3:$DV8,6,FALSE))))</f>
        <v>1500</v>
      </c>
      <c r="AK8" s="46">
        <f>IF(AND(Summary!$N9&lt;='Cash Flow Statement'!AK$2,'Cash Flow Statement'!AK$2&lt;=Summary!$O9),IF((AK2-Summary!$N9)&lt;12,Summary!$P$7*Summary!$L$9,IF(MOD(AK2,12)=MOD(Summary!$N9,12),(Summary!$L9*Summary!$P$7*((1+Summary!$K$5)^((AK2-12-MOD(Summary!$N9,12))/12))),HLOOKUP(AJ3,$E$3:$DV8,6,FALSE))))</f>
        <v>1500</v>
      </c>
      <c r="AL8" s="46">
        <f>IF(AND(Summary!$N9&lt;='Cash Flow Statement'!AL$2,'Cash Flow Statement'!AL$2&lt;=Summary!$O9),IF((AL2-Summary!$N9)&lt;12,Summary!$P$7*Summary!$L$9,IF(MOD(AL2,12)=MOD(Summary!$N9,12),(Summary!$L9*Summary!$P$7*((1+Summary!$K$5)^((AL2-12-MOD(Summary!$N9,12))/12))),HLOOKUP(AK3,$E$3:$DV8,6,FALSE))))</f>
        <v>1575</v>
      </c>
      <c r="AM8" s="46">
        <f>IF(AND(Summary!$N9&lt;='Cash Flow Statement'!AM$2,'Cash Flow Statement'!AM$2&lt;=Summary!$O9),IF((AM2-Summary!$N9)&lt;12,Summary!$P$7*Summary!$L$9,IF(MOD(AM2,12)=MOD(Summary!$N9,12),(Summary!$L9*Summary!$P$7*((1+Summary!$K$5)^((AM2-12-MOD(Summary!$N9,12))/12))),HLOOKUP(AL3,$E$3:$DV8,6,FALSE))))</f>
        <v>1575</v>
      </c>
      <c r="AN8" s="46">
        <f>IF(AND(Summary!$N9&lt;='Cash Flow Statement'!AN$2,'Cash Flow Statement'!AN$2&lt;=Summary!$O9),IF((AN2-Summary!$N9)&lt;12,Summary!$P$7*Summary!$L$9,IF(MOD(AN2,12)=MOD(Summary!$N9,12),(Summary!$L9*Summary!$P$7*((1+Summary!$K$5)^((AN2-12-MOD(Summary!$N9,12))/12))),HLOOKUP(AM3,$E$3:$DV8,6,FALSE))))</f>
        <v>1575</v>
      </c>
      <c r="AO8" s="46">
        <f>IF(AND(Summary!$N9&lt;='Cash Flow Statement'!AO$2,'Cash Flow Statement'!AO$2&lt;=Summary!$O9),IF((AO2-Summary!$N9)&lt;12,Summary!$P$7*Summary!$L$9,IF(MOD(AO2,12)=MOD(Summary!$N9,12),(Summary!$L9*Summary!$P$7*((1+Summary!$K$5)^((AO2-12-MOD(Summary!$N9,12))/12))),HLOOKUP(AN3,$E$3:$DV8,6,FALSE))))</f>
        <v>1575</v>
      </c>
      <c r="AP8" s="46">
        <f>IF(AND(Summary!$N9&lt;='Cash Flow Statement'!AP$2,'Cash Flow Statement'!AP$2&lt;=Summary!$O9),IF((AP2-Summary!$N9)&lt;12,Summary!$P$7*Summary!$L$9,IF(MOD(AP2,12)=MOD(Summary!$N9,12),(Summary!$L9*Summary!$P$7*((1+Summary!$K$5)^((AP2-12-MOD(Summary!$N9,12))/12))),HLOOKUP(AO3,$E$3:$DV8,6,FALSE))))</f>
        <v>1575</v>
      </c>
      <c r="AQ8" s="46">
        <f>IF(AND(Summary!$N9&lt;='Cash Flow Statement'!AQ$2,'Cash Flow Statement'!AQ$2&lt;=Summary!$O9),IF((AQ2-Summary!$N9)&lt;12,Summary!$P$7*Summary!$L$9,IF(MOD(AQ2,12)=MOD(Summary!$N9,12),(Summary!$L9*Summary!$P$7*((1+Summary!$K$5)^((AQ2-12-MOD(Summary!$N9,12))/12))),HLOOKUP(AP3,$E$3:$DV8,6,FALSE))))</f>
        <v>1575</v>
      </c>
      <c r="AR8" s="46">
        <f>IF(AND(Summary!$N9&lt;='Cash Flow Statement'!AR$2,'Cash Flow Statement'!AR$2&lt;=Summary!$O9),IF((AR2-Summary!$N9)&lt;12,Summary!$P$7*Summary!$L$9,IF(MOD(AR2,12)=MOD(Summary!$N9,12),(Summary!$L9*Summary!$P$7*((1+Summary!$K$5)^((AR2-12-MOD(Summary!$N9,12))/12))),HLOOKUP(AQ3,$E$3:$DV8,6,FALSE))))</f>
        <v>1575</v>
      </c>
      <c r="AS8" s="46">
        <f>IF(AND(Summary!$N9&lt;='Cash Flow Statement'!AS$2,'Cash Flow Statement'!AS$2&lt;=Summary!$O9),IF((AS2-Summary!$N9)&lt;12,Summary!$P$7*Summary!$L$9,IF(MOD(AS2,12)=MOD(Summary!$N9,12),(Summary!$L9*Summary!$P$7*((1+Summary!$K$5)^((AS2-12-MOD(Summary!$N9,12))/12))),HLOOKUP(AR3,$E$3:$DV8,6,FALSE))))</f>
        <v>1575</v>
      </c>
      <c r="AT8" s="46">
        <f>IF(AND(Summary!$N9&lt;='Cash Flow Statement'!AT$2,'Cash Flow Statement'!AT$2&lt;=Summary!$O9),IF((AT2-Summary!$N9)&lt;12,Summary!$P$7*Summary!$L$9,IF(MOD(AT2,12)=MOD(Summary!$N9,12),(Summary!$L9*Summary!$P$7*((1+Summary!$K$5)^((AT2-12-MOD(Summary!$N9,12))/12))),HLOOKUP(AS3,$E$3:$DV8,6,FALSE))))</f>
        <v>1575</v>
      </c>
      <c r="AU8" s="46">
        <f>IF(AND(Summary!$N9&lt;='Cash Flow Statement'!AU$2,'Cash Flow Statement'!AU$2&lt;=Summary!$O9),IF((AU2-Summary!$N9)&lt;12,Summary!$P$7*Summary!$L$9,IF(MOD(AU2,12)=MOD(Summary!$N9,12),(Summary!$L9*Summary!$P$7*((1+Summary!$K$5)^((AU2-12-MOD(Summary!$N9,12))/12))),HLOOKUP(AT3,$E$3:$DV8,6,FALSE))))</f>
        <v>1575</v>
      </c>
      <c r="AV8" s="46">
        <f>IF(AND(Summary!$N9&lt;='Cash Flow Statement'!AV$2,'Cash Flow Statement'!AV$2&lt;=Summary!$O9),IF((AV2-Summary!$N9)&lt;12,Summary!$P$7*Summary!$L$9,IF(MOD(AV2,12)=MOD(Summary!$N9,12),(Summary!$L9*Summary!$P$7*((1+Summary!$K$5)^((AV2-12-MOD(Summary!$N9,12))/12))),HLOOKUP(AU3,$E$3:$DV8,6,FALSE))))</f>
        <v>1575</v>
      </c>
      <c r="AW8" s="46">
        <f>IF(AND(Summary!$N9&lt;='Cash Flow Statement'!AW$2,'Cash Flow Statement'!AW$2&lt;=Summary!$O9),IF((AW2-Summary!$N9)&lt;12,Summary!$P$7*Summary!$L$9,IF(MOD(AW2,12)=MOD(Summary!$N9,12),(Summary!$L9*Summary!$P$7*((1+Summary!$K$5)^((AW2-12-MOD(Summary!$N9,12))/12))),HLOOKUP(AV3,$E$3:$DV8,6,FALSE))))</f>
        <v>1575</v>
      </c>
      <c r="AX8" s="46">
        <f>IF(AND(Summary!$N9&lt;='Cash Flow Statement'!AX$2,'Cash Flow Statement'!AX$2&lt;=Summary!$O9),IF((AX2-Summary!$N9)&lt;12,Summary!$P$7*Summary!$L$9,IF(MOD(AX2,12)=MOD(Summary!$N9,12),(Summary!$L9*Summary!$P$7*((1+Summary!$K$5)^((AX2-12-MOD(Summary!$N9,12))/12))),HLOOKUP(AW3,$E$3:$DV8,6,FALSE))))</f>
        <v>1653.75</v>
      </c>
      <c r="AY8" s="46">
        <f>IF(AND(Summary!$N9&lt;='Cash Flow Statement'!AY$2,'Cash Flow Statement'!AY$2&lt;=Summary!$O9),IF((AY2-Summary!$N9)&lt;12,Summary!$P$7*Summary!$L$9,IF(MOD(AY2,12)=MOD(Summary!$N9,12),(Summary!$L9*Summary!$P$7*((1+Summary!$K$5)^((AY2-12-MOD(Summary!$N9,12))/12))),HLOOKUP(AX3,$E$3:$DV8,6,FALSE))))</f>
        <v>1653.75</v>
      </c>
      <c r="AZ8" s="46">
        <f>IF(AND(Summary!$N9&lt;='Cash Flow Statement'!AZ$2,'Cash Flow Statement'!AZ$2&lt;=Summary!$O9),IF((AZ2-Summary!$N9)&lt;12,Summary!$P$7*Summary!$L$9,IF(MOD(AZ2,12)=MOD(Summary!$N9,12),(Summary!$L9*Summary!$P$7*((1+Summary!$K$5)^((AZ2-12-MOD(Summary!$N9,12))/12))),HLOOKUP(AY3,$E$3:$DV8,6,FALSE))))</f>
        <v>1653.75</v>
      </c>
      <c r="BA8" s="46">
        <f>IF(AND(Summary!$N9&lt;='Cash Flow Statement'!BA$2,'Cash Flow Statement'!BA$2&lt;=Summary!$O9),IF((BA2-Summary!$N9)&lt;12,Summary!$P$7*Summary!$L$9,IF(MOD(BA2,12)=MOD(Summary!$N9,12),(Summary!$L9*Summary!$P$7*((1+Summary!$K$5)^((BA2-12-MOD(Summary!$N9,12))/12))),HLOOKUP(AZ3,$E$3:$DV8,6,FALSE))))</f>
        <v>1653.75</v>
      </c>
      <c r="BB8" s="46">
        <f>IF(AND(Summary!$N9&lt;='Cash Flow Statement'!BB$2,'Cash Flow Statement'!BB$2&lt;=Summary!$O9),IF((BB2-Summary!$N9)&lt;12,Summary!$P$7*Summary!$L$9,IF(MOD(BB2,12)=MOD(Summary!$N9,12),(Summary!$L9*Summary!$P$7*((1+Summary!$K$5)^((BB2-12-MOD(Summary!$N9,12))/12))),HLOOKUP(BA3,$E$3:$DV8,6,FALSE))))</f>
        <v>1653.75</v>
      </c>
      <c r="BC8" s="46">
        <f>IF(AND(Summary!$N9&lt;='Cash Flow Statement'!BC$2,'Cash Flow Statement'!BC$2&lt;=Summary!$O9),IF((BC2-Summary!$N9)&lt;12,Summary!$P$7*Summary!$L$9,IF(MOD(BC2,12)=MOD(Summary!$N9,12),(Summary!$L9*Summary!$P$7*((1+Summary!$K$5)^((BC2-12-MOD(Summary!$N9,12))/12))),HLOOKUP(BB3,$E$3:$DV8,6,FALSE))))</f>
        <v>1653.75</v>
      </c>
      <c r="BD8" s="46">
        <f>IF(AND(Summary!$N9&lt;='Cash Flow Statement'!BD$2,'Cash Flow Statement'!BD$2&lt;=Summary!$O9),IF((BD2-Summary!$N9)&lt;12,Summary!$P$7*Summary!$L$9,IF(MOD(BD2,12)=MOD(Summary!$N9,12),(Summary!$L9*Summary!$P$7*((1+Summary!$K$5)^((BD2-12-MOD(Summary!$N9,12))/12))),HLOOKUP(BC3,$E$3:$DV8,6,FALSE))))</f>
        <v>1653.75</v>
      </c>
      <c r="BE8" s="46">
        <f>IF(AND(Summary!$N9&lt;='Cash Flow Statement'!BE$2,'Cash Flow Statement'!BE$2&lt;=Summary!$O9),IF((BE2-Summary!$N9)&lt;12,Summary!$P$7*Summary!$L$9,IF(MOD(BE2,12)=MOD(Summary!$N9,12),(Summary!$L9*Summary!$P$7*((1+Summary!$K$5)^((BE2-12-MOD(Summary!$N9,12))/12))),HLOOKUP(BD3,$E$3:$DV8,6,FALSE))))</f>
        <v>1653.75</v>
      </c>
      <c r="BF8" s="46">
        <f>IF(AND(Summary!$N9&lt;='Cash Flow Statement'!BF$2,'Cash Flow Statement'!BF$2&lt;=Summary!$O9),IF((BF2-Summary!$N9)&lt;12,Summary!$P$7*Summary!$L$9,IF(MOD(BF2,12)=MOD(Summary!$N9,12),(Summary!$L9*Summary!$P$7*((1+Summary!$K$5)^((BF2-12-MOD(Summary!$N9,12))/12))),HLOOKUP(BE3,$E$3:$DV8,6,FALSE))))</f>
        <v>1653.75</v>
      </c>
      <c r="BG8" s="46">
        <f>IF(AND(Summary!$N9&lt;='Cash Flow Statement'!BG$2,'Cash Flow Statement'!BG$2&lt;=Summary!$O9),IF((BG2-Summary!$N9)&lt;12,Summary!$P$7*Summary!$L$9,IF(MOD(BG2,12)=MOD(Summary!$N9,12),(Summary!$L9*Summary!$P$7*((1+Summary!$K$5)^((BG2-12-MOD(Summary!$N9,12))/12))),HLOOKUP(BF3,$E$3:$DV8,6,FALSE))))</f>
        <v>1653.75</v>
      </c>
      <c r="BH8" s="46">
        <f>IF(AND(Summary!$N9&lt;='Cash Flow Statement'!BH$2,'Cash Flow Statement'!BH$2&lt;=Summary!$O9),IF((BH2-Summary!$N9)&lt;12,Summary!$P$7*Summary!$L$9,IF(MOD(BH2,12)=MOD(Summary!$N9,12),(Summary!$L9*Summary!$P$7*((1+Summary!$K$5)^((BH2-12-MOD(Summary!$N9,12))/12))),HLOOKUP(BG3,$E$3:$DV8,6,FALSE))))</f>
        <v>1653.75</v>
      </c>
      <c r="BI8" s="46">
        <f>IF(AND(Summary!$N9&lt;='Cash Flow Statement'!BI$2,'Cash Flow Statement'!BI$2&lt;=Summary!$O9),IF((BI2-Summary!$N9)&lt;12,Summary!$P$7*Summary!$L$9,IF(MOD(BI2,12)=MOD(Summary!$N9,12),(Summary!$L9*Summary!$P$7*((1+Summary!$K$5)^((BI2-12-MOD(Summary!$N9,12))/12))),HLOOKUP(BH3,$E$3:$DV8,6,FALSE))))</f>
        <v>1653.75</v>
      </c>
      <c r="BJ8" s="46">
        <f>IF(AND(Summary!$N9&lt;='Cash Flow Statement'!BJ$2,'Cash Flow Statement'!BJ$2&lt;=Summary!$O9),IF((BJ2-Summary!$N9)&lt;12,Summary!$P$7*Summary!$L$9,IF(MOD(BJ2,12)=MOD(Summary!$N9,12),(Summary!$L9*Summary!$P$7*((1+Summary!$K$5)^((BJ2-12-MOD(Summary!$N9,12))/12))),HLOOKUP(BI3,$E$3:$DV8,6,FALSE))))</f>
        <v>1736.4375000000002</v>
      </c>
      <c r="BK8" s="46">
        <f>IF(AND(Summary!$N9&lt;='Cash Flow Statement'!BK$2,'Cash Flow Statement'!BK$2&lt;=Summary!$O9),IF((BK2-Summary!$N9)&lt;12,Summary!$P$7*Summary!$L$9,IF(MOD(BK2,12)=MOD(Summary!$N9,12),(Summary!$L9*Summary!$P$7*((1+Summary!$K$5)^((BK2-12-MOD(Summary!$N9,12))/12))),HLOOKUP(BJ3,$E$3:$DV8,6,FALSE))))</f>
        <v>1736.4375000000002</v>
      </c>
      <c r="BL8" s="46">
        <f>IF(AND(Summary!$N9&lt;='Cash Flow Statement'!BL$2,'Cash Flow Statement'!BL$2&lt;=Summary!$O9),IF((BL2-Summary!$N9)&lt;12,Summary!$P$7*Summary!$L$9,IF(MOD(BL2,12)=MOD(Summary!$N9,12),(Summary!$L9*Summary!$P$7*((1+Summary!$K$5)^((BL2-12-MOD(Summary!$N9,12))/12))),HLOOKUP(BK3,$E$3:$DV8,6,FALSE))))</f>
        <v>1736.4375000000002</v>
      </c>
      <c r="BM8" s="46">
        <f>IF(AND(Summary!$N9&lt;='Cash Flow Statement'!BM$2,'Cash Flow Statement'!BM$2&lt;=Summary!$O9),IF((BM2-Summary!$N9)&lt;12,Summary!$P$7*Summary!$L$9,IF(MOD(BM2,12)=MOD(Summary!$N9,12),(Summary!$L9*Summary!$P$7*((1+Summary!$K$5)^((BM2-12-MOD(Summary!$N9,12))/12))),HLOOKUP(BL3,$E$3:$DV8,6,FALSE))))</f>
        <v>1736.4375000000002</v>
      </c>
      <c r="BN8" s="46">
        <f>IF(AND(Summary!$N9&lt;='Cash Flow Statement'!BN$2,'Cash Flow Statement'!BN$2&lt;=Summary!$O9),IF((BN2-Summary!$N9)&lt;12,Summary!$P$7*Summary!$L$9,IF(MOD(BN2,12)=MOD(Summary!$N9,12),(Summary!$L9*Summary!$P$7*((1+Summary!$K$5)^((BN2-12-MOD(Summary!$N9,12))/12))),HLOOKUP(BM3,$E$3:$DV8,6,FALSE))))</f>
        <v>1736.4375000000002</v>
      </c>
      <c r="BO8" s="46">
        <f>IF(AND(Summary!$N9&lt;='Cash Flow Statement'!BO$2,'Cash Flow Statement'!BO$2&lt;=Summary!$O9),IF((BO2-Summary!$N9)&lt;12,Summary!$P$7*Summary!$L$9,IF(MOD(BO2,12)=MOD(Summary!$N9,12),(Summary!$L9*Summary!$P$7*((1+Summary!$K$5)^((BO2-12-MOD(Summary!$N9,12))/12))),HLOOKUP(BN3,$E$3:$DV8,6,FALSE))))</f>
        <v>1736.4375000000002</v>
      </c>
      <c r="BP8" s="46">
        <f>IF(AND(Summary!$N9&lt;='Cash Flow Statement'!BP$2,'Cash Flow Statement'!BP$2&lt;=Summary!$O9),IF((BP2-Summary!$N9)&lt;12,Summary!$P$7*Summary!$L$9,IF(MOD(BP2,12)=MOD(Summary!$N9,12),(Summary!$L9*Summary!$P$7*((1+Summary!$K$5)^((BP2-12-MOD(Summary!$N9,12))/12))),HLOOKUP(BO3,$E$3:$DV8,6,FALSE))))</f>
        <v>1736.4375000000002</v>
      </c>
      <c r="BQ8" s="46">
        <f>IF(AND(Summary!$N9&lt;='Cash Flow Statement'!BQ$2,'Cash Flow Statement'!BQ$2&lt;=Summary!$O9),IF((BQ2-Summary!$N9)&lt;12,Summary!$P$7*Summary!$L$9,IF(MOD(BQ2,12)=MOD(Summary!$N9,12),(Summary!$L9*Summary!$P$7*((1+Summary!$K$5)^((BQ2-12-MOD(Summary!$N9,12))/12))),HLOOKUP(BP3,$E$3:$DV8,6,FALSE))))</f>
        <v>1736.4375000000002</v>
      </c>
      <c r="BR8" s="46">
        <f>IF(AND(Summary!$N9&lt;='Cash Flow Statement'!BR$2,'Cash Flow Statement'!BR$2&lt;=Summary!$O9),IF((BR2-Summary!$N9)&lt;12,Summary!$P$7*Summary!$L$9,IF(MOD(BR2,12)=MOD(Summary!$N9,12),(Summary!$L9*Summary!$P$7*((1+Summary!$K$5)^((BR2-12-MOD(Summary!$N9,12))/12))),HLOOKUP(BQ3,$E$3:$DV8,6,FALSE))))</f>
        <v>1736.4375000000002</v>
      </c>
      <c r="BS8" s="46">
        <f>IF(AND(Summary!$N9&lt;='Cash Flow Statement'!BS$2,'Cash Flow Statement'!BS$2&lt;=Summary!$O9),IF((BS2-Summary!$N9)&lt;12,Summary!$P$7*Summary!$L$9,IF(MOD(BS2,12)=MOD(Summary!$N9,12),(Summary!$L9*Summary!$P$7*((1+Summary!$K$5)^((BS2-12-MOD(Summary!$N9,12))/12))),HLOOKUP(BR3,$E$3:$DV8,6,FALSE))))</f>
        <v>1736.4375000000002</v>
      </c>
      <c r="BT8" s="46">
        <f>IF(AND(Summary!$N9&lt;='Cash Flow Statement'!BT$2,'Cash Flow Statement'!BT$2&lt;=Summary!$O9),IF((BT2-Summary!$N9)&lt;12,Summary!$P$7*Summary!$L$9,IF(MOD(BT2,12)=MOD(Summary!$N9,12),(Summary!$L9*Summary!$P$7*((1+Summary!$K$5)^((BT2-12-MOD(Summary!$N9,12))/12))),HLOOKUP(BS3,$E$3:$DV8,6,FALSE))))</f>
        <v>1736.4375000000002</v>
      </c>
      <c r="BU8" s="46">
        <f>IF(AND(Summary!$N9&lt;='Cash Flow Statement'!BU$2,'Cash Flow Statement'!BU$2&lt;=Summary!$O9),IF((BU2-Summary!$N9)&lt;12,Summary!$P$7*Summary!$L$9,IF(MOD(BU2,12)=MOD(Summary!$N9,12),(Summary!$L9*Summary!$P$7*((1+Summary!$K$5)^((BU2-12-MOD(Summary!$N9,12))/12))),HLOOKUP(BT3,$E$3:$DV8,6,FALSE))))</f>
        <v>1736.4375000000002</v>
      </c>
      <c r="BV8" s="46">
        <f>IF(AND(Summary!$N9&lt;='Cash Flow Statement'!BV$2,'Cash Flow Statement'!BV$2&lt;=Summary!$O9),IF((BV2-Summary!$N9)&lt;12,Summary!$P$7*Summary!$L$9,IF(MOD(BV2,12)=MOD(Summary!$N9,12),(Summary!$L9*Summary!$P$7*((1+Summary!$K$5)^((BV2-12-MOD(Summary!$N9,12))/12))),HLOOKUP(BU3,$E$3:$DV8,6,FALSE))))</f>
        <v>1823.2593750000001</v>
      </c>
      <c r="BW8" s="46">
        <f>IF(AND(Summary!$N9&lt;='Cash Flow Statement'!BW$2,'Cash Flow Statement'!BW$2&lt;=Summary!$O9),IF((BW2-Summary!$N9)&lt;12,Summary!$P$7*Summary!$L$9,IF(MOD(BW2,12)=MOD(Summary!$N9,12),(Summary!$L9*Summary!$P$7*((1+Summary!$K$5)^((BW2-12-MOD(Summary!$N9,12))/12))),HLOOKUP(BV3,$E$3:$DV8,6,FALSE))))</f>
        <v>1823.2593750000001</v>
      </c>
      <c r="BX8" s="46">
        <f>IF(AND(Summary!$N9&lt;='Cash Flow Statement'!BX$2,'Cash Flow Statement'!BX$2&lt;=Summary!$O9),IF((BX2-Summary!$N9)&lt;12,Summary!$P$7*Summary!$L$9,IF(MOD(BX2,12)=MOD(Summary!$N9,12),(Summary!$L9*Summary!$P$7*((1+Summary!$K$5)^((BX2-12-MOD(Summary!$N9,12))/12))),HLOOKUP(BW3,$E$3:$DV8,6,FALSE))))</f>
        <v>1823.2593750000001</v>
      </c>
      <c r="BY8" s="46">
        <f>IF(AND(Summary!$N9&lt;='Cash Flow Statement'!BY$2,'Cash Flow Statement'!BY$2&lt;=Summary!$O9),IF((BY2-Summary!$N9)&lt;12,Summary!$P$7*Summary!$L$9,IF(MOD(BY2,12)=MOD(Summary!$N9,12),(Summary!$L9*Summary!$P$7*((1+Summary!$K$5)^((BY2-12-MOD(Summary!$N9,12))/12))),HLOOKUP(BX3,$E$3:$DV8,6,FALSE))))</f>
        <v>1823.2593750000001</v>
      </c>
      <c r="BZ8" s="46">
        <f>IF(AND(Summary!$N9&lt;='Cash Flow Statement'!BZ$2,'Cash Flow Statement'!BZ$2&lt;=Summary!$O9),IF((BZ2-Summary!$N9)&lt;12,Summary!$P$7*Summary!$L$9,IF(MOD(BZ2,12)=MOD(Summary!$N9,12),(Summary!$L9*Summary!$P$7*((1+Summary!$K$5)^((BZ2-12-MOD(Summary!$N9,12))/12))),HLOOKUP(BY3,$E$3:$DV8,6,FALSE))))</f>
        <v>1823.2593750000001</v>
      </c>
      <c r="CA8" s="46">
        <f>IF(AND(Summary!$N9&lt;='Cash Flow Statement'!CA$2,'Cash Flow Statement'!CA$2&lt;=Summary!$O9),IF((CA2-Summary!$N9)&lt;12,Summary!$P$7*Summary!$L$9,IF(MOD(CA2,12)=MOD(Summary!$N9,12),(Summary!$L9*Summary!$P$7*((1+Summary!$K$5)^((CA2-12-MOD(Summary!$N9,12))/12))),HLOOKUP(BZ3,$E$3:$DV8,6,FALSE))))</f>
        <v>1823.2593750000001</v>
      </c>
      <c r="CB8" s="46">
        <f>IF(AND(Summary!$N9&lt;='Cash Flow Statement'!CB$2,'Cash Flow Statement'!CB$2&lt;=Summary!$O9),IF((CB2-Summary!$N9)&lt;12,Summary!$P$7*Summary!$L$9,IF(MOD(CB2,12)=MOD(Summary!$N9,12),(Summary!$L9*Summary!$P$7*((1+Summary!$K$5)^((CB2-12-MOD(Summary!$N9,12))/12))),HLOOKUP(CA3,$E$3:$DV8,6,FALSE))))</f>
        <v>1823.2593750000001</v>
      </c>
      <c r="CC8" s="46">
        <f>IF(AND(Summary!$N9&lt;='Cash Flow Statement'!CC$2,'Cash Flow Statement'!CC$2&lt;=Summary!$O9),IF((CC2-Summary!$N9)&lt;12,Summary!$P$7*Summary!$L$9,IF(MOD(CC2,12)=MOD(Summary!$N9,12),(Summary!$L9*Summary!$P$7*((1+Summary!$K$5)^((CC2-12-MOD(Summary!$N9,12))/12))),HLOOKUP(CB3,$E$3:$DV8,6,FALSE))))</f>
        <v>1823.2593750000001</v>
      </c>
      <c r="CD8" s="46">
        <f>IF(AND(Summary!$N9&lt;='Cash Flow Statement'!CD$2,'Cash Flow Statement'!CD$2&lt;=Summary!$O9),IF((CD2-Summary!$N9)&lt;12,Summary!$P$7*Summary!$L$9,IF(MOD(CD2,12)=MOD(Summary!$N9,12),(Summary!$L9*Summary!$P$7*((1+Summary!$K$5)^((CD2-12-MOD(Summary!$N9,12))/12))),HLOOKUP(CC3,$E$3:$DV8,6,FALSE))))</f>
        <v>1823.2593750000001</v>
      </c>
      <c r="CE8" s="46">
        <f>IF(AND(Summary!$N9&lt;='Cash Flow Statement'!CE$2,'Cash Flow Statement'!CE$2&lt;=Summary!$O9),IF((CE2-Summary!$N9)&lt;12,Summary!$P$7*Summary!$L$9,IF(MOD(CE2,12)=MOD(Summary!$N9,12),(Summary!$L9*Summary!$P$7*((1+Summary!$K$5)^((CE2-12-MOD(Summary!$N9,12))/12))),HLOOKUP(CD3,$E$3:$DV8,6,FALSE))))</f>
        <v>1823.2593750000001</v>
      </c>
      <c r="CF8" s="46">
        <f>IF(AND(Summary!$N9&lt;='Cash Flow Statement'!CF$2,'Cash Flow Statement'!CF$2&lt;=Summary!$O9),IF((CF2-Summary!$N9)&lt;12,Summary!$P$7*Summary!$L$9,IF(MOD(CF2,12)=MOD(Summary!$N9,12),(Summary!$L9*Summary!$P$7*((1+Summary!$K$5)^((CF2-12-MOD(Summary!$N9,12))/12))),HLOOKUP(CE3,$E$3:$DV8,6,FALSE))))</f>
        <v>1823.2593750000001</v>
      </c>
      <c r="CG8" s="46">
        <f>IF(AND(Summary!$N9&lt;='Cash Flow Statement'!CG$2,'Cash Flow Statement'!CG$2&lt;=Summary!$O9),IF((CG2-Summary!$N9)&lt;12,Summary!$P$7*Summary!$L$9,IF(MOD(CG2,12)=MOD(Summary!$N9,12),(Summary!$L9*Summary!$P$7*((1+Summary!$K$5)^((CG2-12-MOD(Summary!$N9,12))/12))),HLOOKUP(CF3,$E$3:$DV8,6,FALSE))))</f>
        <v>1823.2593750000001</v>
      </c>
      <c r="CH8" s="46">
        <f>IF(AND(Summary!$N9&lt;='Cash Flow Statement'!CH$2,'Cash Flow Statement'!CH$2&lt;=Summary!$O9),IF((CH2-Summary!$N9)&lt;12,Summary!$P$7*Summary!$L$9,IF(MOD(CH2,12)=MOD(Summary!$N9,12),(Summary!$L9*Summary!$P$7*((1+Summary!$K$5)^((CH2-12-MOD(Summary!$N9,12))/12))),HLOOKUP(CG3,$E$3:$DV8,6,FALSE))))</f>
        <v>1914.4223437500002</v>
      </c>
      <c r="CI8" s="46">
        <f>IF(AND(Summary!$N9&lt;='Cash Flow Statement'!CI$2,'Cash Flow Statement'!CI$2&lt;=Summary!$O9),IF((CI2-Summary!$N9)&lt;12,Summary!$P$7*Summary!$L$9,IF(MOD(CI2,12)=MOD(Summary!$N9,12),(Summary!$L9*Summary!$P$7*((1+Summary!$K$5)^((CI2-12-MOD(Summary!$N9,12))/12))),HLOOKUP(CH3,$E$3:$DV8,6,FALSE))))</f>
        <v>1914.4223437500002</v>
      </c>
      <c r="CJ8" s="46">
        <f>IF(AND(Summary!$N9&lt;='Cash Flow Statement'!CJ$2,'Cash Flow Statement'!CJ$2&lt;=Summary!$O9),IF((CJ2-Summary!$N9)&lt;12,Summary!$P$7*Summary!$L$9,IF(MOD(CJ2,12)=MOD(Summary!$N9,12),(Summary!$L9*Summary!$P$7*((1+Summary!$K$5)^((CJ2-12-MOD(Summary!$N9,12))/12))),HLOOKUP(CI3,$E$3:$DV8,6,FALSE))))</f>
        <v>1914.4223437500002</v>
      </c>
      <c r="CK8" s="46">
        <f>IF(AND(Summary!$N9&lt;='Cash Flow Statement'!CK$2,'Cash Flow Statement'!CK$2&lt;=Summary!$O9),IF((CK2-Summary!$N9)&lt;12,Summary!$P$7*Summary!$L$9,IF(MOD(CK2,12)=MOD(Summary!$N9,12),(Summary!$L9*Summary!$P$7*((1+Summary!$K$5)^((CK2-12-MOD(Summary!$N9,12))/12))),HLOOKUP(CJ3,$E$3:$DV8,6,FALSE))))</f>
        <v>1914.4223437500002</v>
      </c>
      <c r="CL8" s="46">
        <f>IF(AND(Summary!$N9&lt;='Cash Flow Statement'!CL$2,'Cash Flow Statement'!CL$2&lt;=Summary!$O9),IF((CL2-Summary!$N9)&lt;12,Summary!$P$7*Summary!$L$9,IF(MOD(CL2,12)=MOD(Summary!$N9,12),(Summary!$L9*Summary!$P$7*((1+Summary!$K$5)^((CL2-12-MOD(Summary!$N9,12))/12))),HLOOKUP(CK3,$E$3:$DV8,6,FALSE))))</f>
        <v>1914.4223437500002</v>
      </c>
      <c r="CM8" s="46">
        <f>IF(AND(Summary!$N9&lt;='Cash Flow Statement'!CM$2,'Cash Flow Statement'!CM$2&lt;=Summary!$O9),IF((CM2-Summary!$N9)&lt;12,Summary!$P$7*Summary!$L$9,IF(MOD(CM2,12)=MOD(Summary!$N9,12),(Summary!$L9*Summary!$P$7*((1+Summary!$K$5)^((CM2-12-MOD(Summary!$N9,12))/12))),HLOOKUP(CL3,$E$3:$DV8,6,FALSE))))</f>
        <v>1914.4223437500002</v>
      </c>
      <c r="CN8" s="46">
        <f>IF(AND(Summary!$N9&lt;='Cash Flow Statement'!CN$2,'Cash Flow Statement'!CN$2&lt;=Summary!$O9),IF((CN2-Summary!$N9)&lt;12,Summary!$P$7*Summary!$L$9,IF(MOD(CN2,12)=MOD(Summary!$N9,12),(Summary!$L9*Summary!$P$7*((1+Summary!$K$5)^((CN2-12-MOD(Summary!$N9,12))/12))),HLOOKUP(CM3,$E$3:$DV8,6,FALSE))))</f>
        <v>1914.4223437500002</v>
      </c>
      <c r="CO8" s="46">
        <f>IF(AND(Summary!$N9&lt;='Cash Flow Statement'!CO$2,'Cash Flow Statement'!CO$2&lt;=Summary!$O9),IF((CO2-Summary!$N9)&lt;12,Summary!$P$7*Summary!$L$9,IF(MOD(CO2,12)=MOD(Summary!$N9,12),(Summary!$L9*Summary!$P$7*((1+Summary!$K$5)^((CO2-12-MOD(Summary!$N9,12))/12))),HLOOKUP(CN3,$E$3:$DV8,6,FALSE))))</f>
        <v>1914.4223437500002</v>
      </c>
      <c r="CP8" s="46">
        <f>IF(AND(Summary!$N9&lt;='Cash Flow Statement'!CP$2,'Cash Flow Statement'!CP$2&lt;=Summary!$O9),IF((CP2-Summary!$N9)&lt;12,Summary!$P$7*Summary!$L$9,IF(MOD(CP2,12)=MOD(Summary!$N9,12),(Summary!$L9*Summary!$P$7*((1+Summary!$K$5)^((CP2-12-MOD(Summary!$N9,12))/12))),HLOOKUP(CO3,$E$3:$DV8,6,FALSE))))</f>
        <v>1914.4223437500002</v>
      </c>
      <c r="CQ8" s="46">
        <f>IF(AND(Summary!$N9&lt;='Cash Flow Statement'!CQ$2,'Cash Flow Statement'!CQ$2&lt;=Summary!$O9),IF((CQ2-Summary!$N9)&lt;12,Summary!$P$7*Summary!$L$9,IF(MOD(CQ2,12)=MOD(Summary!$N9,12),(Summary!$L9*Summary!$P$7*((1+Summary!$K$5)^((CQ2-12-MOD(Summary!$N9,12))/12))),HLOOKUP(CP3,$E$3:$DV8,6,FALSE))))</f>
        <v>1914.4223437500002</v>
      </c>
      <c r="CR8" s="46">
        <f>IF(AND(Summary!$N9&lt;='Cash Flow Statement'!CR$2,'Cash Flow Statement'!CR$2&lt;=Summary!$O9),IF((CR2-Summary!$N9)&lt;12,Summary!$P$7*Summary!$L$9,IF(MOD(CR2,12)=MOD(Summary!$N9,12),(Summary!$L9*Summary!$P$7*((1+Summary!$K$5)^((CR2-12-MOD(Summary!$N9,12))/12))),HLOOKUP(CQ3,$E$3:$DV8,6,FALSE))))</f>
        <v>1914.4223437500002</v>
      </c>
      <c r="CS8" s="46">
        <f>IF(AND(Summary!$N9&lt;='Cash Flow Statement'!CS$2,'Cash Flow Statement'!CS$2&lt;=Summary!$O9),IF((CS2-Summary!$N9)&lt;12,Summary!$P$7*Summary!$L$9,IF(MOD(CS2,12)=MOD(Summary!$N9,12),(Summary!$L9*Summary!$P$7*((1+Summary!$K$5)^((CS2-12-MOD(Summary!$N9,12))/12))),HLOOKUP(CR3,$E$3:$DV8,6,FALSE))))</f>
        <v>1914.4223437500002</v>
      </c>
      <c r="CT8" s="46">
        <f>IF(AND(Summary!$N9&lt;='Cash Flow Statement'!CT$2,'Cash Flow Statement'!CT$2&lt;=Summary!$O9),IF((CT2-Summary!$N9)&lt;12,Summary!$P$7*Summary!$L$9,IF(MOD(CT2,12)=MOD(Summary!$N9,12),(Summary!$L9*Summary!$P$7*((1+Summary!$K$5)^((CT2-12-MOD(Summary!$N9,12))/12))),HLOOKUP(CS3,$E$3:$DV8,6,FALSE))))</f>
        <v>2010.1434609374999</v>
      </c>
      <c r="CU8" s="46">
        <f>IF(AND(Summary!$N9&lt;='Cash Flow Statement'!CU$2,'Cash Flow Statement'!CU$2&lt;=Summary!$O9),IF((CU2-Summary!$N9)&lt;12,Summary!$P$7*Summary!$L$9,IF(MOD(CU2,12)=MOD(Summary!$N9,12),(Summary!$L9*Summary!$P$7*((1+Summary!$K$5)^((CU2-12-MOD(Summary!$N9,12))/12))),HLOOKUP(CT3,$E$3:$DV8,6,FALSE))))</f>
        <v>2010.1434609374999</v>
      </c>
      <c r="CV8" s="46">
        <f>IF(AND(Summary!$N9&lt;='Cash Flow Statement'!CV$2,'Cash Flow Statement'!CV$2&lt;=Summary!$O9),IF((CV2-Summary!$N9)&lt;12,Summary!$P$7*Summary!$L$9,IF(MOD(CV2,12)=MOD(Summary!$N9,12),(Summary!$L9*Summary!$P$7*((1+Summary!$K$5)^((CV2-12-MOD(Summary!$N9,12))/12))),HLOOKUP(CU3,$E$3:$DV8,6,FALSE))))</f>
        <v>2010.1434609374999</v>
      </c>
      <c r="CW8" s="46">
        <f>IF(AND(Summary!$N9&lt;='Cash Flow Statement'!CW$2,'Cash Flow Statement'!CW$2&lt;=Summary!$O9),IF((CW2-Summary!$N9)&lt;12,Summary!$P$7*Summary!$L$9,IF(MOD(CW2,12)=MOD(Summary!$N9,12),(Summary!$L9*Summary!$P$7*((1+Summary!$K$5)^((CW2-12-MOD(Summary!$N9,12))/12))),HLOOKUP(CV3,$E$3:$DV8,6,FALSE))))</f>
        <v>2010.1434609374999</v>
      </c>
      <c r="CX8" s="46">
        <f>IF(AND(Summary!$N9&lt;='Cash Flow Statement'!CX$2,'Cash Flow Statement'!CX$2&lt;=Summary!$O9),IF((CX2-Summary!$N9)&lt;12,Summary!$P$7*Summary!$L$9,IF(MOD(CX2,12)=MOD(Summary!$N9,12),(Summary!$L9*Summary!$P$7*((1+Summary!$K$5)^((CX2-12-MOD(Summary!$N9,12))/12))),HLOOKUP(CW3,$E$3:$DV8,6,FALSE))))</f>
        <v>2010.1434609374999</v>
      </c>
      <c r="CY8" s="46">
        <f>IF(AND(Summary!$N9&lt;='Cash Flow Statement'!CY$2,'Cash Flow Statement'!CY$2&lt;=Summary!$O9),IF((CY2-Summary!$N9)&lt;12,Summary!$P$7*Summary!$L$9,IF(MOD(CY2,12)=MOD(Summary!$N9,12),(Summary!$L9*Summary!$P$7*((1+Summary!$K$5)^((CY2-12-MOD(Summary!$N9,12))/12))),HLOOKUP(CX3,$E$3:$DV8,6,FALSE))))</f>
        <v>2010.1434609374999</v>
      </c>
      <c r="CZ8" s="46">
        <f>IF(AND(Summary!$N9&lt;='Cash Flow Statement'!CZ$2,'Cash Flow Statement'!CZ$2&lt;=Summary!$O9),IF((CZ2-Summary!$N9)&lt;12,Summary!$P$7*Summary!$L$9,IF(MOD(CZ2,12)=MOD(Summary!$N9,12),(Summary!$L9*Summary!$P$7*((1+Summary!$K$5)^((CZ2-12-MOD(Summary!$N9,12))/12))),HLOOKUP(CY3,$E$3:$DV8,6,FALSE))))</f>
        <v>2010.1434609374999</v>
      </c>
      <c r="DA8" s="46">
        <f>IF(AND(Summary!$N9&lt;='Cash Flow Statement'!DA$2,'Cash Flow Statement'!DA$2&lt;=Summary!$O9),IF((DA2-Summary!$N9)&lt;12,Summary!$P$7*Summary!$L$9,IF(MOD(DA2,12)=MOD(Summary!$N9,12),(Summary!$L9*Summary!$P$7*((1+Summary!$K$5)^((DA2-12-MOD(Summary!$N9,12))/12))),HLOOKUP(CZ3,$E$3:$DV8,6,FALSE))))</f>
        <v>2010.1434609374999</v>
      </c>
      <c r="DB8" s="46">
        <f>IF(AND(Summary!$N9&lt;='Cash Flow Statement'!DB$2,'Cash Flow Statement'!DB$2&lt;=Summary!$O9),IF((DB2-Summary!$N9)&lt;12,Summary!$P$7*Summary!$L$9,IF(MOD(DB2,12)=MOD(Summary!$N9,12),(Summary!$L9*Summary!$P$7*((1+Summary!$K$5)^((DB2-12-MOD(Summary!$N9,12))/12))),HLOOKUP(DA3,$E$3:$DV8,6,FALSE))))</f>
        <v>2010.1434609374999</v>
      </c>
      <c r="DC8" s="46">
        <f>IF(AND(Summary!$N9&lt;='Cash Flow Statement'!DC$2,'Cash Flow Statement'!DC$2&lt;=Summary!$O9),IF((DC2-Summary!$N9)&lt;12,Summary!$P$7*Summary!$L$9,IF(MOD(DC2,12)=MOD(Summary!$N9,12),(Summary!$L9*Summary!$P$7*((1+Summary!$K$5)^((DC2-12-MOD(Summary!$N9,12))/12))),HLOOKUP(DB3,$E$3:$DV8,6,FALSE))))</f>
        <v>2010.1434609374999</v>
      </c>
      <c r="DD8" s="46">
        <f>IF(AND(Summary!$N9&lt;='Cash Flow Statement'!DD$2,'Cash Flow Statement'!DD$2&lt;=Summary!$O9),IF((DD2-Summary!$N9)&lt;12,Summary!$P$7*Summary!$L$9,IF(MOD(DD2,12)=MOD(Summary!$N9,12),(Summary!$L9*Summary!$P$7*((1+Summary!$K$5)^((DD2-12-MOD(Summary!$N9,12))/12))),HLOOKUP(DC3,$E$3:$DV8,6,FALSE))))</f>
        <v>2010.1434609374999</v>
      </c>
      <c r="DE8" s="46">
        <f>IF(AND(Summary!$N9&lt;='Cash Flow Statement'!DE$2,'Cash Flow Statement'!DE$2&lt;=Summary!$O9),IF((DE2-Summary!$N9)&lt;12,Summary!$P$7*Summary!$L$9,IF(MOD(DE2,12)=MOD(Summary!$N9,12),(Summary!$L9*Summary!$P$7*((1+Summary!$K$5)^((DE2-12-MOD(Summary!$N9,12))/12))),HLOOKUP(DD3,$E$3:$DV8,6,FALSE))))</f>
        <v>2010.1434609374999</v>
      </c>
      <c r="DF8" s="46">
        <f>IF(AND(Summary!$N9&lt;='Cash Flow Statement'!DF$2,'Cash Flow Statement'!DF$2&lt;=Summary!$O9),IF((DF2-Summary!$N9)&lt;12,Summary!$P$7*Summary!$L$9,IF(MOD(DF2,12)=MOD(Summary!$N9,12),(Summary!$L9*Summary!$P$7*((1+Summary!$K$5)^((DF2-12-MOD(Summary!$N9,12))/12))),HLOOKUP(DE3,$E$3:$DV8,6,FALSE))))</f>
        <v>2110.6506339843754</v>
      </c>
      <c r="DG8" s="46">
        <f>IF(AND(Summary!$N9&lt;='Cash Flow Statement'!DG$2,'Cash Flow Statement'!DG$2&lt;=Summary!$O9),IF((DG2-Summary!$N9)&lt;12,Summary!$P$7*Summary!$L$9,IF(MOD(DG2,12)=MOD(Summary!$N9,12),(Summary!$L9*Summary!$P$7*((1+Summary!$K$5)^((DG2-12-MOD(Summary!$N9,12))/12))),HLOOKUP(DF3,$E$3:$DV8,6,FALSE))))</f>
        <v>2110.6506339843754</v>
      </c>
      <c r="DH8" s="46">
        <f>IF(AND(Summary!$N9&lt;='Cash Flow Statement'!DH$2,'Cash Flow Statement'!DH$2&lt;=Summary!$O9),IF((DH2-Summary!$N9)&lt;12,Summary!$P$7*Summary!$L$9,IF(MOD(DH2,12)=MOD(Summary!$N9,12),(Summary!$L9*Summary!$P$7*((1+Summary!$K$5)^((DH2-12-MOD(Summary!$N9,12))/12))),HLOOKUP(DG3,$E$3:$DV8,6,FALSE))))</f>
        <v>2110.6506339843754</v>
      </c>
      <c r="DI8" s="46">
        <f>IF(AND(Summary!$N9&lt;='Cash Flow Statement'!DI$2,'Cash Flow Statement'!DI$2&lt;=Summary!$O9),IF((DI2-Summary!$N9)&lt;12,Summary!$P$7*Summary!$L$9,IF(MOD(DI2,12)=MOD(Summary!$N9,12),(Summary!$L9*Summary!$P$7*((1+Summary!$K$5)^((DI2-12-MOD(Summary!$N9,12))/12))),HLOOKUP(DH3,$E$3:$DV8,6,FALSE))))</f>
        <v>2110.6506339843754</v>
      </c>
      <c r="DJ8" s="46">
        <f>IF(AND(Summary!$N9&lt;='Cash Flow Statement'!DJ$2,'Cash Flow Statement'!DJ$2&lt;=Summary!$O9),IF((DJ2-Summary!$N9)&lt;12,Summary!$P$7*Summary!$L$9,IF(MOD(DJ2,12)=MOD(Summary!$N9,12),(Summary!$L9*Summary!$P$7*((1+Summary!$K$5)^((DJ2-12-MOD(Summary!$N9,12))/12))),HLOOKUP(DI3,$E$3:$DV8,6,FALSE))))</f>
        <v>2110.6506339843754</v>
      </c>
      <c r="DK8" s="46">
        <f>IF(AND(Summary!$N9&lt;='Cash Flow Statement'!DK$2,'Cash Flow Statement'!DK$2&lt;=Summary!$O9),IF((DK2-Summary!$N9)&lt;12,Summary!$P$7*Summary!$L$9,IF(MOD(DK2,12)=MOD(Summary!$N9,12),(Summary!$L9*Summary!$P$7*((1+Summary!$K$5)^((DK2-12-MOD(Summary!$N9,12))/12))),HLOOKUP(DJ3,$E$3:$DV8,6,FALSE))))</f>
        <v>2110.6506339843754</v>
      </c>
      <c r="DL8" s="46">
        <f>IF(AND(Summary!$N9&lt;='Cash Flow Statement'!DL$2,'Cash Flow Statement'!DL$2&lt;=Summary!$O9),IF((DL2-Summary!$N9)&lt;12,Summary!$P$7*Summary!$L$9,IF(MOD(DL2,12)=MOD(Summary!$N9,12),(Summary!$L9*Summary!$P$7*((1+Summary!$K$5)^((DL2-12-MOD(Summary!$N9,12))/12))),HLOOKUP(DK3,$E$3:$DV8,6,FALSE))))</f>
        <v>2110.6506339843754</v>
      </c>
      <c r="DM8" s="46">
        <f>IF(AND(Summary!$N9&lt;='Cash Flow Statement'!DM$2,'Cash Flow Statement'!DM$2&lt;=Summary!$O9),IF((DM2-Summary!$N9)&lt;12,Summary!$P$7*Summary!$L$9,IF(MOD(DM2,12)=MOD(Summary!$N9,12),(Summary!$L9*Summary!$P$7*((1+Summary!$K$5)^((DM2-12-MOD(Summary!$N9,12))/12))),HLOOKUP(DL3,$E$3:$DV8,6,FALSE))))</f>
        <v>2110.6506339843754</v>
      </c>
      <c r="DN8" s="46">
        <f>IF(AND(Summary!$N9&lt;='Cash Flow Statement'!DN$2,'Cash Flow Statement'!DN$2&lt;=Summary!$O9),IF((DN2-Summary!$N9)&lt;12,Summary!$P$7*Summary!$L$9,IF(MOD(DN2,12)=MOD(Summary!$N9,12),(Summary!$L9*Summary!$P$7*((1+Summary!$K$5)^((DN2-12-MOD(Summary!$N9,12))/12))),HLOOKUP(DM3,$E$3:$DV8,6,FALSE))))</f>
        <v>2110.6506339843754</v>
      </c>
      <c r="DO8" s="46">
        <f>IF(AND(Summary!$N9&lt;='Cash Flow Statement'!DO$2,'Cash Flow Statement'!DO$2&lt;=Summary!$O9),IF((DO2-Summary!$N9)&lt;12,Summary!$P$7*Summary!$L$9,IF(MOD(DO2,12)=MOD(Summary!$N9,12),(Summary!$L9*Summary!$P$7*((1+Summary!$K$5)^((DO2-12-MOD(Summary!$N9,12))/12))),HLOOKUP(DN3,$E$3:$DV8,6,FALSE))))</f>
        <v>2110.6506339843754</v>
      </c>
      <c r="DP8" s="46">
        <f>IF(AND(Summary!$N9&lt;='Cash Flow Statement'!DP$2,'Cash Flow Statement'!DP$2&lt;=Summary!$O9),IF((DP2-Summary!$N9)&lt;12,Summary!$P$7*Summary!$L$9,IF(MOD(DP2,12)=MOD(Summary!$N9,12),(Summary!$L9*Summary!$P$7*((1+Summary!$K$5)^((DP2-12-MOD(Summary!$N9,12))/12))),HLOOKUP(DO3,$E$3:$DV8,6,FALSE))))</f>
        <v>2110.6506339843754</v>
      </c>
      <c r="DQ8" s="46">
        <f>IF(AND(Summary!$N9&lt;='Cash Flow Statement'!DQ$2,'Cash Flow Statement'!DQ$2&lt;=Summary!$O9),IF((DQ2-Summary!$N9)&lt;12,Summary!$P$7*Summary!$L$9,IF(MOD(DQ2,12)=MOD(Summary!$N9,12),(Summary!$L9*Summary!$P$7*((1+Summary!$K$5)^((DQ2-12-MOD(Summary!$N9,12))/12))),HLOOKUP(DP3,$E$3:$DV8,6,FALSE))))</f>
        <v>2110.6506339843754</v>
      </c>
      <c r="DR8" s="46">
        <f>IF(AND(Summary!$N9&lt;='Cash Flow Statement'!DR$2,'Cash Flow Statement'!DR$2&lt;=Summary!$O9),IF((DR2-Summary!$N9)&lt;12,Summary!$P$7*Summary!$L$9,IF(MOD(DR2,12)=MOD(Summary!$N9,12),(Summary!$L9*Summary!$P$7*((1+Summary!$K$5)^((DR2-12-MOD(Summary!$N9,12))/12))),HLOOKUP(DQ3,$E$3:$DV8,6,FALSE))))</f>
        <v>2216.1831656835939</v>
      </c>
      <c r="DS8" s="46">
        <f>IF(AND(Summary!$N9&lt;='Cash Flow Statement'!DS$2,'Cash Flow Statement'!DS$2&lt;=Summary!$O9),IF((DS2-Summary!$N9)&lt;12,Summary!$P$7*Summary!$L$9,IF(MOD(DS2,12)=MOD(Summary!$N9,12),(Summary!$L9*Summary!$P$7*((1+Summary!$K$5)^((DS2-12-MOD(Summary!$N9,12))/12))),HLOOKUP(DR3,$E$3:$DV8,6,FALSE))))</f>
        <v>2216.1831656835939</v>
      </c>
      <c r="DT8" s="46">
        <f>IF(AND(Summary!$N9&lt;='Cash Flow Statement'!DT$2,'Cash Flow Statement'!DT$2&lt;=Summary!$O9),IF((DT2-Summary!$N9)&lt;12,Summary!$P$7*Summary!$L$9,IF(MOD(DT2,12)=MOD(Summary!$N9,12),(Summary!$L9*Summary!$P$7*((1+Summary!$K$5)^((DT2-12-MOD(Summary!$N9,12))/12))),HLOOKUP(DS3,$E$3:$DV8,6,FALSE))))</f>
        <v>2216.1831656835939</v>
      </c>
      <c r="DU8" s="46">
        <f>IF(AND(Summary!$N9&lt;='Cash Flow Statement'!DU$2,'Cash Flow Statement'!DU$2&lt;=Summary!$O9),IF((DU2-Summary!$N9)&lt;12,Summary!$P$7*Summary!$L$9,IF(MOD(DU2,12)=MOD(Summary!$N9,12),(Summary!$L9*Summary!$P$7*((1+Summary!$K$5)^((DU2-12-MOD(Summary!$N9,12))/12))),HLOOKUP(DT3,$E$3:$DV8,6,FALSE))))</f>
        <v>2216.1831656835939</v>
      </c>
      <c r="DV8" s="87"/>
    </row>
    <row r="9" spans="1:126 16380:16380" x14ac:dyDescent="0.2">
      <c r="A9" s="88"/>
      <c r="B9" s="89"/>
      <c r="C9" s="44"/>
      <c r="D9" s="132"/>
      <c r="E9" s="134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87"/>
    </row>
    <row r="10" spans="1:126 16380:16380" x14ac:dyDescent="0.2">
      <c r="A10" s="88"/>
      <c r="B10" s="88" t="s">
        <v>87</v>
      </c>
      <c r="C10" s="44"/>
      <c r="D10" s="132"/>
      <c r="E10" s="134"/>
      <c r="F10" s="13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87"/>
    </row>
    <row r="11" spans="1:126 16380:16380" x14ac:dyDescent="0.2">
      <c r="A11" s="88"/>
      <c r="B11" s="89" t="s">
        <v>192</v>
      </c>
      <c r="C11" s="44"/>
      <c r="D11" s="132">
        <f t="shared" ref="D11:D12" si="8">SUM(E11:DU11)</f>
        <v>291068.68713134801</v>
      </c>
      <c r="E11" s="134" t="b">
        <f>IF(AND(Summary!$N11&lt;='Cash Flow Statement'!E$2,'Cash Flow Statement'!E$2&lt;=Summary!$O11),IF((E2-Summary!$N11)&lt;12,Summary!$P$10*Summary!$L$11,IF(MOD(E2,12)=MOD(Summary!$N11,12),(Summary!$L$11*Summary!$P$10*((1+Summary!$K$5)^((E2-12-MOD(Summary!$N11,12))/12))),HLOOKUP(D3,$E$3:$DV11,9,FALSE))))</f>
        <v>0</v>
      </c>
      <c r="F11" s="136" t="b">
        <f>IF(AND(Summary!$N11&lt;='Cash Flow Statement'!F$2,'Cash Flow Statement'!F$2&lt;=Summary!$O11),IF((F2-Summary!$N11)&lt;12,Summary!$P$10*Summary!$L$11,IF(MOD(F2,12)=MOD(Summary!$N11,12),(Summary!$L$11*Summary!$P$10*((1+Summary!$K$5)^((F2-12-MOD(Summary!$N11,12))/12))),HLOOKUP(E3,$E$3:$DV11,9,FALSE))))</f>
        <v>0</v>
      </c>
      <c r="G11" s="46" t="b">
        <f>IF(AND(Summary!$N11&lt;='Cash Flow Statement'!G$2,'Cash Flow Statement'!G$2&lt;=Summary!$O11),IF((G2-Summary!$N11)&lt;12,Summary!$P$10*Summary!$L$11,IF(MOD(G2,12)=MOD(Summary!$N11,12),(Summary!$L$11*Summary!$P$10*((1+Summary!$K$5)^((G2-12-MOD(Summary!$N11,12))/12))),HLOOKUP(F3,$E$3:$DV11,9,FALSE))))</f>
        <v>0</v>
      </c>
      <c r="H11" s="46" t="b">
        <f>IF(AND(Summary!$N11&lt;='Cash Flow Statement'!H$2,'Cash Flow Statement'!H$2&lt;=Summary!$O11),IF((H2-Summary!$N11)&lt;12,Summary!$P$10*Summary!$L$11,IF(MOD(H2,12)=MOD(Summary!$N11,12),(Summary!$L$11*Summary!$P$10*((1+Summary!$K$5)^((H2-12-MOD(Summary!$N11,12))/12))),HLOOKUP(G3,$E$3:$DV11,9,FALSE))))</f>
        <v>0</v>
      </c>
      <c r="I11" s="46" t="b">
        <f>IF(AND(Summary!$N11&lt;='Cash Flow Statement'!I$2,'Cash Flow Statement'!I$2&lt;=Summary!$O11),IF((I2-Summary!$N11)&lt;12,Summary!$P$10*Summary!$L$11,IF(MOD(I2,12)=MOD(Summary!$N11,12),(Summary!$L$11*Summary!$P$10*((1+Summary!$K$5)^((I2-12-MOD(Summary!$N11,12))/12))),HLOOKUP(H3,$E$3:$DV11,9,FALSE))))</f>
        <v>0</v>
      </c>
      <c r="J11" s="46" t="b">
        <f>IF(AND(Summary!$N11&lt;='Cash Flow Statement'!J$2,'Cash Flow Statement'!J$2&lt;=Summary!$O11),IF((J2-Summary!$N11)&lt;12,Summary!$P$10*Summary!$L$11,IF(MOD(J2,12)=MOD(Summary!$N11,12),(Summary!$L$11*Summary!$P$10*((1+Summary!$K$5)^((J2-12-MOD(Summary!$N11,12))/12))),HLOOKUP(I3,$E$3:$DV11,9,FALSE))))</f>
        <v>0</v>
      </c>
      <c r="K11" s="46" t="b">
        <f>IF(AND(Summary!$N11&lt;='Cash Flow Statement'!K$2,'Cash Flow Statement'!K$2&lt;=Summary!$O11),IF((K2-Summary!$N11)&lt;12,Summary!$P$10*Summary!$L$11,IF(MOD(K2,12)=MOD(Summary!$N11,12),(Summary!$L$11*Summary!$P$10*((1+Summary!$K$5)^((K2-12-MOD(Summary!$N11,12))/12))),HLOOKUP(J3,$E$3:$DV11,9,FALSE))))</f>
        <v>0</v>
      </c>
      <c r="L11" s="46" t="b">
        <f>IF(AND(Summary!$N11&lt;='Cash Flow Statement'!L$2,'Cash Flow Statement'!L$2&lt;=Summary!$O11),IF((L2-Summary!$N11)&lt;12,Summary!$P$10*Summary!$L$11,IF(MOD(L2,12)=MOD(Summary!$N11,12),(Summary!$L$11*Summary!$P$10*((1+Summary!$K$5)^((L2-12-MOD(Summary!$N11,12))/12))),HLOOKUP(K3,$E$3:$DV11,9,FALSE))))</f>
        <v>0</v>
      </c>
      <c r="M11" s="46" t="b">
        <f>IF(AND(Summary!$N11&lt;='Cash Flow Statement'!M$2,'Cash Flow Statement'!M$2&lt;=Summary!$O11),IF((M2-Summary!$N11)&lt;12,Summary!$P$10*Summary!$L$11,IF(MOD(M2,12)=MOD(Summary!$N11,12),(Summary!$L$11*Summary!$P$10*((1+Summary!$K$5)^((M2-12-MOD(Summary!$N11,12))/12))),HLOOKUP(L3,$E$3:$DV11,9,FALSE))))</f>
        <v>0</v>
      </c>
      <c r="N11" s="46" t="b">
        <f>IF(AND(Summary!$N11&lt;='Cash Flow Statement'!N$2,'Cash Flow Statement'!N$2&lt;=Summary!$O11),IF((N2-Summary!$N11)&lt;12,Summary!$P$10*Summary!$L$11,IF(MOD(N2,12)=MOD(Summary!$N11,12),(Summary!$L$11*Summary!$P$10*((1+Summary!$K$5)^((N2-12-MOD(Summary!$N11,12))/12))),HLOOKUP(M3,$E$3:$DV11,9,FALSE))))</f>
        <v>0</v>
      </c>
      <c r="O11" s="46" t="b">
        <f>IF(AND(Summary!$N11&lt;='Cash Flow Statement'!O$2,'Cash Flow Statement'!O$2&lt;=Summary!$O11),IF((O2-Summary!$N11)&lt;12,Summary!$P$10*Summary!$L$11,IF(MOD(O2,12)=MOD(Summary!$N11,12),(Summary!$L$11*Summary!$P$10*((1+Summary!$K$5)^((O2-12-MOD(Summary!$N11,12))/12))),HLOOKUP(N3,$E$3:$DV11,9,FALSE))))</f>
        <v>0</v>
      </c>
      <c r="P11" s="46" t="b">
        <f>IF(AND(Summary!$N11&lt;='Cash Flow Statement'!P$2,'Cash Flow Statement'!P$2&lt;=Summary!$O11),IF((P2-Summary!$N11)&lt;12,Summary!$P$10*Summary!$L$11,IF(MOD(P2,12)=MOD(Summary!$N11,12),(Summary!$L$11*Summary!$P$10*((1+Summary!$K$5)^((P2-12-MOD(Summary!$N11,12))/12))),HLOOKUP(O3,$E$3:$DV11,9,FALSE))))</f>
        <v>0</v>
      </c>
      <c r="Q11" s="46" t="b">
        <f>IF(AND(Summary!$N11&lt;='Cash Flow Statement'!Q$2,'Cash Flow Statement'!Q$2&lt;=Summary!$O11),IF((Q2-Summary!$N11)&lt;12,Summary!$P$10*Summary!$L$11,IF(MOD(Q2,12)=MOD(Summary!$N11,12),(Summary!$L$11*Summary!$P$10*((1+Summary!$K$5)^((Q2-12-MOD(Summary!$N11,12))/12))),HLOOKUP(P3,$E$3:$DV11,9,FALSE))))</f>
        <v>0</v>
      </c>
      <c r="R11" s="46" t="b">
        <f>IF(AND(Summary!$N11&lt;='Cash Flow Statement'!R$2,'Cash Flow Statement'!R$2&lt;=Summary!$O11),IF((R2-Summary!$N11)&lt;12,Summary!$P$10*Summary!$L$11,IF(MOD(R2,12)=MOD(Summary!$N11,12),(Summary!$L$11*Summary!$P$10*((1+Summary!$K$5)^((R2-12-MOD(Summary!$N11,12))/12))),HLOOKUP(Q3,$E$3:$DV11,9,FALSE))))</f>
        <v>0</v>
      </c>
      <c r="S11" s="46" t="b">
        <f>IF(AND(Summary!$N11&lt;='Cash Flow Statement'!S$2,'Cash Flow Statement'!S$2&lt;=Summary!$O11),IF((S2-Summary!$N11)&lt;12,Summary!$P$10*Summary!$L$11,IF(MOD(S2,12)=MOD(Summary!$N11,12),(Summary!$L$11*Summary!$P$10*((1+Summary!$K$5)^((S2-12-MOD(Summary!$N11,12))/12))),HLOOKUP(R3,$E$3:$DV11,9,FALSE))))</f>
        <v>0</v>
      </c>
      <c r="T11" s="46">
        <f>IF(AND(Summary!$N11&lt;='Cash Flow Statement'!T$2,'Cash Flow Statement'!T$2&lt;=Summary!$O11),IF((T2-Summary!$N11)&lt;12,Summary!$P$10*Summary!$L$11,IF(MOD(T2,12)=MOD(Summary!$N11,12),(Summary!$L$11*Summary!$P$10*((1+Summary!$K$5)^((T2-12-MOD(Summary!$N11,12))/12))),HLOOKUP(S3,$E$3:$DV11,9,FALSE))))</f>
        <v>2250</v>
      </c>
      <c r="U11" s="46">
        <f>IF(AND(Summary!$N11&lt;='Cash Flow Statement'!U$2,'Cash Flow Statement'!U$2&lt;=Summary!$O11),IF((U2-Summary!$N11)&lt;12,Summary!$P$10*Summary!$L$11,IF(MOD(U2,12)=MOD(Summary!$N11,12),(Summary!$L$11*Summary!$P$10*((1+Summary!$K$5)^((U2-12-MOD(Summary!$N11,12))/12))),HLOOKUP(T3,$E$3:$DV11,9,FALSE))))</f>
        <v>2250</v>
      </c>
      <c r="V11" s="46">
        <f>IF(AND(Summary!$N11&lt;='Cash Flow Statement'!V$2,'Cash Flow Statement'!V$2&lt;=Summary!$O11),IF((V2-Summary!$N11)&lt;12,Summary!$P$10*Summary!$L$11,IF(MOD(V2,12)=MOD(Summary!$N11,12),(Summary!$L$11*Summary!$P$10*((1+Summary!$K$5)^((V2-12-MOD(Summary!$N11,12))/12))),HLOOKUP(U3,$E$3:$DV11,9,FALSE))))</f>
        <v>2250</v>
      </c>
      <c r="W11" s="46">
        <f>IF(AND(Summary!$N11&lt;='Cash Flow Statement'!W$2,'Cash Flow Statement'!W$2&lt;=Summary!$O11),IF((W2-Summary!$N11)&lt;12,Summary!$P$10*Summary!$L$11,IF(MOD(W2,12)=MOD(Summary!$N11,12),(Summary!$L$11*Summary!$P$10*((1+Summary!$K$5)^((W2-12-MOD(Summary!$N11,12))/12))),HLOOKUP(V3,$E$3:$DV11,9,FALSE))))</f>
        <v>2250</v>
      </c>
      <c r="X11" s="46">
        <f>IF(AND(Summary!$N11&lt;='Cash Flow Statement'!X$2,'Cash Flow Statement'!X$2&lt;=Summary!$O11),IF((X2-Summary!$N11)&lt;12,Summary!$P$10*Summary!$L$11,IF(MOD(X2,12)=MOD(Summary!$N11,12),(Summary!$L$11*Summary!$P$10*((1+Summary!$K$5)^((X2-12-MOD(Summary!$N11,12))/12))),HLOOKUP(W3,$E$3:$DV11,9,FALSE))))</f>
        <v>2250</v>
      </c>
      <c r="Y11" s="46">
        <f>IF(AND(Summary!$N11&lt;='Cash Flow Statement'!Y$2,'Cash Flow Statement'!Y$2&lt;=Summary!$O11),IF((Y2-Summary!$N11)&lt;12,Summary!$P$10*Summary!$L$11,IF(MOD(Y2,12)=MOD(Summary!$N11,12),(Summary!$L$11*Summary!$P$10*((1+Summary!$K$5)^((Y2-12-MOD(Summary!$N11,12))/12))),HLOOKUP(X3,$E$3:$DV11,9,FALSE))))</f>
        <v>2250</v>
      </c>
      <c r="Z11" s="46">
        <f>IF(AND(Summary!$N11&lt;='Cash Flow Statement'!Z$2,'Cash Flow Statement'!Z$2&lt;=Summary!$O11),IF((Z2-Summary!$N11)&lt;12,Summary!$P$10*Summary!$L$11,IF(MOD(Z2,12)=MOD(Summary!$N11,12),(Summary!$L$11*Summary!$P$10*((1+Summary!$K$5)^((Z2-12-MOD(Summary!$N11,12))/12))),HLOOKUP(Y3,$E$3:$DV11,9,FALSE))))</f>
        <v>2250</v>
      </c>
      <c r="AA11" s="46">
        <f>IF(AND(Summary!$N11&lt;='Cash Flow Statement'!AA$2,'Cash Flow Statement'!AA$2&lt;=Summary!$O11),IF((AA2-Summary!$N11)&lt;12,Summary!$P$10*Summary!$L$11,IF(MOD(AA2,12)=MOD(Summary!$N11,12),(Summary!$L$11*Summary!$P$10*((1+Summary!$K$5)^((AA2-12-MOD(Summary!$N11,12))/12))),HLOOKUP(Z3,$E$3:$DV11,9,FALSE))))</f>
        <v>2250</v>
      </c>
      <c r="AB11" s="46">
        <f>IF(AND(Summary!$N11&lt;='Cash Flow Statement'!AB$2,'Cash Flow Statement'!AB$2&lt;=Summary!$O11),IF((AB2-Summary!$N11)&lt;12,Summary!$P$10*Summary!$L$11,IF(MOD(AB2,12)=MOD(Summary!$N11,12),(Summary!$L$11*Summary!$P$10*((1+Summary!$K$5)^((AB2-12-MOD(Summary!$N11,12))/12))),HLOOKUP(AA3,$E$3:$DV11,9,FALSE))))</f>
        <v>2250</v>
      </c>
      <c r="AC11" s="46">
        <f>IF(AND(Summary!$N11&lt;='Cash Flow Statement'!AC$2,'Cash Flow Statement'!AC$2&lt;=Summary!$O11),IF((AC2-Summary!$N11)&lt;12,Summary!$P$10*Summary!$L$11,IF(MOD(AC2,12)=MOD(Summary!$N11,12),(Summary!$L$11*Summary!$P$10*((1+Summary!$K$5)^((AC2-12-MOD(Summary!$N11,12))/12))),HLOOKUP(AB3,$E$3:$DV11,9,FALSE))))</f>
        <v>2250</v>
      </c>
      <c r="AD11" s="46">
        <f>IF(AND(Summary!$N11&lt;='Cash Flow Statement'!AD$2,'Cash Flow Statement'!AD$2&lt;=Summary!$O11),IF((AD2-Summary!$N11)&lt;12,Summary!$P$10*Summary!$L$11,IF(MOD(AD2,12)=MOD(Summary!$N11,12),(Summary!$L$11*Summary!$P$10*((1+Summary!$K$5)^((AD2-12-MOD(Summary!$N11,12))/12))),HLOOKUP(AC3,$E$3:$DV11,9,FALSE))))</f>
        <v>2250</v>
      </c>
      <c r="AE11" s="46">
        <f>IF(AND(Summary!$N11&lt;='Cash Flow Statement'!AE$2,'Cash Flow Statement'!AE$2&lt;=Summary!$O11),IF((AE2-Summary!$N11)&lt;12,Summary!$P$10*Summary!$L$11,IF(MOD(AE2,12)=MOD(Summary!$N11,12),(Summary!$L$11*Summary!$P$10*((1+Summary!$K$5)^((AE2-12-MOD(Summary!$N11,12))/12))),HLOOKUP(AD3,$E$3:$DV11,9,FALSE))))</f>
        <v>2250</v>
      </c>
      <c r="AF11" s="46">
        <f>IF(AND(Summary!$N11&lt;='Cash Flow Statement'!AF$2,'Cash Flow Statement'!AF$2&lt;=Summary!$O11),IF((AF2-Summary!$N11)&lt;12,Summary!$P$10*Summary!$L$11,IF(MOD(AF2,12)=MOD(Summary!$N11,12),(Summary!$L$11*Summary!$P$10*((1+Summary!$K$5)^((AF2-12-MOD(Summary!$N11,12))/12))),HLOOKUP(AE3,$E$3:$DV11,9,FALSE))))</f>
        <v>2362.5</v>
      </c>
      <c r="AG11" s="46">
        <f>IF(AND(Summary!$N11&lt;='Cash Flow Statement'!AG$2,'Cash Flow Statement'!AG$2&lt;=Summary!$O11),IF((AG2-Summary!$N11)&lt;12,Summary!$P$10*Summary!$L$11,IF(MOD(AG2,12)=MOD(Summary!$N11,12),(Summary!$L$11*Summary!$P$10*((1+Summary!$K$5)^((AG2-12-MOD(Summary!$N11,12))/12))),HLOOKUP(AF3,$E$3:$DV11,9,FALSE))))</f>
        <v>2362.5</v>
      </c>
      <c r="AH11" s="46">
        <f>IF(AND(Summary!$N11&lt;='Cash Flow Statement'!AH$2,'Cash Flow Statement'!AH$2&lt;=Summary!$O11),IF((AH2-Summary!$N11)&lt;12,Summary!$P$10*Summary!$L$11,IF(MOD(AH2,12)=MOD(Summary!$N11,12),(Summary!$L$11*Summary!$P$10*((1+Summary!$K$5)^((AH2-12-MOD(Summary!$N11,12))/12))),HLOOKUP(AG3,$E$3:$DV11,9,FALSE))))</f>
        <v>2362.5</v>
      </c>
      <c r="AI11" s="46">
        <f>IF(AND(Summary!$N11&lt;='Cash Flow Statement'!AI$2,'Cash Flow Statement'!AI$2&lt;=Summary!$O11),IF((AI2-Summary!$N11)&lt;12,Summary!$P$10*Summary!$L$11,IF(MOD(AI2,12)=MOD(Summary!$N11,12),(Summary!$L$11*Summary!$P$10*((1+Summary!$K$5)^((AI2-12-MOD(Summary!$N11,12))/12))),HLOOKUP(AH3,$E$3:$DV11,9,FALSE))))</f>
        <v>2362.5</v>
      </c>
      <c r="AJ11" s="46">
        <f>IF(AND(Summary!$N11&lt;='Cash Flow Statement'!AJ$2,'Cash Flow Statement'!AJ$2&lt;=Summary!$O11),IF((AJ2-Summary!$N11)&lt;12,Summary!$P$10*Summary!$L$11,IF(MOD(AJ2,12)=MOD(Summary!$N11,12),(Summary!$L$11*Summary!$P$10*((1+Summary!$K$5)^((AJ2-12-MOD(Summary!$N11,12))/12))),HLOOKUP(AI3,$E$3:$DV11,9,FALSE))))</f>
        <v>2362.5</v>
      </c>
      <c r="AK11" s="46">
        <f>IF(AND(Summary!$N11&lt;='Cash Flow Statement'!AK$2,'Cash Flow Statement'!AK$2&lt;=Summary!$O11),IF((AK2-Summary!$N11)&lt;12,Summary!$P$10*Summary!$L$11,IF(MOD(AK2,12)=MOD(Summary!$N11,12),(Summary!$L$11*Summary!$P$10*((1+Summary!$K$5)^((AK2-12-MOD(Summary!$N11,12))/12))),HLOOKUP(AJ3,$E$3:$DV11,9,FALSE))))</f>
        <v>2362.5</v>
      </c>
      <c r="AL11" s="46">
        <f>IF(AND(Summary!$N11&lt;='Cash Flow Statement'!AL$2,'Cash Flow Statement'!AL$2&lt;=Summary!$O11),IF((AL2-Summary!$N11)&lt;12,Summary!$P$10*Summary!$L$11,IF(MOD(AL2,12)=MOD(Summary!$N11,12),(Summary!$L$11*Summary!$P$10*((1+Summary!$K$5)^((AL2-12-MOD(Summary!$N11,12))/12))),HLOOKUP(AK3,$E$3:$DV11,9,FALSE))))</f>
        <v>2362.5</v>
      </c>
      <c r="AM11" s="46">
        <f>IF(AND(Summary!$N11&lt;='Cash Flow Statement'!AM$2,'Cash Flow Statement'!AM$2&lt;=Summary!$O11),IF((AM2-Summary!$N11)&lt;12,Summary!$P$10*Summary!$L$11,IF(MOD(AM2,12)=MOD(Summary!$N11,12),(Summary!$L$11*Summary!$P$10*((1+Summary!$K$5)^((AM2-12-MOD(Summary!$N11,12))/12))),HLOOKUP(AL3,$E$3:$DV11,9,FALSE))))</f>
        <v>2362.5</v>
      </c>
      <c r="AN11" s="46">
        <f>IF(AND(Summary!$N11&lt;='Cash Flow Statement'!AN$2,'Cash Flow Statement'!AN$2&lt;=Summary!$O11),IF((AN2-Summary!$N11)&lt;12,Summary!$P$10*Summary!$L$11,IF(MOD(AN2,12)=MOD(Summary!$N11,12),(Summary!$L$11*Summary!$P$10*((1+Summary!$K$5)^((AN2-12-MOD(Summary!$N11,12))/12))),HLOOKUP(AM3,$E$3:$DV11,9,FALSE))))</f>
        <v>2362.5</v>
      </c>
      <c r="AO11" s="46">
        <f>IF(AND(Summary!$N11&lt;='Cash Flow Statement'!AO$2,'Cash Flow Statement'!AO$2&lt;=Summary!$O11),IF((AO2-Summary!$N11)&lt;12,Summary!$P$10*Summary!$L$11,IF(MOD(AO2,12)=MOD(Summary!$N11,12),(Summary!$L$11*Summary!$P$10*((1+Summary!$K$5)^((AO2-12-MOD(Summary!$N11,12))/12))),HLOOKUP(AN3,$E$3:$DV11,9,FALSE))))</f>
        <v>2362.5</v>
      </c>
      <c r="AP11" s="46">
        <f>IF(AND(Summary!$N11&lt;='Cash Flow Statement'!AP$2,'Cash Flow Statement'!AP$2&lt;=Summary!$O11),IF((AP2-Summary!$N11)&lt;12,Summary!$P$10*Summary!$L$11,IF(MOD(AP2,12)=MOD(Summary!$N11,12),(Summary!$L$11*Summary!$P$10*((1+Summary!$K$5)^((AP2-12-MOD(Summary!$N11,12))/12))),HLOOKUP(AO3,$E$3:$DV11,9,FALSE))))</f>
        <v>2362.5</v>
      </c>
      <c r="AQ11" s="46">
        <f>IF(AND(Summary!$N11&lt;='Cash Flow Statement'!AQ$2,'Cash Flow Statement'!AQ$2&lt;=Summary!$O11),IF((AQ2-Summary!$N11)&lt;12,Summary!$P$10*Summary!$L$11,IF(MOD(AQ2,12)=MOD(Summary!$N11,12),(Summary!$L$11*Summary!$P$10*((1+Summary!$K$5)^((AQ2-12-MOD(Summary!$N11,12))/12))),HLOOKUP(AP3,$E$3:$DV11,9,FALSE))))</f>
        <v>2362.5</v>
      </c>
      <c r="AR11" s="46">
        <f>IF(AND(Summary!$N11&lt;='Cash Flow Statement'!AR$2,'Cash Flow Statement'!AR$2&lt;=Summary!$O11),IF((AR2-Summary!$N11)&lt;12,Summary!$P$10*Summary!$L$11,IF(MOD(AR2,12)=MOD(Summary!$N11,12),(Summary!$L$11*Summary!$P$10*((1+Summary!$K$5)^((AR2-12-MOD(Summary!$N11,12))/12))),HLOOKUP(AQ3,$E$3:$DV11,9,FALSE))))</f>
        <v>2480.625</v>
      </c>
      <c r="AS11" s="46">
        <f>IF(AND(Summary!$N11&lt;='Cash Flow Statement'!AS$2,'Cash Flow Statement'!AS$2&lt;=Summary!$O11),IF((AS2-Summary!$N11)&lt;12,Summary!$P$10*Summary!$L$11,IF(MOD(AS2,12)=MOD(Summary!$N11,12),(Summary!$L$11*Summary!$P$10*((1+Summary!$K$5)^((AS2-12-MOD(Summary!$N11,12))/12))),HLOOKUP(AR3,$E$3:$DV11,9,FALSE))))</f>
        <v>2480.625</v>
      </c>
      <c r="AT11" s="46">
        <f>IF(AND(Summary!$N11&lt;='Cash Flow Statement'!AT$2,'Cash Flow Statement'!AT$2&lt;=Summary!$O11),IF((AT2-Summary!$N11)&lt;12,Summary!$P$10*Summary!$L$11,IF(MOD(AT2,12)=MOD(Summary!$N11,12),(Summary!$L$11*Summary!$P$10*((1+Summary!$K$5)^((AT2-12-MOD(Summary!$N11,12))/12))),HLOOKUP(AS3,$E$3:$DV11,9,FALSE))))</f>
        <v>2480.625</v>
      </c>
      <c r="AU11" s="46">
        <f>IF(AND(Summary!$N11&lt;='Cash Flow Statement'!AU$2,'Cash Flow Statement'!AU$2&lt;=Summary!$O11),IF((AU2-Summary!$N11)&lt;12,Summary!$P$10*Summary!$L$11,IF(MOD(AU2,12)=MOD(Summary!$N11,12),(Summary!$L$11*Summary!$P$10*((1+Summary!$K$5)^((AU2-12-MOD(Summary!$N11,12))/12))),HLOOKUP(AT3,$E$3:$DV11,9,FALSE))))</f>
        <v>2480.625</v>
      </c>
      <c r="AV11" s="46">
        <f>IF(AND(Summary!$N11&lt;='Cash Flow Statement'!AV$2,'Cash Flow Statement'!AV$2&lt;=Summary!$O11),IF((AV2-Summary!$N11)&lt;12,Summary!$P$10*Summary!$L$11,IF(MOD(AV2,12)=MOD(Summary!$N11,12),(Summary!$L$11*Summary!$P$10*((1+Summary!$K$5)^((AV2-12-MOD(Summary!$N11,12))/12))),HLOOKUP(AU3,$E$3:$DV11,9,FALSE))))</f>
        <v>2480.625</v>
      </c>
      <c r="AW11" s="46">
        <f>IF(AND(Summary!$N11&lt;='Cash Flow Statement'!AW$2,'Cash Flow Statement'!AW$2&lt;=Summary!$O11),IF((AW2-Summary!$N11)&lt;12,Summary!$P$10*Summary!$L$11,IF(MOD(AW2,12)=MOD(Summary!$N11,12),(Summary!$L$11*Summary!$P$10*((1+Summary!$K$5)^((AW2-12-MOD(Summary!$N11,12))/12))),HLOOKUP(AV3,$E$3:$DV11,9,FALSE))))</f>
        <v>2480.625</v>
      </c>
      <c r="AX11" s="46">
        <f>IF(AND(Summary!$N11&lt;='Cash Flow Statement'!AX$2,'Cash Flow Statement'!AX$2&lt;=Summary!$O11),IF((AX2-Summary!$N11)&lt;12,Summary!$P$10*Summary!$L$11,IF(MOD(AX2,12)=MOD(Summary!$N11,12),(Summary!$L$11*Summary!$P$10*((1+Summary!$K$5)^((AX2-12-MOD(Summary!$N11,12))/12))),HLOOKUP(AW3,$E$3:$DV11,9,FALSE))))</f>
        <v>2480.625</v>
      </c>
      <c r="AY11" s="46">
        <f>IF(AND(Summary!$N11&lt;='Cash Flow Statement'!AY$2,'Cash Flow Statement'!AY$2&lt;=Summary!$O11),IF((AY2-Summary!$N11)&lt;12,Summary!$P$10*Summary!$L$11,IF(MOD(AY2,12)=MOD(Summary!$N11,12),(Summary!$L$11*Summary!$P$10*((1+Summary!$K$5)^((AY2-12-MOD(Summary!$N11,12))/12))),HLOOKUP(AX3,$E$3:$DV11,9,FALSE))))</f>
        <v>2480.625</v>
      </c>
      <c r="AZ11" s="46">
        <f>IF(AND(Summary!$N11&lt;='Cash Flow Statement'!AZ$2,'Cash Flow Statement'!AZ$2&lt;=Summary!$O11),IF((AZ2-Summary!$N11)&lt;12,Summary!$P$10*Summary!$L$11,IF(MOD(AZ2,12)=MOD(Summary!$N11,12),(Summary!$L$11*Summary!$P$10*((1+Summary!$K$5)^((AZ2-12-MOD(Summary!$N11,12))/12))),HLOOKUP(AY3,$E$3:$DV11,9,FALSE))))</f>
        <v>2480.625</v>
      </c>
      <c r="BA11" s="46">
        <f>IF(AND(Summary!$N11&lt;='Cash Flow Statement'!BA$2,'Cash Flow Statement'!BA$2&lt;=Summary!$O11),IF((BA2-Summary!$N11)&lt;12,Summary!$P$10*Summary!$L$11,IF(MOD(BA2,12)=MOD(Summary!$N11,12),(Summary!$L$11*Summary!$P$10*((1+Summary!$K$5)^((BA2-12-MOD(Summary!$N11,12))/12))),HLOOKUP(AZ3,$E$3:$DV11,9,FALSE))))</f>
        <v>2480.625</v>
      </c>
      <c r="BB11" s="46">
        <f>IF(AND(Summary!$N11&lt;='Cash Flow Statement'!BB$2,'Cash Flow Statement'!BB$2&lt;=Summary!$O11),IF((BB2-Summary!$N11)&lt;12,Summary!$P$10*Summary!$L$11,IF(MOD(BB2,12)=MOD(Summary!$N11,12),(Summary!$L$11*Summary!$P$10*((1+Summary!$K$5)^((BB2-12-MOD(Summary!$N11,12))/12))),HLOOKUP(BA3,$E$3:$DV11,9,FALSE))))</f>
        <v>2480.625</v>
      </c>
      <c r="BC11" s="46">
        <f>IF(AND(Summary!$N11&lt;='Cash Flow Statement'!BC$2,'Cash Flow Statement'!BC$2&lt;=Summary!$O11),IF((BC2-Summary!$N11)&lt;12,Summary!$P$10*Summary!$L$11,IF(MOD(BC2,12)=MOD(Summary!$N11,12),(Summary!$L$11*Summary!$P$10*((1+Summary!$K$5)^((BC2-12-MOD(Summary!$N11,12))/12))),HLOOKUP(BB3,$E$3:$DV11,9,FALSE))))</f>
        <v>2480.625</v>
      </c>
      <c r="BD11" s="46">
        <f>IF(AND(Summary!$N11&lt;='Cash Flow Statement'!BD$2,'Cash Flow Statement'!BD$2&lt;=Summary!$O11),IF((BD2-Summary!$N11)&lt;12,Summary!$P$10*Summary!$L$11,IF(MOD(BD2,12)=MOD(Summary!$N11,12),(Summary!$L$11*Summary!$P$10*((1+Summary!$K$5)^((BD2-12-MOD(Summary!$N11,12))/12))),HLOOKUP(BC3,$E$3:$DV11,9,FALSE))))</f>
        <v>2604.6562500000005</v>
      </c>
      <c r="BE11" s="46">
        <f>IF(AND(Summary!$N11&lt;='Cash Flow Statement'!BE$2,'Cash Flow Statement'!BE$2&lt;=Summary!$O11),IF((BE2-Summary!$N11)&lt;12,Summary!$P$10*Summary!$L$11,IF(MOD(BE2,12)=MOD(Summary!$N11,12),(Summary!$L$11*Summary!$P$10*((1+Summary!$K$5)^((BE2-12-MOD(Summary!$N11,12))/12))),HLOOKUP(BD3,$E$3:$DV11,9,FALSE))))</f>
        <v>2604.6562500000005</v>
      </c>
      <c r="BF11" s="46">
        <f>IF(AND(Summary!$N11&lt;='Cash Flow Statement'!BF$2,'Cash Flow Statement'!BF$2&lt;=Summary!$O11),IF((BF2-Summary!$N11)&lt;12,Summary!$P$10*Summary!$L$11,IF(MOD(BF2,12)=MOD(Summary!$N11,12),(Summary!$L$11*Summary!$P$10*((1+Summary!$K$5)^((BF2-12-MOD(Summary!$N11,12))/12))),HLOOKUP(BE3,$E$3:$DV11,9,FALSE))))</f>
        <v>2604.6562500000005</v>
      </c>
      <c r="BG11" s="46">
        <f>IF(AND(Summary!$N11&lt;='Cash Flow Statement'!BG$2,'Cash Flow Statement'!BG$2&lt;=Summary!$O11),IF((BG2-Summary!$N11)&lt;12,Summary!$P$10*Summary!$L$11,IF(MOD(BG2,12)=MOD(Summary!$N11,12),(Summary!$L$11*Summary!$P$10*((1+Summary!$K$5)^((BG2-12-MOD(Summary!$N11,12))/12))),HLOOKUP(BF3,$E$3:$DV11,9,FALSE))))</f>
        <v>2604.6562500000005</v>
      </c>
      <c r="BH11" s="46">
        <f>IF(AND(Summary!$N11&lt;='Cash Flow Statement'!BH$2,'Cash Flow Statement'!BH$2&lt;=Summary!$O11),IF((BH2-Summary!$N11)&lt;12,Summary!$P$10*Summary!$L$11,IF(MOD(BH2,12)=MOD(Summary!$N11,12),(Summary!$L$11*Summary!$P$10*((1+Summary!$K$5)^((BH2-12-MOD(Summary!$N11,12))/12))),HLOOKUP(BG3,$E$3:$DV11,9,FALSE))))</f>
        <v>2604.6562500000005</v>
      </c>
      <c r="BI11" s="46">
        <f>IF(AND(Summary!$N11&lt;='Cash Flow Statement'!BI$2,'Cash Flow Statement'!BI$2&lt;=Summary!$O11),IF((BI2-Summary!$N11)&lt;12,Summary!$P$10*Summary!$L$11,IF(MOD(BI2,12)=MOD(Summary!$N11,12),(Summary!$L$11*Summary!$P$10*((1+Summary!$K$5)^((BI2-12-MOD(Summary!$N11,12))/12))),HLOOKUP(BH3,$E$3:$DV11,9,FALSE))))</f>
        <v>2604.6562500000005</v>
      </c>
      <c r="BJ11" s="46">
        <f>IF(AND(Summary!$N11&lt;='Cash Flow Statement'!BJ$2,'Cash Flow Statement'!BJ$2&lt;=Summary!$O11),IF((BJ2-Summary!$N11)&lt;12,Summary!$P$10*Summary!$L$11,IF(MOD(BJ2,12)=MOD(Summary!$N11,12),(Summary!$L$11*Summary!$P$10*((1+Summary!$K$5)^((BJ2-12-MOD(Summary!$N11,12))/12))),HLOOKUP(BI3,$E$3:$DV11,9,FALSE))))</f>
        <v>2604.6562500000005</v>
      </c>
      <c r="BK11" s="46">
        <f>IF(AND(Summary!$N11&lt;='Cash Flow Statement'!BK$2,'Cash Flow Statement'!BK$2&lt;=Summary!$O11),IF((BK2-Summary!$N11)&lt;12,Summary!$P$10*Summary!$L$11,IF(MOD(BK2,12)=MOD(Summary!$N11,12),(Summary!$L$11*Summary!$P$10*((1+Summary!$K$5)^((BK2-12-MOD(Summary!$N11,12))/12))),HLOOKUP(BJ3,$E$3:$DV11,9,FALSE))))</f>
        <v>2604.6562500000005</v>
      </c>
      <c r="BL11" s="46">
        <f>IF(AND(Summary!$N11&lt;='Cash Flow Statement'!BL$2,'Cash Flow Statement'!BL$2&lt;=Summary!$O11),IF((BL2-Summary!$N11)&lt;12,Summary!$P$10*Summary!$L$11,IF(MOD(BL2,12)=MOD(Summary!$N11,12),(Summary!$L$11*Summary!$P$10*((1+Summary!$K$5)^((BL2-12-MOD(Summary!$N11,12))/12))),HLOOKUP(BK3,$E$3:$DV11,9,FALSE))))</f>
        <v>2604.6562500000005</v>
      </c>
      <c r="BM11" s="46">
        <f>IF(AND(Summary!$N11&lt;='Cash Flow Statement'!BM$2,'Cash Flow Statement'!BM$2&lt;=Summary!$O11),IF((BM2-Summary!$N11)&lt;12,Summary!$P$10*Summary!$L$11,IF(MOD(BM2,12)=MOD(Summary!$N11,12),(Summary!$L$11*Summary!$P$10*((1+Summary!$K$5)^((BM2-12-MOD(Summary!$N11,12))/12))),HLOOKUP(BL3,$E$3:$DV11,9,FALSE))))</f>
        <v>2604.6562500000005</v>
      </c>
      <c r="BN11" s="46">
        <f>IF(AND(Summary!$N11&lt;='Cash Flow Statement'!BN$2,'Cash Flow Statement'!BN$2&lt;=Summary!$O11),IF((BN2-Summary!$N11)&lt;12,Summary!$P$10*Summary!$L$11,IF(MOD(BN2,12)=MOD(Summary!$N11,12),(Summary!$L$11*Summary!$P$10*((1+Summary!$K$5)^((BN2-12-MOD(Summary!$N11,12))/12))),HLOOKUP(BM3,$E$3:$DV11,9,FALSE))))</f>
        <v>2604.6562500000005</v>
      </c>
      <c r="BO11" s="46">
        <f>IF(AND(Summary!$N11&lt;='Cash Flow Statement'!BO$2,'Cash Flow Statement'!BO$2&lt;=Summary!$O11),IF((BO2-Summary!$N11)&lt;12,Summary!$P$10*Summary!$L$11,IF(MOD(BO2,12)=MOD(Summary!$N11,12),(Summary!$L$11*Summary!$P$10*((1+Summary!$K$5)^((BO2-12-MOD(Summary!$N11,12))/12))),HLOOKUP(BN3,$E$3:$DV11,9,FALSE))))</f>
        <v>2604.6562500000005</v>
      </c>
      <c r="BP11" s="46">
        <f>IF(AND(Summary!$N11&lt;='Cash Flow Statement'!BP$2,'Cash Flow Statement'!BP$2&lt;=Summary!$O11),IF((BP2-Summary!$N11)&lt;12,Summary!$P$10*Summary!$L$11,IF(MOD(BP2,12)=MOD(Summary!$N11,12),(Summary!$L$11*Summary!$P$10*((1+Summary!$K$5)^((BP2-12-MOD(Summary!$N11,12))/12))),HLOOKUP(BO3,$E$3:$DV11,9,FALSE))))</f>
        <v>2734.8890624999999</v>
      </c>
      <c r="BQ11" s="46">
        <f>IF(AND(Summary!$N11&lt;='Cash Flow Statement'!BQ$2,'Cash Flow Statement'!BQ$2&lt;=Summary!$O11),IF((BQ2-Summary!$N11)&lt;12,Summary!$P$10*Summary!$L$11,IF(MOD(BQ2,12)=MOD(Summary!$N11,12),(Summary!$L$11*Summary!$P$10*((1+Summary!$K$5)^((BQ2-12-MOD(Summary!$N11,12))/12))),HLOOKUP(BP3,$E$3:$DV11,9,FALSE))))</f>
        <v>2734.8890624999999</v>
      </c>
      <c r="BR11" s="46">
        <f>IF(AND(Summary!$N11&lt;='Cash Flow Statement'!BR$2,'Cash Flow Statement'!BR$2&lt;=Summary!$O11),IF((BR2-Summary!$N11)&lt;12,Summary!$P$10*Summary!$L$11,IF(MOD(BR2,12)=MOD(Summary!$N11,12),(Summary!$L$11*Summary!$P$10*((1+Summary!$K$5)^((BR2-12-MOD(Summary!$N11,12))/12))),HLOOKUP(BQ3,$E$3:$DV11,9,FALSE))))</f>
        <v>2734.8890624999999</v>
      </c>
      <c r="BS11" s="46">
        <f>IF(AND(Summary!$N11&lt;='Cash Flow Statement'!BS$2,'Cash Flow Statement'!BS$2&lt;=Summary!$O11),IF((BS2-Summary!$N11)&lt;12,Summary!$P$10*Summary!$L$11,IF(MOD(BS2,12)=MOD(Summary!$N11,12),(Summary!$L$11*Summary!$P$10*((1+Summary!$K$5)^((BS2-12-MOD(Summary!$N11,12))/12))),HLOOKUP(BR3,$E$3:$DV11,9,FALSE))))</f>
        <v>2734.8890624999999</v>
      </c>
      <c r="BT11" s="46">
        <f>IF(AND(Summary!$N11&lt;='Cash Flow Statement'!BT$2,'Cash Flow Statement'!BT$2&lt;=Summary!$O11),IF((BT2-Summary!$N11)&lt;12,Summary!$P$10*Summary!$L$11,IF(MOD(BT2,12)=MOD(Summary!$N11,12),(Summary!$L$11*Summary!$P$10*((1+Summary!$K$5)^((BT2-12-MOD(Summary!$N11,12))/12))),HLOOKUP(BS3,$E$3:$DV11,9,FALSE))))</f>
        <v>2734.8890624999999</v>
      </c>
      <c r="BU11" s="46">
        <f>IF(AND(Summary!$N11&lt;='Cash Flow Statement'!BU$2,'Cash Flow Statement'!BU$2&lt;=Summary!$O11),IF((BU2-Summary!$N11)&lt;12,Summary!$P$10*Summary!$L$11,IF(MOD(BU2,12)=MOD(Summary!$N11,12),(Summary!$L$11*Summary!$P$10*((1+Summary!$K$5)^((BU2-12-MOD(Summary!$N11,12))/12))),HLOOKUP(BT3,$E$3:$DV11,9,FALSE))))</f>
        <v>2734.8890624999999</v>
      </c>
      <c r="BV11" s="46">
        <f>IF(AND(Summary!$N11&lt;='Cash Flow Statement'!BV$2,'Cash Flow Statement'!BV$2&lt;=Summary!$O11),IF((BV2-Summary!$N11)&lt;12,Summary!$P$10*Summary!$L$11,IF(MOD(BV2,12)=MOD(Summary!$N11,12),(Summary!$L$11*Summary!$P$10*((1+Summary!$K$5)^((BV2-12-MOD(Summary!$N11,12))/12))),HLOOKUP(BU3,$E$3:$DV11,9,FALSE))))</f>
        <v>2734.8890624999999</v>
      </c>
      <c r="BW11" s="46">
        <f>IF(AND(Summary!$N11&lt;='Cash Flow Statement'!BW$2,'Cash Flow Statement'!BW$2&lt;=Summary!$O11),IF((BW2-Summary!$N11)&lt;12,Summary!$P$10*Summary!$L$11,IF(MOD(BW2,12)=MOD(Summary!$N11,12),(Summary!$L$11*Summary!$P$10*((1+Summary!$K$5)^((BW2-12-MOD(Summary!$N11,12))/12))),HLOOKUP(BV3,$E$3:$DV11,9,FALSE))))</f>
        <v>2734.8890624999999</v>
      </c>
      <c r="BX11" s="46">
        <f>IF(AND(Summary!$N11&lt;='Cash Flow Statement'!BX$2,'Cash Flow Statement'!BX$2&lt;=Summary!$O11),IF((BX2-Summary!$N11)&lt;12,Summary!$P$10*Summary!$L$11,IF(MOD(BX2,12)=MOD(Summary!$N11,12),(Summary!$L$11*Summary!$P$10*((1+Summary!$K$5)^((BX2-12-MOD(Summary!$N11,12))/12))),HLOOKUP(BW3,$E$3:$DV11,9,FALSE))))</f>
        <v>2734.8890624999999</v>
      </c>
      <c r="BY11" s="46">
        <f>IF(AND(Summary!$N11&lt;='Cash Flow Statement'!BY$2,'Cash Flow Statement'!BY$2&lt;=Summary!$O11),IF((BY2-Summary!$N11)&lt;12,Summary!$P$10*Summary!$L$11,IF(MOD(BY2,12)=MOD(Summary!$N11,12),(Summary!$L$11*Summary!$P$10*((1+Summary!$K$5)^((BY2-12-MOD(Summary!$N11,12))/12))),HLOOKUP(BX3,$E$3:$DV11,9,FALSE))))</f>
        <v>2734.8890624999999</v>
      </c>
      <c r="BZ11" s="46">
        <f>IF(AND(Summary!$N11&lt;='Cash Flow Statement'!BZ$2,'Cash Flow Statement'!BZ$2&lt;=Summary!$O11),IF((BZ2-Summary!$N11)&lt;12,Summary!$P$10*Summary!$L$11,IF(MOD(BZ2,12)=MOD(Summary!$N11,12),(Summary!$L$11*Summary!$P$10*((1+Summary!$K$5)^((BZ2-12-MOD(Summary!$N11,12))/12))),HLOOKUP(BY3,$E$3:$DV11,9,FALSE))))</f>
        <v>2734.8890624999999</v>
      </c>
      <c r="CA11" s="46">
        <f>IF(AND(Summary!$N11&lt;='Cash Flow Statement'!CA$2,'Cash Flow Statement'!CA$2&lt;=Summary!$O11),IF((CA2-Summary!$N11)&lt;12,Summary!$P$10*Summary!$L$11,IF(MOD(CA2,12)=MOD(Summary!$N11,12),(Summary!$L$11*Summary!$P$10*((1+Summary!$K$5)^((CA2-12-MOD(Summary!$N11,12))/12))),HLOOKUP(BZ3,$E$3:$DV11,9,FALSE))))</f>
        <v>2734.8890624999999</v>
      </c>
      <c r="CB11" s="46">
        <f>IF(AND(Summary!$N11&lt;='Cash Flow Statement'!CB$2,'Cash Flow Statement'!CB$2&lt;=Summary!$O11),IF((CB2-Summary!$N11)&lt;12,Summary!$P$10*Summary!$L$11,IF(MOD(CB2,12)=MOD(Summary!$N11,12),(Summary!$L$11*Summary!$P$10*((1+Summary!$K$5)^((CB2-12-MOD(Summary!$N11,12))/12))),HLOOKUP(CA3,$E$3:$DV11,9,FALSE))))</f>
        <v>2871.6335156250002</v>
      </c>
      <c r="CC11" s="46">
        <f>IF(AND(Summary!$N11&lt;='Cash Flow Statement'!CC$2,'Cash Flow Statement'!CC$2&lt;=Summary!$O11),IF((CC2-Summary!$N11)&lt;12,Summary!$P$10*Summary!$L$11,IF(MOD(CC2,12)=MOD(Summary!$N11,12),(Summary!$L$11*Summary!$P$10*((1+Summary!$K$5)^((CC2-12-MOD(Summary!$N11,12))/12))),HLOOKUP(CB3,$E$3:$DV11,9,FALSE))))</f>
        <v>2871.6335156250002</v>
      </c>
      <c r="CD11" s="46">
        <f>IF(AND(Summary!$N11&lt;='Cash Flow Statement'!CD$2,'Cash Flow Statement'!CD$2&lt;=Summary!$O11),IF((CD2-Summary!$N11)&lt;12,Summary!$P$10*Summary!$L$11,IF(MOD(CD2,12)=MOD(Summary!$N11,12),(Summary!$L$11*Summary!$P$10*((1+Summary!$K$5)^((CD2-12-MOD(Summary!$N11,12))/12))),HLOOKUP(CC3,$E$3:$DV11,9,FALSE))))</f>
        <v>2871.6335156250002</v>
      </c>
      <c r="CE11" s="46">
        <f>IF(AND(Summary!$N11&lt;='Cash Flow Statement'!CE$2,'Cash Flow Statement'!CE$2&lt;=Summary!$O11),IF((CE2-Summary!$N11)&lt;12,Summary!$P$10*Summary!$L$11,IF(MOD(CE2,12)=MOD(Summary!$N11,12),(Summary!$L$11*Summary!$P$10*((1+Summary!$K$5)^((CE2-12-MOD(Summary!$N11,12))/12))),HLOOKUP(CD3,$E$3:$DV11,9,FALSE))))</f>
        <v>2871.6335156250002</v>
      </c>
      <c r="CF11" s="46">
        <f>IF(AND(Summary!$N11&lt;='Cash Flow Statement'!CF$2,'Cash Flow Statement'!CF$2&lt;=Summary!$O11),IF((CF2-Summary!$N11)&lt;12,Summary!$P$10*Summary!$L$11,IF(MOD(CF2,12)=MOD(Summary!$N11,12),(Summary!$L$11*Summary!$P$10*((1+Summary!$K$5)^((CF2-12-MOD(Summary!$N11,12))/12))),HLOOKUP(CE3,$E$3:$DV11,9,FALSE))))</f>
        <v>2871.6335156250002</v>
      </c>
      <c r="CG11" s="46">
        <f>IF(AND(Summary!$N11&lt;='Cash Flow Statement'!CG$2,'Cash Flow Statement'!CG$2&lt;=Summary!$O11),IF((CG2-Summary!$N11)&lt;12,Summary!$P$10*Summary!$L$11,IF(MOD(CG2,12)=MOD(Summary!$N11,12),(Summary!$L$11*Summary!$P$10*((1+Summary!$K$5)^((CG2-12-MOD(Summary!$N11,12))/12))),HLOOKUP(CF3,$E$3:$DV11,9,FALSE))))</f>
        <v>2871.6335156250002</v>
      </c>
      <c r="CH11" s="46">
        <f>IF(AND(Summary!$N11&lt;='Cash Flow Statement'!CH$2,'Cash Flow Statement'!CH$2&lt;=Summary!$O11),IF((CH2-Summary!$N11)&lt;12,Summary!$P$10*Summary!$L$11,IF(MOD(CH2,12)=MOD(Summary!$N11,12),(Summary!$L$11*Summary!$P$10*((1+Summary!$K$5)^((CH2-12-MOD(Summary!$N11,12))/12))),HLOOKUP(CG3,$E$3:$DV11,9,FALSE))))</f>
        <v>2871.6335156250002</v>
      </c>
      <c r="CI11" s="46">
        <f>IF(AND(Summary!$N11&lt;='Cash Flow Statement'!CI$2,'Cash Flow Statement'!CI$2&lt;=Summary!$O11),IF((CI2-Summary!$N11)&lt;12,Summary!$P$10*Summary!$L$11,IF(MOD(CI2,12)=MOD(Summary!$N11,12),(Summary!$L$11*Summary!$P$10*((1+Summary!$K$5)^((CI2-12-MOD(Summary!$N11,12))/12))),HLOOKUP(CH3,$E$3:$DV11,9,FALSE))))</f>
        <v>2871.6335156250002</v>
      </c>
      <c r="CJ11" s="46">
        <f>IF(AND(Summary!$N11&lt;='Cash Flow Statement'!CJ$2,'Cash Flow Statement'!CJ$2&lt;=Summary!$O11),IF((CJ2-Summary!$N11)&lt;12,Summary!$P$10*Summary!$L$11,IF(MOD(CJ2,12)=MOD(Summary!$N11,12),(Summary!$L$11*Summary!$P$10*((1+Summary!$K$5)^((CJ2-12-MOD(Summary!$N11,12))/12))),HLOOKUP(CI3,$E$3:$DV11,9,FALSE))))</f>
        <v>2871.6335156250002</v>
      </c>
      <c r="CK11" s="46">
        <f>IF(AND(Summary!$N11&lt;='Cash Flow Statement'!CK$2,'Cash Flow Statement'!CK$2&lt;=Summary!$O11),IF((CK2-Summary!$N11)&lt;12,Summary!$P$10*Summary!$L$11,IF(MOD(CK2,12)=MOD(Summary!$N11,12),(Summary!$L$11*Summary!$P$10*((1+Summary!$K$5)^((CK2-12-MOD(Summary!$N11,12))/12))),HLOOKUP(CJ3,$E$3:$DV11,9,FALSE))))</f>
        <v>2871.6335156250002</v>
      </c>
      <c r="CL11" s="46">
        <f>IF(AND(Summary!$N11&lt;='Cash Flow Statement'!CL$2,'Cash Flow Statement'!CL$2&lt;=Summary!$O11),IF((CL2-Summary!$N11)&lt;12,Summary!$P$10*Summary!$L$11,IF(MOD(CL2,12)=MOD(Summary!$N11,12),(Summary!$L$11*Summary!$P$10*((1+Summary!$K$5)^((CL2-12-MOD(Summary!$N11,12))/12))),HLOOKUP(CK3,$E$3:$DV11,9,FALSE))))</f>
        <v>2871.6335156250002</v>
      </c>
      <c r="CM11" s="46">
        <f>IF(AND(Summary!$N11&lt;='Cash Flow Statement'!CM$2,'Cash Flow Statement'!CM$2&lt;=Summary!$O11),IF((CM2-Summary!$N11)&lt;12,Summary!$P$10*Summary!$L$11,IF(MOD(CM2,12)=MOD(Summary!$N11,12),(Summary!$L$11*Summary!$P$10*((1+Summary!$K$5)^((CM2-12-MOD(Summary!$N11,12))/12))),HLOOKUP(CL3,$E$3:$DV11,9,FALSE))))</f>
        <v>2871.6335156250002</v>
      </c>
      <c r="CN11" s="46">
        <f>IF(AND(Summary!$N11&lt;='Cash Flow Statement'!CN$2,'Cash Flow Statement'!CN$2&lt;=Summary!$O11),IF((CN2-Summary!$N11)&lt;12,Summary!$P$10*Summary!$L$11,IF(MOD(CN2,12)=MOD(Summary!$N11,12),(Summary!$L$11*Summary!$P$10*((1+Summary!$K$5)^((CN2-12-MOD(Summary!$N11,12))/12))),HLOOKUP(CM3,$E$3:$DV11,9,FALSE))))</f>
        <v>3015.2151914062501</v>
      </c>
      <c r="CO11" s="46">
        <f>IF(AND(Summary!$N11&lt;='Cash Flow Statement'!CO$2,'Cash Flow Statement'!CO$2&lt;=Summary!$O11),IF((CO2-Summary!$N11)&lt;12,Summary!$P$10*Summary!$L$11,IF(MOD(CO2,12)=MOD(Summary!$N11,12),(Summary!$L$11*Summary!$P$10*((1+Summary!$K$5)^((CO2-12-MOD(Summary!$N11,12))/12))),HLOOKUP(CN3,$E$3:$DV11,9,FALSE))))</f>
        <v>3015.2151914062501</v>
      </c>
      <c r="CP11" s="46">
        <f>IF(AND(Summary!$N11&lt;='Cash Flow Statement'!CP$2,'Cash Flow Statement'!CP$2&lt;=Summary!$O11),IF((CP2-Summary!$N11)&lt;12,Summary!$P$10*Summary!$L$11,IF(MOD(CP2,12)=MOD(Summary!$N11,12),(Summary!$L$11*Summary!$P$10*((1+Summary!$K$5)^((CP2-12-MOD(Summary!$N11,12))/12))),HLOOKUP(CO3,$E$3:$DV11,9,FALSE))))</f>
        <v>3015.2151914062501</v>
      </c>
      <c r="CQ11" s="46">
        <f>IF(AND(Summary!$N11&lt;='Cash Flow Statement'!CQ$2,'Cash Flow Statement'!CQ$2&lt;=Summary!$O11),IF((CQ2-Summary!$N11)&lt;12,Summary!$P$10*Summary!$L$11,IF(MOD(CQ2,12)=MOD(Summary!$N11,12),(Summary!$L$11*Summary!$P$10*((1+Summary!$K$5)^((CQ2-12-MOD(Summary!$N11,12))/12))),HLOOKUP(CP3,$E$3:$DV11,9,FALSE))))</f>
        <v>3015.2151914062501</v>
      </c>
      <c r="CR11" s="46">
        <f>IF(AND(Summary!$N11&lt;='Cash Flow Statement'!CR$2,'Cash Flow Statement'!CR$2&lt;=Summary!$O11),IF((CR2-Summary!$N11)&lt;12,Summary!$P$10*Summary!$L$11,IF(MOD(CR2,12)=MOD(Summary!$N11,12),(Summary!$L$11*Summary!$P$10*((1+Summary!$K$5)^((CR2-12-MOD(Summary!$N11,12))/12))),HLOOKUP(CQ3,$E$3:$DV11,9,FALSE))))</f>
        <v>3015.2151914062501</v>
      </c>
      <c r="CS11" s="46">
        <f>IF(AND(Summary!$N11&lt;='Cash Flow Statement'!CS$2,'Cash Flow Statement'!CS$2&lt;=Summary!$O11),IF((CS2-Summary!$N11)&lt;12,Summary!$P$10*Summary!$L$11,IF(MOD(CS2,12)=MOD(Summary!$N11,12),(Summary!$L$11*Summary!$P$10*((1+Summary!$K$5)^((CS2-12-MOD(Summary!$N11,12))/12))),HLOOKUP(CR3,$E$3:$DV11,9,FALSE))))</f>
        <v>3015.2151914062501</v>
      </c>
      <c r="CT11" s="46">
        <f>IF(AND(Summary!$N11&lt;='Cash Flow Statement'!CT$2,'Cash Flow Statement'!CT$2&lt;=Summary!$O11),IF((CT2-Summary!$N11)&lt;12,Summary!$P$10*Summary!$L$11,IF(MOD(CT2,12)=MOD(Summary!$N11,12),(Summary!$L$11*Summary!$P$10*((1+Summary!$K$5)^((CT2-12-MOD(Summary!$N11,12))/12))),HLOOKUP(CS3,$E$3:$DV11,9,FALSE))))</f>
        <v>3015.2151914062501</v>
      </c>
      <c r="CU11" s="46">
        <f>IF(AND(Summary!$N11&lt;='Cash Flow Statement'!CU$2,'Cash Flow Statement'!CU$2&lt;=Summary!$O11),IF((CU2-Summary!$N11)&lt;12,Summary!$P$10*Summary!$L$11,IF(MOD(CU2,12)=MOD(Summary!$N11,12),(Summary!$L$11*Summary!$P$10*((1+Summary!$K$5)^((CU2-12-MOD(Summary!$N11,12))/12))),HLOOKUP(CT3,$E$3:$DV11,9,FALSE))))</f>
        <v>3015.2151914062501</v>
      </c>
      <c r="CV11" s="46">
        <f>IF(AND(Summary!$N11&lt;='Cash Flow Statement'!CV$2,'Cash Flow Statement'!CV$2&lt;=Summary!$O11),IF((CV2-Summary!$N11)&lt;12,Summary!$P$10*Summary!$L$11,IF(MOD(CV2,12)=MOD(Summary!$N11,12),(Summary!$L$11*Summary!$P$10*((1+Summary!$K$5)^((CV2-12-MOD(Summary!$N11,12))/12))),HLOOKUP(CU3,$E$3:$DV11,9,FALSE))))</f>
        <v>3015.2151914062501</v>
      </c>
      <c r="CW11" s="46">
        <f>IF(AND(Summary!$N11&lt;='Cash Flow Statement'!CW$2,'Cash Flow Statement'!CW$2&lt;=Summary!$O11),IF((CW2-Summary!$N11)&lt;12,Summary!$P$10*Summary!$L$11,IF(MOD(CW2,12)=MOD(Summary!$N11,12),(Summary!$L$11*Summary!$P$10*((1+Summary!$K$5)^((CW2-12-MOD(Summary!$N11,12))/12))),HLOOKUP(CV3,$E$3:$DV11,9,FALSE))))</f>
        <v>3015.2151914062501</v>
      </c>
      <c r="CX11" s="46">
        <f>IF(AND(Summary!$N11&lt;='Cash Flow Statement'!CX$2,'Cash Flow Statement'!CX$2&lt;=Summary!$O11),IF((CX2-Summary!$N11)&lt;12,Summary!$P$10*Summary!$L$11,IF(MOD(CX2,12)=MOD(Summary!$N11,12),(Summary!$L$11*Summary!$P$10*((1+Summary!$K$5)^((CX2-12-MOD(Summary!$N11,12))/12))),HLOOKUP(CW3,$E$3:$DV11,9,FALSE))))</f>
        <v>3015.2151914062501</v>
      </c>
      <c r="CY11" s="46">
        <f>IF(AND(Summary!$N11&lt;='Cash Flow Statement'!CY$2,'Cash Flow Statement'!CY$2&lt;=Summary!$O11),IF((CY2-Summary!$N11)&lt;12,Summary!$P$10*Summary!$L$11,IF(MOD(CY2,12)=MOD(Summary!$N11,12),(Summary!$L$11*Summary!$P$10*((1+Summary!$K$5)^((CY2-12-MOD(Summary!$N11,12))/12))),HLOOKUP(CX3,$E$3:$DV11,9,FALSE))))</f>
        <v>3015.2151914062501</v>
      </c>
      <c r="CZ11" s="46">
        <f>IF(AND(Summary!$N11&lt;='Cash Flow Statement'!CZ$2,'Cash Flow Statement'!CZ$2&lt;=Summary!$O11),IF((CZ2-Summary!$N11)&lt;12,Summary!$P$10*Summary!$L$11,IF(MOD(CZ2,12)=MOD(Summary!$N11,12),(Summary!$L$11*Summary!$P$10*((1+Summary!$K$5)^((CZ2-12-MOD(Summary!$N11,12))/12))),HLOOKUP(CY3,$E$3:$DV11,9,FALSE))))</f>
        <v>3165.9759509765631</v>
      </c>
      <c r="DA11" s="46">
        <f>IF(AND(Summary!$N11&lt;='Cash Flow Statement'!DA$2,'Cash Flow Statement'!DA$2&lt;=Summary!$O11),IF((DA2-Summary!$N11)&lt;12,Summary!$P$10*Summary!$L$11,IF(MOD(DA2,12)=MOD(Summary!$N11,12),(Summary!$L$11*Summary!$P$10*((1+Summary!$K$5)^((DA2-12-MOD(Summary!$N11,12))/12))),HLOOKUP(CZ3,$E$3:$DV11,9,FALSE))))</f>
        <v>3165.9759509765631</v>
      </c>
      <c r="DB11" s="46">
        <f>IF(AND(Summary!$N11&lt;='Cash Flow Statement'!DB$2,'Cash Flow Statement'!DB$2&lt;=Summary!$O11),IF((DB2-Summary!$N11)&lt;12,Summary!$P$10*Summary!$L$11,IF(MOD(DB2,12)=MOD(Summary!$N11,12),(Summary!$L$11*Summary!$P$10*((1+Summary!$K$5)^((DB2-12-MOD(Summary!$N11,12))/12))),HLOOKUP(DA3,$E$3:$DV11,9,FALSE))))</f>
        <v>3165.9759509765631</v>
      </c>
      <c r="DC11" s="46">
        <f>IF(AND(Summary!$N11&lt;='Cash Flow Statement'!DC$2,'Cash Flow Statement'!DC$2&lt;=Summary!$O11),IF((DC2-Summary!$N11)&lt;12,Summary!$P$10*Summary!$L$11,IF(MOD(DC2,12)=MOD(Summary!$N11,12),(Summary!$L$11*Summary!$P$10*((1+Summary!$K$5)^((DC2-12-MOD(Summary!$N11,12))/12))),HLOOKUP(DB3,$E$3:$DV11,9,FALSE))))</f>
        <v>3165.9759509765631</v>
      </c>
      <c r="DD11" s="46">
        <f>IF(AND(Summary!$N11&lt;='Cash Flow Statement'!DD$2,'Cash Flow Statement'!DD$2&lt;=Summary!$O11),IF((DD2-Summary!$N11)&lt;12,Summary!$P$10*Summary!$L$11,IF(MOD(DD2,12)=MOD(Summary!$N11,12),(Summary!$L$11*Summary!$P$10*((1+Summary!$K$5)^((DD2-12-MOD(Summary!$N11,12))/12))),HLOOKUP(DC3,$E$3:$DV11,9,FALSE))))</f>
        <v>3165.9759509765631</v>
      </c>
      <c r="DE11" s="46">
        <f>IF(AND(Summary!$N11&lt;='Cash Flow Statement'!DE$2,'Cash Flow Statement'!DE$2&lt;=Summary!$O11),IF((DE2-Summary!$N11)&lt;12,Summary!$P$10*Summary!$L$11,IF(MOD(DE2,12)=MOD(Summary!$N11,12),(Summary!$L$11*Summary!$P$10*((1+Summary!$K$5)^((DE2-12-MOD(Summary!$N11,12))/12))),HLOOKUP(DD3,$E$3:$DV11,9,FALSE))))</f>
        <v>3165.9759509765631</v>
      </c>
      <c r="DF11" s="46">
        <f>IF(AND(Summary!$N11&lt;='Cash Flow Statement'!DF$2,'Cash Flow Statement'!DF$2&lt;=Summary!$O11),IF((DF2-Summary!$N11)&lt;12,Summary!$P$10*Summary!$L$11,IF(MOD(DF2,12)=MOD(Summary!$N11,12),(Summary!$L$11*Summary!$P$10*((1+Summary!$K$5)^((DF2-12-MOD(Summary!$N11,12))/12))),HLOOKUP(DE3,$E$3:$DV11,9,FALSE))))</f>
        <v>3165.9759509765631</v>
      </c>
      <c r="DG11" s="46">
        <f>IF(AND(Summary!$N11&lt;='Cash Flow Statement'!DG$2,'Cash Flow Statement'!DG$2&lt;=Summary!$O11),IF((DG2-Summary!$N11)&lt;12,Summary!$P$10*Summary!$L$11,IF(MOD(DG2,12)=MOD(Summary!$N11,12),(Summary!$L$11*Summary!$P$10*((1+Summary!$K$5)^((DG2-12-MOD(Summary!$N11,12))/12))),HLOOKUP(DF3,$E$3:$DV11,9,FALSE))))</f>
        <v>3165.9759509765631</v>
      </c>
      <c r="DH11" s="46">
        <f>IF(AND(Summary!$N11&lt;='Cash Flow Statement'!DH$2,'Cash Flow Statement'!DH$2&lt;=Summary!$O11),IF((DH2-Summary!$N11)&lt;12,Summary!$P$10*Summary!$L$11,IF(MOD(DH2,12)=MOD(Summary!$N11,12),(Summary!$L$11*Summary!$P$10*((1+Summary!$K$5)^((DH2-12-MOD(Summary!$N11,12))/12))),HLOOKUP(DG3,$E$3:$DV11,9,FALSE))))</f>
        <v>3165.9759509765631</v>
      </c>
      <c r="DI11" s="46">
        <f>IF(AND(Summary!$N11&lt;='Cash Flow Statement'!DI$2,'Cash Flow Statement'!DI$2&lt;=Summary!$O11),IF((DI2-Summary!$N11)&lt;12,Summary!$P$10*Summary!$L$11,IF(MOD(DI2,12)=MOD(Summary!$N11,12),(Summary!$L$11*Summary!$P$10*((1+Summary!$K$5)^((DI2-12-MOD(Summary!$N11,12))/12))),HLOOKUP(DH3,$E$3:$DV11,9,FALSE))))</f>
        <v>3165.9759509765631</v>
      </c>
      <c r="DJ11" s="46">
        <f>IF(AND(Summary!$N11&lt;='Cash Flow Statement'!DJ$2,'Cash Flow Statement'!DJ$2&lt;=Summary!$O11),IF((DJ2-Summary!$N11)&lt;12,Summary!$P$10*Summary!$L$11,IF(MOD(DJ2,12)=MOD(Summary!$N11,12),(Summary!$L$11*Summary!$P$10*((1+Summary!$K$5)^((DJ2-12-MOD(Summary!$N11,12))/12))),HLOOKUP(DI3,$E$3:$DV11,9,FALSE))))</f>
        <v>3165.9759509765631</v>
      </c>
      <c r="DK11" s="46">
        <f>IF(AND(Summary!$N11&lt;='Cash Flow Statement'!DK$2,'Cash Flow Statement'!DK$2&lt;=Summary!$O11),IF((DK2-Summary!$N11)&lt;12,Summary!$P$10*Summary!$L$11,IF(MOD(DK2,12)=MOD(Summary!$N11,12),(Summary!$L$11*Summary!$P$10*((1+Summary!$K$5)^((DK2-12-MOD(Summary!$N11,12))/12))),HLOOKUP(DJ3,$E$3:$DV11,9,FALSE))))</f>
        <v>3165.9759509765631</v>
      </c>
      <c r="DL11" s="46">
        <f>IF(AND(Summary!$N11&lt;='Cash Flow Statement'!DL$2,'Cash Flow Statement'!DL$2&lt;=Summary!$O11),IF((DL2-Summary!$N11)&lt;12,Summary!$P$10*Summary!$L$11,IF(MOD(DL2,12)=MOD(Summary!$N11,12),(Summary!$L$11*Summary!$P$10*((1+Summary!$K$5)^((DL2-12-MOD(Summary!$N11,12))/12))),HLOOKUP(DK3,$E$3:$DV11,9,FALSE))))</f>
        <v>3324.2747485253908</v>
      </c>
      <c r="DM11" s="46">
        <f>IF(AND(Summary!$N11&lt;='Cash Flow Statement'!DM$2,'Cash Flow Statement'!DM$2&lt;=Summary!$O11),IF((DM2-Summary!$N11)&lt;12,Summary!$P$10*Summary!$L$11,IF(MOD(DM2,12)=MOD(Summary!$N11,12),(Summary!$L$11*Summary!$P$10*((1+Summary!$K$5)^((DM2-12-MOD(Summary!$N11,12))/12))),HLOOKUP(DL3,$E$3:$DV11,9,FALSE))))</f>
        <v>3324.2747485253908</v>
      </c>
      <c r="DN11" s="46">
        <f>IF(AND(Summary!$N11&lt;='Cash Flow Statement'!DN$2,'Cash Flow Statement'!DN$2&lt;=Summary!$O11),IF((DN2-Summary!$N11)&lt;12,Summary!$P$10*Summary!$L$11,IF(MOD(DN2,12)=MOD(Summary!$N11,12),(Summary!$L$11*Summary!$P$10*((1+Summary!$K$5)^((DN2-12-MOD(Summary!$N11,12))/12))),HLOOKUP(DM3,$E$3:$DV11,9,FALSE))))</f>
        <v>3324.2747485253908</v>
      </c>
      <c r="DO11" s="46">
        <f>IF(AND(Summary!$N11&lt;='Cash Flow Statement'!DO$2,'Cash Flow Statement'!DO$2&lt;=Summary!$O11),IF((DO2-Summary!$N11)&lt;12,Summary!$P$10*Summary!$L$11,IF(MOD(DO2,12)=MOD(Summary!$N11,12),(Summary!$L$11*Summary!$P$10*((1+Summary!$K$5)^((DO2-12-MOD(Summary!$N11,12))/12))),HLOOKUP(DN3,$E$3:$DV11,9,FALSE))))</f>
        <v>3324.2747485253908</v>
      </c>
      <c r="DP11" s="46">
        <f>IF(AND(Summary!$N11&lt;='Cash Flow Statement'!DP$2,'Cash Flow Statement'!DP$2&lt;=Summary!$O11),IF((DP2-Summary!$N11)&lt;12,Summary!$P$10*Summary!$L$11,IF(MOD(DP2,12)=MOD(Summary!$N11,12),(Summary!$L$11*Summary!$P$10*((1+Summary!$K$5)^((DP2-12-MOD(Summary!$N11,12))/12))),HLOOKUP(DO3,$E$3:$DV11,9,FALSE))))</f>
        <v>3324.2747485253908</v>
      </c>
      <c r="DQ11" s="46">
        <f>IF(AND(Summary!$N11&lt;='Cash Flow Statement'!DQ$2,'Cash Flow Statement'!DQ$2&lt;=Summary!$O11),IF((DQ2-Summary!$N11)&lt;12,Summary!$P$10*Summary!$L$11,IF(MOD(DQ2,12)=MOD(Summary!$N11,12),(Summary!$L$11*Summary!$P$10*((1+Summary!$K$5)^((DQ2-12-MOD(Summary!$N11,12))/12))),HLOOKUP(DP3,$E$3:$DV11,9,FALSE))))</f>
        <v>3324.2747485253908</v>
      </c>
      <c r="DR11" s="46">
        <f>IF(AND(Summary!$N11&lt;='Cash Flow Statement'!DR$2,'Cash Flow Statement'!DR$2&lt;=Summary!$O11),IF((DR2-Summary!$N11)&lt;12,Summary!$P$10*Summary!$L$11,IF(MOD(DR2,12)=MOD(Summary!$N11,12),(Summary!$L$11*Summary!$P$10*((1+Summary!$K$5)^((DR2-12-MOD(Summary!$N11,12))/12))),HLOOKUP(DQ3,$E$3:$DV11,9,FALSE))))</f>
        <v>3324.2747485253908</v>
      </c>
      <c r="DS11" s="46">
        <f>IF(AND(Summary!$N11&lt;='Cash Flow Statement'!DS$2,'Cash Flow Statement'!DS$2&lt;=Summary!$O11),IF((DS2-Summary!$N11)&lt;12,Summary!$P$10*Summary!$L$11,IF(MOD(DS2,12)=MOD(Summary!$N11,12),(Summary!$L$11*Summary!$P$10*((1+Summary!$K$5)^((DS2-12-MOD(Summary!$N11,12))/12))),HLOOKUP(DR3,$E$3:$DV11,9,FALSE))))</f>
        <v>3324.2747485253908</v>
      </c>
      <c r="DT11" s="46">
        <f>IF(AND(Summary!$N11&lt;='Cash Flow Statement'!DT$2,'Cash Flow Statement'!DT$2&lt;=Summary!$O11),IF((DT2-Summary!$N11)&lt;12,Summary!$P$10*Summary!$L$11,IF(MOD(DT2,12)=MOD(Summary!$N11,12),(Summary!$L$11*Summary!$P$10*((1+Summary!$K$5)^((DT2-12-MOD(Summary!$N11,12))/12))),HLOOKUP(DS3,$E$3:$DV11,9,FALSE))))</f>
        <v>3324.2747485253908</v>
      </c>
      <c r="DU11" s="46">
        <f>IF(AND(Summary!$N11&lt;='Cash Flow Statement'!DU$2,'Cash Flow Statement'!DU$2&lt;=Summary!$O11),IF((DU2-Summary!$N11)&lt;12,Summary!$P$10*Summary!$L$11,IF(MOD(DU2,12)=MOD(Summary!$N11,12),(Summary!$L$11*Summary!$P$10*((1+Summary!$K$5)^((DU2-12-MOD(Summary!$N11,12))/12))),HLOOKUP(DT3,$E$3:$DV11,9,FALSE))))</f>
        <v>3324.2747485253908</v>
      </c>
      <c r="DV11" s="87"/>
    </row>
    <row r="12" spans="1:126 16380:16380" x14ac:dyDescent="0.2">
      <c r="A12" s="88"/>
      <c r="B12" s="89" t="s">
        <v>193</v>
      </c>
      <c r="C12" s="44"/>
      <c r="D12" s="132">
        <f t="shared" si="8"/>
        <v>281095.86288577178</v>
      </c>
      <c r="E12" s="134" t="b">
        <f>IF(AND(Summary!$N12&lt;='Cash Flow Statement'!E$2,'Cash Flow Statement'!E$2&lt;=Summary!$O12),IF((E2-Summary!$N12)&lt;12,Summary!$P$10*Summary!$L$12,IF(MOD(E2,12)=MOD(Summary!$N12,12),(Summary!$L$12*Summary!$P$10*((1+Summary!$K$5)^((E2-12-MOD(Summary!$N12,12))/12))),HLOOKUP(D3,$E$3:$DV12,10,FALSE))))</f>
        <v>0</v>
      </c>
      <c r="F12" s="136" t="b">
        <f>IF(AND(Summary!$N12&lt;='Cash Flow Statement'!F$2,'Cash Flow Statement'!F$2&lt;=Summary!$O12),IF((F2-Summary!$N12)&lt;12,Summary!$P$10*Summary!$L$12,IF(MOD(F2,12)=MOD(Summary!$N12,12),(Summary!$L$12*Summary!$P$10*((1+Summary!$K$5)^((F2-12-MOD(Summary!$N12,12))/12))),HLOOKUP(E3,$E$3:$DV12,10,FALSE))))</f>
        <v>0</v>
      </c>
      <c r="G12" s="46" t="b">
        <f>IF(AND(Summary!$N12&lt;='Cash Flow Statement'!G$2,'Cash Flow Statement'!G$2&lt;=Summary!$O12),IF((G2-Summary!$N12)&lt;12,Summary!$P$10*Summary!$L$12,IF(MOD(G2,12)=MOD(Summary!$N12,12),(Summary!$L$12*Summary!$P$10*((1+Summary!$K$5)^((G2-12-MOD(Summary!$N12,12))/12))),HLOOKUP(F3,$E$3:$DV12,10,FALSE))))</f>
        <v>0</v>
      </c>
      <c r="H12" s="46" t="b">
        <f>IF(AND(Summary!$N12&lt;='Cash Flow Statement'!H$2,'Cash Flow Statement'!H$2&lt;=Summary!$O12),IF((H2-Summary!$N12)&lt;12,Summary!$P$10*Summary!$L$12,IF(MOD(H2,12)=MOD(Summary!$N12,12),(Summary!$L$12*Summary!$P$10*((1+Summary!$K$5)^((H2-12-MOD(Summary!$N12,12))/12))),HLOOKUP(G3,$E$3:$DV12,10,FALSE))))</f>
        <v>0</v>
      </c>
      <c r="I12" s="46" t="b">
        <f>IF(AND(Summary!$N12&lt;='Cash Flow Statement'!I$2,'Cash Flow Statement'!I$2&lt;=Summary!$O12),IF((I2-Summary!$N12)&lt;12,Summary!$P$10*Summary!$L$12,IF(MOD(I2,12)=MOD(Summary!$N12,12),(Summary!$L$12*Summary!$P$10*((1+Summary!$K$5)^((I2-12-MOD(Summary!$N12,12))/12))),HLOOKUP(H3,$E$3:$DV12,10,FALSE))))</f>
        <v>0</v>
      </c>
      <c r="J12" s="46" t="b">
        <f>IF(AND(Summary!$N12&lt;='Cash Flow Statement'!J$2,'Cash Flow Statement'!J$2&lt;=Summary!$O12),IF((J2-Summary!$N12)&lt;12,Summary!$P$10*Summary!$L$12,IF(MOD(J2,12)=MOD(Summary!$N12,12),(Summary!$L$12*Summary!$P$10*((1+Summary!$K$5)^((J2-12-MOD(Summary!$N12,12))/12))),HLOOKUP(I3,$E$3:$DV12,10,FALSE))))</f>
        <v>0</v>
      </c>
      <c r="K12" s="46" t="b">
        <f>IF(AND(Summary!$N12&lt;='Cash Flow Statement'!K$2,'Cash Flow Statement'!K$2&lt;=Summary!$O12),IF((K2-Summary!$N12)&lt;12,Summary!$P$10*Summary!$L$12,IF(MOD(K2,12)=MOD(Summary!$N12,12),(Summary!$L$12*Summary!$P$10*((1+Summary!$K$5)^((K2-12-MOD(Summary!$N12,12))/12))),HLOOKUP(J3,$E$3:$DV12,10,FALSE))))</f>
        <v>0</v>
      </c>
      <c r="L12" s="46" t="b">
        <f>IF(AND(Summary!$N12&lt;='Cash Flow Statement'!L$2,'Cash Flow Statement'!L$2&lt;=Summary!$O12),IF((L2-Summary!$N12)&lt;12,Summary!$P$10*Summary!$L$12,IF(MOD(L2,12)=MOD(Summary!$N12,12),(Summary!$L$12*Summary!$P$10*((1+Summary!$K$5)^((L2-12-MOD(Summary!$N12,12))/12))),HLOOKUP(K3,$E$3:$DV12,10,FALSE))))</f>
        <v>0</v>
      </c>
      <c r="M12" s="46" t="b">
        <f>IF(AND(Summary!$N12&lt;='Cash Flow Statement'!M$2,'Cash Flow Statement'!M$2&lt;=Summary!$O12),IF((M2-Summary!$N12)&lt;12,Summary!$P$10*Summary!$L$12,IF(MOD(M2,12)=MOD(Summary!$N12,12),(Summary!$L$12*Summary!$P$10*((1+Summary!$K$5)^((M2-12-MOD(Summary!$N12,12))/12))),HLOOKUP(L3,$E$3:$DV12,10,FALSE))))</f>
        <v>0</v>
      </c>
      <c r="N12" s="46" t="b">
        <f>IF(AND(Summary!$N12&lt;='Cash Flow Statement'!N$2,'Cash Flow Statement'!N$2&lt;=Summary!$O12),IF((N2-Summary!$N12)&lt;12,Summary!$P$10*Summary!$L$12,IF(MOD(N2,12)=MOD(Summary!$N12,12),(Summary!$L$12*Summary!$P$10*((1+Summary!$K$5)^((N2-12-MOD(Summary!$N12,12))/12))),HLOOKUP(M3,$E$3:$DV12,10,FALSE))))</f>
        <v>0</v>
      </c>
      <c r="O12" s="46" t="b">
        <f>IF(AND(Summary!$N12&lt;='Cash Flow Statement'!O$2,'Cash Flow Statement'!O$2&lt;=Summary!$O12),IF((O2-Summary!$N12)&lt;12,Summary!$P$10*Summary!$L$12,IF(MOD(O2,12)=MOD(Summary!$N12,12),(Summary!$L$12*Summary!$P$10*((1+Summary!$K$5)^((O2-12-MOD(Summary!$N12,12))/12))),HLOOKUP(N3,$E$3:$DV12,10,FALSE))))</f>
        <v>0</v>
      </c>
      <c r="P12" s="46" t="b">
        <f>IF(AND(Summary!$N12&lt;='Cash Flow Statement'!P$2,'Cash Flow Statement'!P$2&lt;=Summary!$O12),IF((P2-Summary!$N12)&lt;12,Summary!$P$10*Summary!$L$12,IF(MOD(P2,12)=MOD(Summary!$N12,12),(Summary!$L$12*Summary!$P$10*((1+Summary!$K$5)^((P2-12-MOD(Summary!$N12,12))/12))),HLOOKUP(O3,$E$3:$DV12,10,FALSE))))</f>
        <v>0</v>
      </c>
      <c r="Q12" s="46" t="b">
        <f>IF(AND(Summary!$N12&lt;='Cash Flow Statement'!Q$2,'Cash Flow Statement'!Q$2&lt;=Summary!$O12),IF((Q2-Summary!$N12)&lt;12,Summary!$P$10*Summary!$L$12,IF(MOD(Q2,12)=MOD(Summary!$N12,12),(Summary!$L$12*Summary!$P$10*((1+Summary!$K$5)^((Q2-12-MOD(Summary!$N12,12))/12))),HLOOKUP(P3,$E$3:$DV12,10,FALSE))))</f>
        <v>0</v>
      </c>
      <c r="R12" s="46" t="b">
        <f>IF(AND(Summary!$N12&lt;='Cash Flow Statement'!R$2,'Cash Flow Statement'!R$2&lt;=Summary!$O12),IF((R2-Summary!$N12)&lt;12,Summary!$P$10*Summary!$L$12,IF(MOD(R2,12)=MOD(Summary!$N12,12),(Summary!$L$12*Summary!$P$10*((1+Summary!$K$5)^((R2-12-MOD(Summary!$N12,12))/12))),HLOOKUP(Q3,$E$3:$DV12,10,FALSE))))</f>
        <v>0</v>
      </c>
      <c r="S12" s="46" t="b">
        <f>IF(AND(Summary!$N12&lt;='Cash Flow Statement'!S$2,'Cash Flow Statement'!S$2&lt;=Summary!$O12),IF((S2-Summary!$N12)&lt;12,Summary!$P$10*Summary!$L$12,IF(MOD(S2,12)=MOD(Summary!$N12,12),(Summary!$L$12*Summary!$P$10*((1+Summary!$K$5)^((S2-12-MOD(Summary!$N12,12))/12))),HLOOKUP(R3,$E$3:$DV12,10,FALSE))))</f>
        <v>0</v>
      </c>
      <c r="T12" s="46" t="b">
        <f>IF(AND(Summary!$N12&lt;='Cash Flow Statement'!T$2,'Cash Flow Statement'!T$2&lt;=Summary!$O12),IF((T2-Summary!$N12)&lt;12,Summary!$P$10*Summary!$L$12,IF(MOD(T2,12)=MOD(Summary!$N12,12),(Summary!$L$12*Summary!$P$10*((1+Summary!$K$5)^((T2-12-MOD(Summary!$N12,12))/12))),HLOOKUP(S3,$E$3:$DV12,10,FALSE))))</f>
        <v>0</v>
      </c>
      <c r="U12" s="46" t="b">
        <f>IF(AND(Summary!$N12&lt;='Cash Flow Statement'!U$2,'Cash Flow Statement'!U$2&lt;=Summary!$O12),IF((U2-Summary!$N12)&lt;12,Summary!$P$10*Summary!$L$12,IF(MOD(U2,12)=MOD(Summary!$N12,12),(Summary!$L$12*Summary!$P$10*((1+Summary!$K$5)^((U2-12-MOD(Summary!$N12,12))/12))),HLOOKUP(T3,$E$3:$DV12,10,FALSE))))</f>
        <v>0</v>
      </c>
      <c r="V12" s="46" t="b">
        <f>IF(AND(Summary!$N12&lt;='Cash Flow Statement'!V$2,'Cash Flow Statement'!V$2&lt;=Summary!$O12),IF((V2-Summary!$N12)&lt;12,Summary!$P$10*Summary!$L$12,IF(MOD(V2,12)=MOD(Summary!$N12,12),(Summary!$L$12*Summary!$P$10*((1+Summary!$K$5)^((V2-12-MOD(Summary!$N12,12))/12))),HLOOKUP(U3,$E$3:$DV12,10,FALSE))))</f>
        <v>0</v>
      </c>
      <c r="W12" s="46">
        <f>IF(AND(Summary!$N12&lt;='Cash Flow Statement'!W$2,'Cash Flow Statement'!W$2&lt;=Summary!$O12),IF((W2-Summary!$N12)&lt;12,Summary!$P$10*Summary!$L$12,IF(MOD(W2,12)=MOD(Summary!$N12,12),(Summary!$L$12*Summary!$P$10*((1+Summary!$K$5)^((W2-12-MOD(Summary!$N12,12))/12))),HLOOKUP(V3,$E$3:$DV12,10,FALSE))))</f>
        <v>2250</v>
      </c>
      <c r="X12" s="46">
        <f>IF(AND(Summary!$N12&lt;='Cash Flow Statement'!X$2,'Cash Flow Statement'!X$2&lt;=Summary!$O12),IF((X2-Summary!$N12)&lt;12,Summary!$P$10*Summary!$L$12,IF(MOD(X2,12)=MOD(Summary!$N12,12),(Summary!$L$12*Summary!$P$10*((1+Summary!$K$5)^((X2-12-MOD(Summary!$N12,12))/12))),HLOOKUP(W3,$E$3:$DV12,10,FALSE))))</f>
        <v>2250</v>
      </c>
      <c r="Y12" s="46">
        <f>IF(AND(Summary!$N12&lt;='Cash Flow Statement'!Y$2,'Cash Flow Statement'!Y$2&lt;=Summary!$O12),IF((Y2-Summary!$N12)&lt;12,Summary!$P$10*Summary!$L$12,IF(MOD(Y2,12)=MOD(Summary!$N12,12),(Summary!$L$12*Summary!$P$10*((1+Summary!$K$5)^((Y2-12-MOD(Summary!$N12,12))/12))),HLOOKUP(X3,$E$3:$DV12,10,FALSE))))</f>
        <v>2250</v>
      </c>
      <c r="Z12" s="46">
        <f>IF(AND(Summary!$N12&lt;='Cash Flow Statement'!Z$2,'Cash Flow Statement'!Z$2&lt;=Summary!$O12),IF((Z2-Summary!$N12)&lt;12,Summary!$P$10*Summary!$L$12,IF(MOD(Z2,12)=MOD(Summary!$N12,12),(Summary!$L$12*Summary!$P$10*((1+Summary!$K$5)^((Z2-12-MOD(Summary!$N12,12))/12))),HLOOKUP(Y3,$E$3:$DV12,10,FALSE))))</f>
        <v>2250</v>
      </c>
      <c r="AA12" s="46">
        <f>IF(AND(Summary!$N12&lt;='Cash Flow Statement'!AA$2,'Cash Flow Statement'!AA$2&lt;=Summary!$O12),IF((AA2-Summary!$N12)&lt;12,Summary!$P$10*Summary!$L$12,IF(MOD(AA2,12)=MOD(Summary!$N12,12),(Summary!$L$12*Summary!$P$10*((1+Summary!$K$5)^((AA2-12-MOD(Summary!$N12,12))/12))),HLOOKUP(Z3,$E$3:$DV12,10,FALSE))))</f>
        <v>2250</v>
      </c>
      <c r="AB12" s="46">
        <f>IF(AND(Summary!$N12&lt;='Cash Flow Statement'!AB$2,'Cash Flow Statement'!AB$2&lt;=Summary!$O12),IF((AB2-Summary!$N12)&lt;12,Summary!$P$10*Summary!$L$12,IF(MOD(AB2,12)=MOD(Summary!$N12,12),(Summary!$L$12*Summary!$P$10*((1+Summary!$K$5)^((AB2-12-MOD(Summary!$N12,12))/12))),HLOOKUP(AA3,$E$3:$DV12,10,FALSE))))</f>
        <v>2250</v>
      </c>
      <c r="AC12" s="46">
        <f>IF(AND(Summary!$N12&lt;='Cash Flow Statement'!AC$2,'Cash Flow Statement'!AC$2&lt;=Summary!$O12),IF((AC2-Summary!$N12)&lt;12,Summary!$P$10*Summary!$L$12,IF(MOD(AC2,12)=MOD(Summary!$N12,12),(Summary!$L$12*Summary!$P$10*((1+Summary!$K$5)^((AC2-12-MOD(Summary!$N12,12))/12))),HLOOKUP(AB3,$E$3:$DV12,10,FALSE))))</f>
        <v>2250</v>
      </c>
      <c r="AD12" s="46">
        <f>IF(AND(Summary!$N12&lt;='Cash Flow Statement'!AD$2,'Cash Flow Statement'!AD$2&lt;=Summary!$O12),IF((AD2-Summary!$N12)&lt;12,Summary!$P$10*Summary!$L$12,IF(MOD(AD2,12)=MOD(Summary!$N12,12),(Summary!$L$12*Summary!$P$10*((1+Summary!$K$5)^((AD2-12-MOD(Summary!$N12,12))/12))),HLOOKUP(AC3,$E$3:$DV12,10,FALSE))))</f>
        <v>2250</v>
      </c>
      <c r="AE12" s="46">
        <f>IF(AND(Summary!$N12&lt;='Cash Flow Statement'!AE$2,'Cash Flow Statement'!AE$2&lt;=Summary!$O12),IF((AE2-Summary!$N12)&lt;12,Summary!$P$10*Summary!$L$12,IF(MOD(AE2,12)=MOD(Summary!$N12,12),(Summary!$L$12*Summary!$P$10*((1+Summary!$K$5)^((AE2-12-MOD(Summary!$N12,12))/12))),HLOOKUP(AD3,$E$3:$DV12,10,FALSE))))</f>
        <v>2250</v>
      </c>
      <c r="AF12" s="46">
        <f>IF(AND(Summary!$N12&lt;='Cash Flow Statement'!AF$2,'Cash Flow Statement'!AF$2&lt;=Summary!$O12),IF((AF2-Summary!$N12)&lt;12,Summary!$P$10*Summary!$L$12,IF(MOD(AF2,12)=MOD(Summary!$N12,12),(Summary!$L$12*Summary!$P$10*((1+Summary!$K$5)^((AF2-12-MOD(Summary!$N12,12))/12))),HLOOKUP(AE3,$E$3:$DV12,10,FALSE))))</f>
        <v>2250</v>
      </c>
      <c r="AG12" s="46">
        <f>IF(AND(Summary!$N12&lt;='Cash Flow Statement'!AG$2,'Cash Flow Statement'!AG$2&lt;=Summary!$O12),IF((AG2-Summary!$N12)&lt;12,Summary!$P$10*Summary!$L$12,IF(MOD(AG2,12)=MOD(Summary!$N12,12),(Summary!$L$12*Summary!$P$10*((1+Summary!$K$5)^((AG2-12-MOD(Summary!$N12,12))/12))),HLOOKUP(AF3,$E$3:$DV12,10,FALSE))))</f>
        <v>2250</v>
      </c>
      <c r="AH12" s="46">
        <f>IF(AND(Summary!$N12&lt;='Cash Flow Statement'!AH$2,'Cash Flow Statement'!AH$2&lt;=Summary!$O12),IF((AH2-Summary!$N12)&lt;12,Summary!$P$10*Summary!$L$12,IF(MOD(AH2,12)=MOD(Summary!$N12,12),(Summary!$L$12*Summary!$P$10*((1+Summary!$K$5)^((AH2-12-MOD(Summary!$N12,12))/12))),HLOOKUP(AG3,$E$3:$DV12,10,FALSE))))</f>
        <v>2250</v>
      </c>
      <c r="AI12" s="46">
        <f>IF(AND(Summary!$N12&lt;='Cash Flow Statement'!AI$2,'Cash Flow Statement'!AI$2&lt;=Summary!$O12),IF((AI2-Summary!$N12)&lt;12,Summary!$P$10*Summary!$L$12,IF(MOD(AI2,12)=MOD(Summary!$N12,12),(Summary!$L$12*Summary!$P$10*((1+Summary!$K$5)^((AI2-12-MOD(Summary!$N12,12))/12))),HLOOKUP(AH3,$E$3:$DV12,10,FALSE))))</f>
        <v>2362.5</v>
      </c>
      <c r="AJ12" s="46">
        <f>IF(AND(Summary!$N12&lt;='Cash Flow Statement'!AJ$2,'Cash Flow Statement'!AJ$2&lt;=Summary!$O12),IF((AJ2-Summary!$N12)&lt;12,Summary!$P$10*Summary!$L$12,IF(MOD(AJ2,12)=MOD(Summary!$N12,12),(Summary!$L$12*Summary!$P$10*((1+Summary!$K$5)^((AJ2-12-MOD(Summary!$N12,12))/12))),HLOOKUP(AI3,$E$3:$DV12,10,FALSE))))</f>
        <v>2362.5</v>
      </c>
      <c r="AK12" s="46">
        <f>IF(AND(Summary!$N12&lt;='Cash Flow Statement'!AK$2,'Cash Flow Statement'!AK$2&lt;=Summary!$O12),IF((AK2-Summary!$N12)&lt;12,Summary!$P$10*Summary!$L$12,IF(MOD(AK2,12)=MOD(Summary!$N12,12),(Summary!$L$12*Summary!$P$10*((1+Summary!$K$5)^((AK2-12-MOD(Summary!$N12,12))/12))),HLOOKUP(AJ3,$E$3:$DV12,10,FALSE))))</f>
        <v>2362.5</v>
      </c>
      <c r="AL12" s="46">
        <f>IF(AND(Summary!$N12&lt;='Cash Flow Statement'!AL$2,'Cash Flow Statement'!AL$2&lt;=Summary!$O12),IF((AL2-Summary!$N12)&lt;12,Summary!$P$10*Summary!$L$12,IF(MOD(AL2,12)=MOD(Summary!$N12,12),(Summary!$L$12*Summary!$P$10*((1+Summary!$K$5)^((AL2-12-MOD(Summary!$N12,12))/12))),HLOOKUP(AK3,$E$3:$DV12,10,FALSE))))</f>
        <v>2362.5</v>
      </c>
      <c r="AM12" s="46">
        <f>IF(AND(Summary!$N12&lt;='Cash Flow Statement'!AM$2,'Cash Flow Statement'!AM$2&lt;=Summary!$O12),IF((AM2-Summary!$N12)&lt;12,Summary!$P$10*Summary!$L$12,IF(MOD(AM2,12)=MOD(Summary!$N12,12),(Summary!$L$12*Summary!$P$10*((1+Summary!$K$5)^((AM2-12-MOD(Summary!$N12,12))/12))),HLOOKUP(AL3,$E$3:$DV12,10,FALSE))))</f>
        <v>2362.5</v>
      </c>
      <c r="AN12" s="46">
        <f>IF(AND(Summary!$N12&lt;='Cash Flow Statement'!AN$2,'Cash Flow Statement'!AN$2&lt;=Summary!$O12),IF((AN2-Summary!$N12)&lt;12,Summary!$P$10*Summary!$L$12,IF(MOD(AN2,12)=MOD(Summary!$N12,12),(Summary!$L$12*Summary!$P$10*((1+Summary!$K$5)^((AN2-12-MOD(Summary!$N12,12))/12))),HLOOKUP(AM3,$E$3:$DV12,10,FALSE))))</f>
        <v>2362.5</v>
      </c>
      <c r="AO12" s="46">
        <f>IF(AND(Summary!$N12&lt;='Cash Flow Statement'!AO$2,'Cash Flow Statement'!AO$2&lt;=Summary!$O12),IF((AO2-Summary!$N12)&lt;12,Summary!$P$10*Summary!$L$12,IF(MOD(AO2,12)=MOD(Summary!$N12,12),(Summary!$L$12*Summary!$P$10*((1+Summary!$K$5)^((AO2-12-MOD(Summary!$N12,12))/12))),HLOOKUP(AN3,$E$3:$DV12,10,FALSE))))</f>
        <v>2362.5</v>
      </c>
      <c r="AP12" s="46">
        <f>IF(AND(Summary!$N12&lt;='Cash Flow Statement'!AP$2,'Cash Flow Statement'!AP$2&lt;=Summary!$O12),IF((AP2-Summary!$N12)&lt;12,Summary!$P$10*Summary!$L$12,IF(MOD(AP2,12)=MOD(Summary!$N12,12),(Summary!$L$12*Summary!$P$10*((1+Summary!$K$5)^((AP2-12-MOD(Summary!$N12,12))/12))),HLOOKUP(AO3,$E$3:$DV12,10,FALSE))))</f>
        <v>2362.5</v>
      </c>
      <c r="AQ12" s="46">
        <f>IF(AND(Summary!$N12&lt;='Cash Flow Statement'!AQ$2,'Cash Flow Statement'!AQ$2&lt;=Summary!$O12),IF((AQ2-Summary!$N12)&lt;12,Summary!$P$10*Summary!$L$12,IF(MOD(AQ2,12)=MOD(Summary!$N12,12),(Summary!$L$12*Summary!$P$10*((1+Summary!$K$5)^((AQ2-12-MOD(Summary!$N12,12))/12))),HLOOKUP(AP3,$E$3:$DV12,10,FALSE))))</f>
        <v>2362.5</v>
      </c>
      <c r="AR12" s="46">
        <f>IF(AND(Summary!$N12&lt;='Cash Flow Statement'!AR$2,'Cash Flow Statement'!AR$2&lt;=Summary!$O12),IF((AR2-Summary!$N12)&lt;12,Summary!$P$10*Summary!$L$12,IF(MOD(AR2,12)=MOD(Summary!$N12,12),(Summary!$L$12*Summary!$P$10*((1+Summary!$K$5)^((AR2-12-MOD(Summary!$N12,12))/12))),HLOOKUP(AQ3,$E$3:$DV12,10,FALSE))))</f>
        <v>2362.5</v>
      </c>
      <c r="AS12" s="46">
        <f>IF(AND(Summary!$N12&lt;='Cash Flow Statement'!AS$2,'Cash Flow Statement'!AS$2&lt;=Summary!$O12),IF((AS2-Summary!$N12)&lt;12,Summary!$P$10*Summary!$L$12,IF(MOD(AS2,12)=MOD(Summary!$N12,12),(Summary!$L$12*Summary!$P$10*((1+Summary!$K$5)^((AS2-12-MOD(Summary!$N12,12))/12))),HLOOKUP(AR3,$E$3:$DV12,10,FALSE))))</f>
        <v>2362.5</v>
      </c>
      <c r="AT12" s="46">
        <f>IF(AND(Summary!$N12&lt;='Cash Flow Statement'!AT$2,'Cash Flow Statement'!AT$2&lt;=Summary!$O12),IF((AT2-Summary!$N12)&lt;12,Summary!$P$10*Summary!$L$12,IF(MOD(AT2,12)=MOD(Summary!$N12,12),(Summary!$L$12*Summary!$P$10*((1+Summary!$K$5)^((AT2-12-MOD(Summary!$N12,12))/12))),HLOOKUP(AS3,$E$3:$DV12,10,FALSE))))</f>
        <v>2362.5</v>
      </c>
      <c r="AU12" s="46">
        <f>IF(AND(Summary!$N12&lt;='Cash Flow Statement'!AU$2,'Cash Flow Statement'!AU$2&lt;=Summary!$O12),IF((AU2-Summary!$N12)&lt;12,Summary!$P$10*Summary!$L$12,IF(MOD(AU2,12)=MOD(Summary!$N12,12),(Summary!$L$12*Summary!$P$10*((1+Summary!$K$5)^((AU2-12-MOD(Summary!$N12,12))/12))),HLOOKUP(AT3,$E$3:$DV12,10,FALSE))))</f>
        <v>2480.625</v>
      </c>
      <c r="AV12" s="46">
        <f>IF(AND(Summary!$N12&lt;='Cash Flow Statement'!AV$2,'Cash Flow Statement'!AV$2&lt;=Summary!$O12),IF((AV2-Summary!$N12)&lt;12,Summary!$P$10*Summary!$L$12,IF(MOD(AV2,12)=MOD(Summary!$N12,12),(Summary!$L$12*Summary!$P$10*((1+Summary!$K$5)^((AV2-12-MOD(Summary!$N12,12))/12))),HLOOKUP(AU3,$E$3:$DV12,10,FALSE))))</f>
        <v>2480.625</v>
      </c>
      <c r="AW12" s="46">
        <f>IF(AND(Summary!$N12&lt;='Cash Flow Statement'!AW$2,'Cash Flow Statement'!AW$2&lt;=Summary!$O12),IF((AW2-Summary!$N12)&lt;12,Summary!$P$10*Summary!$L$12,IF(MOD(AW2,12)=MOD(Summary!$N12,12),(Summary!$L$12*Summary!$P$10*((1+Summary!$K$5)^((AW2-12-MOD(Summary!$N12,12))/12))),HLOOKUP(AV3,$E$3:$DV12,10,FALSE))))</f>
        <v>2480.625</v>
      </c>
      <c r="AX12" s="46">
        <f>IF(AND(Summary!$N12&lt;='Cash Flow Statement'!AX$2,'Cash Flow Statement'!AX$2&lt;=Summary!$O12),IF((AX2-Summary!$N12)&lt;12,Summary!$P$10*Summary!$L$12,IF(MOD(AX2,12)=MOD(Summary!$N12,12),(Summary!$L$12*Summary!$P$10*((1+Summary!$K$5)^((AX2-12-MOD(Summary!$N12,12))/12))),HLOOKUP(AW3,$E$3:$DV12,10,FALSE))))</f>
        <v>2480.625</v>
      </c>
      <c r="AY12" s="46">
        <f>IF(AND(Summary!$N12&lt;='Cash Flow Statement'!AY$2,'Cash Flow Statement'!AY$2&lt;=Summary!$O12),IF((AY2-Summary!$N12)&lt;12,Summary!$P$10*Summary!$L$12,IF(MOD(AY2,12)=MOD(Summary!$N12,12),(Summary!$L$12*Summary!$P$10*((1+Summary!$K$5)^((AY2-12-MOD(Summary!$N12,12))/12))),HLOOKUP(AX3,$E$3:$DV12,10,FALSE))))</f>
        <v>2480.625</v>
      </c>
      <c r="AZ12" s="46">
        <f>IF(AND(Summary!$N12&lt;='Cash Flow Statement'!AZ$2,'Cash Flow Statement'!AZ$2&lt;=Summary!$O12),IF((AZ2-Summary!$N12)&lt;12,Summary!$P$10*Summary!$L$12,IF(MOD(AZ2,12)=MOD(Summary!$N12,12),(Summary!$L$12*Summary!$P$10*((1+Summary!$K$5)^((AZ2-12-MOD(Summary!$N12,12))/12))),HLOOKUP(AY3,$E$3:$DV12,10,FALSE))))</f>
        <v>2480.625</v>
      </c>
      <c r="BA12" s="46">
        <f>IF(AND(Summary!$N12&lt;='Cash Flow Statement'!BA$2,'Cash Flow Statement'!BA$2&lt;=Summary!$O12),IF((BA2-Summary!$N12)&lt;12,Summary!$P$10*Summary!$L$12,IF(MOD(BA2,12)=MOD(Summary!$N12,12),(Summary!$L$12*Summary!$P$10*((1+Summary!$K$5)^((BA2-12-MOD(Summary!$N12,12))/12))),HLOOKUP(AZ3,$E$3:$DV12,10,FALSE))))</f>
        <v>2480.625</v>
      </c>
      <c r="BB12" s="46">
        <f>IF(AND(Summary!$N12&lt;='Cash Flow Statement'!BB$2,'Cash Flow Statement'!BB$2&lt;=Summary!$O12),IF((BB2-Summary!$N12)&lt;12,Summary!$P$10*Summary!$L$12,IF(MOD(BB2,12)=MOD(Summary!$N12,12),(Summary!$L$12*Summary!$P$10*((1+Summary!$K$5)^((BB2-12-MOD(Summary!$N12,12))/12))),HLOOKUP(BA3,$E$3:$DV12,10,FALSE))))</f>
        <v>2480.625</v>
      </c>
      <c r="BC12" s="46">
        <f>IF(AND(Summary!$N12&lt;='Cash Flow Statement'!BC$2,'Cash Flow Statement'!BC$2&lt;=Summary!$O12),IF((BC2-Summary!$N12)&lt;12,Summary!$P$10*Summary!$L$12,IF(MOD(BC2,12)=MOD(Summary!$N12,12),(Summary!$L$12*Summary!$P$10*((1+Summary!$K$5)^((BC2-12-MOD(Summary!$N12,12))/12))),HLOOKUP(BB3,$E$3:$DV12,10,FALSE))))</f>
        <v>2480.625</v>
      </c>
      <c r="BD12" s="46">
        <f>IF(AND(Summary!$N12&lt;='Cash Flow Statement'!BD$2,'Cash Flow Statement'!BD$2&lt;=Summary!$O12),IF((BD2-Summary!$N12)&lt;12,Summary!$P$10*Summary!$L$12,IF(MOD(BD2,12)=MOD(Summary!$N12,12),(Summary!$L$12*Summary!$P$10*((1+Summary!$K$5)^((BD2-12-MOD(Summary!$N12,12))/12))),HLOOKUP(BC3,$E$3:$DV12,10,FALSE))))</f>
        <v>2480.625</v>
      </c>
      <c r="BE12" s="46">
        <f>IF(AND(Summary!$N12&lt;='Cash Flow Statement'!BE$2,'Cash Flow Statement'!BE$2&lt;=Summary!$O12),IF((BE2-Summary!$N12)&lt;12,Summary!$P$10*Summary!$L$12,IF(MOD(BE2,12)=MOD(Summary!$N12,12),(Summary!$L$12*Summary!$P$10*((1+Summary!$K$5)^((BE2-12-MOD(Summary!$N12,12))/12))),HLOOKUP(BD3,$E$3:$DV12,10,FALSE))))</f>
        <v>2480.625</v>
      </c>
      <c r="BF12" s="46">
        <f>IF(AND(Summary!$N12&lt;='Cash Flow Statement'!BF$2,'Cash Flow Statement'!BF$2&lt;=Summary!$O12),IF((BF2-Summary!$N12)&lt;12,Summary!$P$10*Summary!$L$12,IF(MOD(BF2,12)=MOD(Summary!$N12,12),(Summary!$L$12*Summary!$P$10*((1+Summary!$K$5)^((BF2-12-MOD(Summary!$N12,12))/12))),HLOOKUP(BE3,$E$3:$DV12,10,FALSE))))</f>
        <v>2480.625</v>
      </c>
      <c r="BG12" s="46">
        <f>IF(AND(Summary!$N12&lt;='Cash Flow Statement'!BG$2,'Cash Flow Statement'!BG$2&lt;=Summary!$O12),IF((BG2-Summary!$N12)&lt;12,Summary!$P$10*Summary!$L$12,IF(MOD(BG2,12)=MOD(Summary!$N12,12),(Summary!$L$12*Summary!$P$10*((1+Summary!$K$5)^((BG2-12-MOD(Summary!$N12,12))/12))),HLOOKUP(BF3,$E$3:$DV12,10,FALSE))))</f>
        <v>2604.6562500000005</v>
      </c>
      <c r="BH12" s="46">
        <f>IF(AND(Summary!$N12&lt;='Cash Flow Statement'!BH$2,'Cash Flow Statement'!BH$2&lt;=Summary!$O12),IF((BH2-Summary!$N12)&lt;12,Summary!$P$10*Summary!$L$12,IF(MOD(BH2,12)=MOD(Summary!$N12,12),(Summary!$L$12*Summary!$P$10*((1+Summary!$K$5)^((BH2-12-MOD(Summary!$N12,12))/12))),HLOOKUP(BG3,$E$3:$DV12,10,FALSE))))</f>
        <v>2604.6562500000005</v>
      </c>
      <c r="BI12" s="46">
        <f>IF(AND(Summary!$N12&lt;='Cash Flow Statement'!BI$2,'Cash Flow Statement'!BI$2&lt;=Summary!$O12),IF((BI2-Summary!$N12)&lt;12,Summary!$P$10*Summary!$L$12,IF(MOD(BI2,12)=MOD(Summary!$N12,12),(Summary!$L$12*Summary!$P$10*((1+Summary!$K$5)^((BI2-12-MOD(Summary!$N12,12))/12))),HLOOKUP(BH3,$E$3:$DV12,10,FALSE))))</f>
        <v>2604.6562500000005</v>
      </c>
      <c r="BJ12" s="46">
        <f>IF(AND(Summary!$N12&lt;='Cash Flow Statement'!BJ$2,'Cash Flow Statement'!BJ$2&lt;=Summary!$O12),IF((BJ2-Summary!$N12)&lt;12,Summary!$P$10*Summary!$L$12,IF(MOD(BJ2,12)=MOD(Summary!$N12,12),(Summary!$L$12*Summary!$P$10*((1+Summary!$K$5)^((BJ2-12-MOD(Summary!$N12,12))/12))),HLOOKUP(BI3,$E$3:$DV12,10,FALSE))))</f>
        <v>2604.6562500000005</v>
      </c>
      <c r="BK12" s="46">
        <f>IF(AND(Summary!$N12&lt;='Cash Flow Statement'!BK$2,'Cash Flow Statement'!BK$2&lt;=Summary!$O12),IF((BK2-Summary!$N12)&lt;12,Summary!$P$10*Summary!$L$12,IF(MOD(BK2,12)=MOD(Summary!$N12,12),(Summary!$L$12*Summary!$P$10*((1+Summary!$K$5)^((BK2-12-MOD(Summary!$N12,12))/12))),HLOOKUP(BJ3,$E$3:$DV12,10,FALSE))))</f>
        <v>2604.6562500000005</v>
      </c>
      <c r="BL12" s="46">
        <f>IF(AND(Summary!$N12&lt;='Cash Flow Statement'!BL$2,'Cash Flow Statement'!BL$2&lt;=Summary!$O12),IF((BL2-Summary!$N12)&lt;12,Summary!$P$10*Summary!$L$12,IF(MOD(BL2,12)=MOD(Summary!$N12,12),(Summary!$L$12*Summary!$P$10*((1+Summary!$K$5)^((BL2-12-MOD(Summary!$N12,12))/12))),HLOOKUP(BK3,$E$3:$DV12,10,FALSE))))</f>
        <v>2604.6562500000005</v>
      </c>
      <c r="BM12" s="46">
        <f>IF(AND(Summary!$N12&lt;='Cash Flow Statement'!BM$2,'Cash Flow Statement'!BM$2&lt;=Summary!$O12),IF((BM2-Summary!$N12)&lt;12,Summary!$P$10*Summary!$L$12,IF(MOD(BM2,12)=MOD(Summary!$N12,12),(Summary!$L$12*Summary!$P$10*((1+Summary!$K$5)^((BM2-12-MOD(Summary!$N12,12))/12))),HLOOKUP(BL3,$E$3:$DV12,10,FALSE))))</f>
        <v>2604.6562500000005</v>
      </c>
      <c r="BN12" s="46">
        <f>IF(AND(Summary!$N12&lt;='Cash Flow Statement'!BN$2,'Cash Flow Statement'!BN$2&lt;=Summary!$O12),IF((BN2-Summary!$N12)&lt;12,Summary!$P$10*Summary!$L$12,IF(MOD(BN2,12)=MOD(Summary!$N12,12),(Summary!$L$12*Summary!$P$10*((1+Summary!$K$5)^((BN2-12-MOD(Summary!$N12,12))/12))),HLOOKUP(BM3,$E$3:$DV12,10,FALSE))))</f>
        <v>2604.6562500000005</v>
      </c>
      <c r="BO12" s="46">
        <f>IF(AND(Summary!$N12&lt;='Cash Flow Statement'!BO$2,'Cash Flow Statement'!BO$2&lt;=Summary!$O12),IF((BO2-Summary!$N12)&lt;12,Summary!$P$10*Summary!$L$12,IF(MOD(BO2,12)=MOD(Summary!$N12,12),(Summary!$L$12*Summary!$P$10*((1+Summary!$K$5)^((BO2-12-MOD(Summary!$N12,12))/12))),HLOOKUP(BN3,$E$3:$DV12,10,FALSE))))</f>
        <v>2604.6562500000005</v>
      </c>
      <c r="BP12" s="46">
        <f>IF(AND(Summary!$N12&lt;='Cash Flow Statement'!BP$2,'Cash Flow Statement'!BP$2&lt;=Summary!$O12),IF((BP2-Summary!$N12)&lt;12,Summary!$P$10*Summary!$L$12,IF(MOD(BP2,12)=MOD(Summary!$N12,12),(Summary!$L$12*Summary!$P$10*((1+Summary!$K$5)^((BP2-12-MOD(Summary!$N12,12))/12))),HLOOKUP(BO3,$E$3:$DV12,10,FALSE))))</f>
        <v>2604.6562500000005</v>
      </c>
      <c r="BQ12" s="46">
        <f>IF(AND(Summary!$N12&lt;='Cash Flow Statement'!BQ$2,'Cash Flow Statement'!BQ$2&lt;=Summary!$O12),IF((BQ2-Summary!$N12)&lt;12,Summary!$P$10*Summary!$L$12,IF(MOD(BQ2,12)=MOD(Summary!$N12,12),(Summary!$L$12*Summary!$P$10*((1+Summary!$K$5)^((BQ2-12-MOD(Summary!$N12,12))/12))),HLOOKUP(BP3,$E$3:$DV12,10,FALSE))))</f>
        <v>2604.6562500000005</v>
      </c>
      <c r="BR12" s="46">
        <f>IF(AND(Summary!$N12&lt;='Cash Flow Statement'!BR$2,'Cash Flow Statement'!BR$2&lt;=Summary!$O12),IF((BR2-Summary!$N12)&lt;12,Summary!$P$10*Summary!$L$12,IF(MOD(BR2,12)=MOD(Summary!$N12,12),(Summary!$L$12*Summary!$P$10*((1+Summary!$K$5)^((BR2-12-MOD(Summary!$N12,12))/12))),HLOOKUP(BQ3,$E$3:$DV12,10,FALSE))))</f>
        <v>2604.6562500000005</v>
      </c>
      <c r="BS12" s="46">
        <f>IF(AND(Summary!$N12&lt;='Cash Flow Statement'!BS$2,'Cash Flow Statement'!BS$2&lt;=Summary!$O12),IF((BS2-Summary!$N12)&lt;12,Summary!$P$10*Summary!$L$12,IF(MOD(BS2,12)=MOD(Summary!$N12,12),(Summary!$L$12*Summary!$P$10*((1+Summary!$K$5)^((BS2-12-MOD(Summary!$N12,12))/12))),HLOOKUP(BR3,$E$3:$DV12,10,FALSE))))</f>
        <v>2734.8890624999999</v>
      </c>
      <c r="BT12" s="46">
        <f>IF(AND(Summary!$N12&lt;='Cash Flow Statement'!BT$2,'Cash Flow Statement'!BT$2&lt;=Summary!$O12),IF((BT2-Summary!$N12)&lt;12,Summary!$P$10*Summary!$L$12,IF(MOD(BT2,12)=MOD(Summary!$N12,12),(Summary!$L$12*Summary!$P$10*((1+Summary!$K$5)^((BT2-12-MOD(Summary!$N12,12))/12))),HLOOKUP(BS3,$E$3:$DV12,10,FALSE))))</f>
        <v>2734.8890624999999</v>
      </c>
      <c r="BU12" s="46">
        <f>IF(AND(Summary!$N12&lt;='Cash Flow Statement'!BU$2,'Cash Flow Statement'!BU$2&lt;=Summary!$O12),IF((BU2-Summary!$N12)&lt;12,Summary!$P$10*Summary!$L$12,IF(MOD(BU2,12)=MOD(Summary!$N12,12),(Summary!$L$12*Summary!$P$10*((1+Summary!$K$5)^((BU2-12-MOD(Summary!$N12,12))/12))),HLOOKUP(BT3,$E$3:$DV12,10,FALSE))))</f>
        <v>2734.8890624999999</v>
      </c>
      <c r="BV12" s="46">
        <f>IF(AND(Summary!$N12&lt;='Cash Flow Statement'!BV$2,'Cash Flow Statement'!BV$2&lt;=Summary!$O12),IF((BV2-Summary!$N12)&lt;12,Summary!$P$10*Summary!$L$12,IF(MOD(BV2,12)=MOD(Summary!$N12,12),(Summary!$L$12*Summary!$P$10*((1+Summary!$K$5)^((BV2-12-MOD(Summary!$N12,12))/12))),HLOOKUP(BU3,$E$3:$DV12,10,FALSE))))</f>
        <v>2734.8890624999999</v>
      </c>
      <c r="BW12" s="46">
        <f>IF(AND(Summary!$N12&lt;='Cash Flow Statement'!BW$2,'Cash Flow Statement'!BW$2&lt;=Summary!$O12),IF((BW2-Summary!$N12)&lt;12,Summary!$P$10*Summary!$L$12,IF(MOD(BW2,12)=MOD(Summary!$N12,12),(Summary!$L$12*Summary!$P$10*((1+Summary!$K$5)^((BW2-12-MOD(Summary!$N12,12))/12))),HLOOKUP(BV3,$E$3:$DV12,10,FALSE))))</f>
        <v>2734.8890624999999</v>
      </c>
      <c r="BX12" s="46">
        <f>IF(AND(Summary!$N12&lt;='Cash Flow Statement'!BX$2,'Cash Flow Statement'!BX$2&lt;=Summary!$O12),IF((BX2-Summary!$N12)&lt;12,Summary!$P$10*Summary!$L$12,IF(MOD(BX2,12)=MOD(Summary!$N12,12),(Summary!$L$12*Summary!$P$10*((1+Summary!$K$5)^((BX2-12-MOD(Summary!$N12,12))/12))),HLOOKUP(BW3,$E$3:$DV12,10,FALSE))))</f>
        <v>2734.8890624999999</v>
      </c>
      <c r="BY12" s="46">
        <f>IF(AND(Summary!$N12&lt;='Cash Flow Statement'!BY$2,'Cash Flow Statement'!BY$2&lt;=Summary!$O12),IF((BY2-Summary!$N12)&lt;12,Summary!$P$10*Summary!$L$12,IF(MOD(BY2,12)=MOD(Summary!$N12,12),(Summary!$L$12*Summary!$P$10*((1+Summary!$K$5)^((BY2-12-MOD(Summary!$N12,12))/12))),HLOOKUP(BX3,$E$3:$DV12,10,FALSE))))</f>
        <v>2734.8890624999999</v>
      </c>
      <c r="BZ12" s="46">
        <f>IF(AND(Summary!$N12&lt;='Cash Flow Statement'!BZ$2,'Cash Flow Statement'!BZ$2&lt;=Summary!$O12),IF((BZ2-Summary!$N12)&lt;12,Summary!$P$10*Summary!$L$12,IF(MOD(BZ2,12)=MOD(Summary!$N12,12),(Summary!$L$12*Summary!$P$10*((1+Summary!$K$5)^((BZ2-12-MOD(Summary!$N12,12))/12))),HLOOKUP(BY3,$E$3:$DV12,10,FALSE))))</f>
        <v>2734.8890624999999</v>
      </c>
      <c r="CA12" s="46">
        <f>IF(AND(Summary!$N12&lt;='Cash Flow Statement'!CA$2,'Cash Flow Statement'!CA$2&lt;=Summary!$O12),IF((CA2-Summary!$N12)&lt;12,Summary!$P$10*Summary!$L$12,IF(MOD(CA2,12)=MOD(Summary!$N12,12),(Summary!$L$12*Summary!$P$10*((1+Summary!$K$5)^((CA2-12-MOD(Summary!$N12,12))/12))),HLOOKUP(BZ3,$E$3:$DV12,10,FALSE))))</f>
        <v>2734.8890624999999</v>
      </c>
      <c r="CB12" s="46">
        <f>IF(AND(Summary!$N12&lt;='Cash Flow Statement'!CB$2,'Cash Flow Statement'!CB$2&lt;=Summary!$O12),IF((CB2-Summary!$N12)&lt;12,Summary!$P$10*Summary!$L$12,IF(MOD(CB2,12)=MOD(Summary!$N12,12),(Summary!$L$12*Summary!$P$10*((1+Summary!$K$5)^((CB2-12-MOD(Summary!$N12,12))/12))),HLOOKUP(CA3,$E$3:$DV12,10,FALSE))))</f>
        <v>2734.8890624999999</v>
      </c>
      <c r="CC12" s="46">
        <f>IF(AND(Summary!$N12&lt;='Cash Flow Statement'!CC$2,'Cash Flow Statement'!CC$2&lt;=Summary!$O12),IF((CC2-Summary!$N12)&lt;12,Summary!$P$10*Summary!$L$12,IF(MOD(CC2,12)=MOD(Summary!$N12,12),(Summary!$L$12*Summary!$P$10*((1+Summary!$K$5)^((CC2-12-MOD(Summary!$N12,12))/12))),HLOOKUP(CB3,$E$3:$DV12,10,FALSE))))</f>
        <v>2734.8890624999999</v>
      </c>
      <c r="CD12" s="46">
        <f>IF(AND(Summary!$N12&lt;='Cash Flow Statement'!CD$2,'Cash Flow Statement'!CD$2&lt;=Summary!$O12),IF((CD2-Summary!$N12)&lt;12,Summary!$P$10*Summary!$L$12,IF(MOD(CD2,12)=MOD(Summary!$N12,12),(Summary!$L$12*Summary!$P$10*((1+Summary!$K$5)^((CD2-12-MOD(Summary!$N12,12))/12))),HLOOKUP(CC3,$E$3:$DV12,10,FALSE))))</f>
        <v>2734.8890624999999</v>
      </c>
      <c r="CE12" s="46">
        <f>IF(AND(Summary!$N12&lt;='Cash Flow Statement'!CE$2,'Cash Flow Statement'!CE$2&lt;=Summary!$O12),IF((CE2-Summary!$N12)&lt;12,Summary!$P$10*Summary!$L$12,IF(MOD(CE2,12)=MOD(Summary!$N12,12),(Summary!$L$12*Summary!$P$10*((1+Summary!$K$5)^((CE2-12-MOD(Summary!$N12,12))/12))),HLOOKUP(CD3,$E$3:$DV12,10,FALSE))))</f>
        <v>2871.6335156250002</v>
      </c>
      <c r="CF12" s="46">
        <f>IF(AND(Summary!$N12&lt;='Cash Flow Statement'!CF$2,'Cash Flow Statement'!CF$2&lt;=Summary!$O12),IF((CF2-Summary!$N12)&lt;12,Summary!$P$10*Summary!$L$12,IF(MOD(CF2,12)=MOD(Summary!$N12,12),(Summary!$L$12*Summary!$P$10*((1+Summary!$K$5)^((CF2-12-MOD(Summary!$N12,12))/12))),HLOOKUP(CE3,$E$3:$DV12,10,FALSE))))</f>
        <v>2871.6335156250002</v>
      </c>
      <c r="CG12" s="46">
        <f>IF(AND(Summary!$N12&lt;='Cash Flow Statement'!CG$2,'Cash Flow Statement'!CG$2&lt;=Summary!$O12),IF((CG2-Summary!$N12)&lt;12,Summary!$P$10*Summary!$L$12,IF(MOD(CG2,12)=MOD(Summary!$N12,12),(Summary!$L$12*Summary!$P$10*((1+Summary!$K$5)^((CG2-12-MOD(Summary!$N12,12))/12))),HLOOKUP(CF3,$E$3:$DV12,10,FALSE))))</f>
        <v>2871.6335156250002</v>
      </c>
      <c r="CH12" s="46">
        <f>IF(AND(Summary!$N12&lt;='Cash Flow Statement'!CH$2,'Cash Flow Statement'!CH$2&lt;=Summary!$O12),IF((CH2-Summary!$N12)&lt;12,Summary!$P$10*Summary!$L$12,IF(MOD(CH2,12)=MOD(Summary!$N12,12),(Summary!$L$12*Summary!$P$10*((1+Summary!$K$5)^((CH2-12-MOD(Summary!$N12,12))/12))),HLOOKUP(CG3,$E$3:$DV12,10,FALSE))))</f>
        <v>2871.6335156250002</v>
      </c>
      <c r="CI12" s="46">
        <f>IF(AND(Summary!$N12&lt;='Cash Flow Statement'!CI$2,'Cash Flow Statement'!CI$2&lt;=Summary!$O12),IF((CI2-Summary!$N12)&lt;12,Summary!$P$10*Summary!$L$12,IF(MOD(CI2,12)=MOD(Summary!$N12,12),(Summary!$L$12*Summary!$P$10*((1+Summary!$K$5)^((CI2-12-MOD(Summary!$N12,12))/12))),HLOOKUP(CH3,$E$3:$DV12,10,FALSE))))</f>
        <v>2871.6335156250002</v>
      </c>
      <c r="CJ12" s="46">
        <f>IF(AND(Summary!$N12&lt;='Cash Flow Statement'!CJ$2,'Cash Flow Statement'!CJ$2&lt;=Summary!$O12),IF((CJ2-Summary!$N12)&lt;12,Summary!$P$10*Summary!$L$12,IF(MOD(CJ2,12)=MOD(Summary!$N12,12),(Summary!$L$12*Summary!$P$10*((1+Summary!$K$5)^((CJ2-12-MOD(Summary!$N12,12))/12))),HLOOKUP(CI3,$E$3:$DV12,10,FALSE))))</f>
        <v>2871.6335156250002</v>
      </c>
      <c r="CK12" s="46">
        <f>IF(AND(Summary!$N12&lt;='Cash Flow Statement'!CK$2,'Cash Flow Statement'!CK$2&lt;=Summary!$O12),IF((CK2-Summary!$N12)&lt;12,Summary!$P$10*Summary!$L$12,IF(MOD(CK2,12)=MOD(Summary!$N12,12),(Summary!$L$12*Summary!$P$10*((1+Summary!$K$5)^((CK2-12-MOD(Summary!$N12,12))/12))),HLOOKUP(CJ3,$E$3:$DV12,10,FALSE))))</f>
        <v>2871.6335156250002</v>
      </c>
      <c r="CL12" s="46">
        <f>IF(AND(Summary!$N12&lt;='Cash Flow Statement'!CL$2,'Cash Flow Statement'!CL$2&lt;=Summary!$O12),IF((CL2-Summary!$N12)&lt;12,Summary!$P$10*Summary!$L$12,IF(MOD(CL2,12)=MOD(Summary!$N12,12),(Summary!$L$12*Summary!$P$10*((1+Summary!$K$5)^((CL2-12-MOD(Summary!$N12,12))/12))),HLOOKUP(CK3,$E$3:$DV12,10,FALSE))))</f>
        <v>2871.6335156250002</v>
      </c>
      <c r="CM12" s="46">
        <f>IF(AND(Summary!$N12&lt;='Cash Flow Statement'!CM$2,'Cash Flow Statement'!CM$2&lt;=Summary!$O12),IF((CM2-Summary!$N12)&lt;12,Summary!$P$10*Summary!$L$12,IF(MOD(CM2,12)=MOD(Summary!$N12,12),(Summary!$L$12*Summary!$P$10*((1+Summary!$K$5)^((CM2-12-MOD(Summary!$N12,12))/12))),HLOOKUP(CL3,$E$3:$DV12,10,FALSE))))</f>
        <v>2871.6335156250002</v>
      </c>
      <c r="CN12" s="46">
        <f>IF(AND(Summary!$N12&lt;='Cash Flow Statement'!CN$2,'Cash Flow Statement'!CN$2&lt;=Summary!$O12),IF((CN2-Summary!$N12)&lt;12,Summary!$P$10*Summary!$L$12,IF(MOD(CN2,12)=MOD(Summary!$N12,12),(Summary!$L$12*Summary!$P$10*((1+Summary!$K$5)^((CN2-12-MOD(Summary!$N12,12))/12))),HLOOKUP(CM3,$E$3:$DV12,10,FALSE))))</f>
        <v>2871.6335156250002</v>
      </c>
      <c r="CO12" s="46">
        <f>IF(AND(Summary!$N12&lt;='Cash Flow Statement'!CO$2,'Cash Flow Statement'!CO$2&lt;=Summary!$O12),IF((CO2-Summary!$N12)&lt;12,Summary!$P$10*Summary!$L$12,IF(MOD(CO2,12)=MOD(Summary!$N12,12),(Summary!$L$12*Summary!$P$10*((1+Summary!$K$5)^((CO2-12-MOD(Summary!$N12,12))/12))),HLOOKUP(CN3,$E$3:$DV12,10,FALSE))))</f>
        <v>2871.6335156250002</v>
      </c>
      <c r="CP12" s="46">
        <f>IF(AND(Summary!$N12&lt;='Cash Flow Statement'!CP$2,'Cash Flow Statement'!CP$2&lt;=Summary!$O12),IF((CP2-Summary!$N12)&lt;12,Summary!$P$10*Summary!$L$12,IF(MOD(CP2,12)=MOD(Summary!$N12,12),(Summary!$L$12*Summary!$P$10*((1+Summary!$K$5)^((CP2-12-MOD(Summary!$N12,12))/12))),HLOOKUP(CO3,$E$3:$DV12,10,FALSE))))</f>
        <v>2871.6335156250002</v>
      </c>
      <c r="CQ12" s="46">
        <f>IF(AND(Summary!$N12&lt;='Cash Flow Statement'!CQ$2,'Cash Flow Statement'!CQ$2&lt;=Summary!$O12),IF((CQ2-Summary!$N12)&lt;12,Summary!$P$10*Summary!$L$12,IF(MOD(CQ2,12)=MOD(Summary!$N12,12),(Summary!$L$12*Summary!$P$10*((1+Summary!$K$5)^((CQ2-12-MOD(Summary!$N12,12))/12))),HLOOKUP(CP3,$E$3:$DV12,10,FALSE))))</f>
        <v>3015.2151914062501</v>
      </c>
      <c r="CR12" s="46">
        <f>IF(AND(Summary!$N12&lt;='Cash Flow Statement'!CR$2,'Cash Flow Statement'!CR$2&lt;=Summary!$O12),IF((CR2-Summary!$N12)&lt;12,Summary!$P$10*Summary!$L$12,IF(MOD(CR2,12)=MOD(Summary!$N12,12),(Summary!$L$12*Summary!$P$10*((1+Summary!$K$5)^((CR2-12-MOD(Summary!$N12,12))/12))),HLOOKUP(CQ3,$E$3:$DV12,10,FALSE))))</f>
        <v>3015.2151914062501</v>
      </c>
      <c r="CS12" s="46">
        <f>IF(AND(Summary!$N12&lt;='Cash Flow Statement'!CS$2,'Cash Flow Statement'!CS$2&lt;=Summary!$O12),IF((CS2-Summary!$N12)&lt;12,Summary!$P$10*Summary!$L$12,IF(MOD(CS2,12)=MOD(Summary!$N12,12),(Summary!$L$12*Summary!$P$10*((1+Summary!$K$5)^((CS2-12-MOD(Summary!$N12,12))/12))),HLOOKUP(CR3,$E$3:$DV12,10,FALSE))))</f>
        <v>3015.2151914062501</v>
      </c>
      <c r="CT12" s="46">
        <f>IF(AND(Summary!$N12&lt;='Cash Flow Statement'!CT$2,'Cash Flow Statement'!CT$2&lt;=Summary!$O12),IF((CT2-Summary!$N12)&lt;12,Summary!$P$10*Summary!$L$12,IF(MOD(CT2,12)=MOD(Summary!$N12,12),(Summary!$L$12*Summary!$P$10*((1+Summary!$K$5)^((CT2-12-MOD(Summary!$N12,12))/12))),HLOOKUP(CS3,$E$3:$DV12,10,FALSE))))</f>
        <v>3015.2151914062501</v>
      </c>
      <c r="CU12" s="46">
        <f>IF(AND(Summary!$N12&lt;='Cash Flow Statement'!CU$2,'Cash Flow Statement'!CU$2&lt;=Summary!$O12),IF((CU2-Summary!$N12)&lt;12,Summary!$P$10*Summary!$L$12,IF(MOD(CU2,12)=MOD(Summary!$N12,12),(Summary!$L$12*Summary!$P$10*((1+Summary!$K$5)^((CU2-12-MOD(Summary!$N12,12))/12))),HLOOKUP(CT3,$E$3:$DV12,10,FALSE))))</f>
        <v>3015.2151914062501</v>
      </c>
      <c r="CV12" s="46">
        <f>IF(AND(Summary!$N12&lt;='Cash Flow Statement'!CV$2,'Cash Flow Statement'!CV$2&lt;=Summary!$O12),IF((CV2-Summary!$N12)&lt;12,Summary!$P$10*Summary!$L$12,IF(MOD(CV2,12)=MOD(Summary!$N12,12),(Summary!$L$12*Summary!$P$10*((1+Summary!$K$5)^((CV2-12-MOD(Summary!$N12,12))/12))),HLOOKUP(CU3,$E$3:$DV12,10,FALSE))))</f>
        <v>3015.2151914062501</v>
      </c>
      <c r="CW12" s="46">
        <f>IF(AND(Summary!$N12&lt;='Cash Flow Statement'!CW$2,'Cash Flow Statement'!CW$2&lt;=Summary!$O12),IF((CW2-Summary!$N12)&lt;12,Summary!$P$10*Summary!$L$12,IF(MOD(CW2,12)=MOD(Summary!$N12,12),(Summary!$L$12*Summary!$P$10*((1+Summary!$K$5)^((CW2-12-MOD(Summary!$N12,12))/12))),HLOOKUP(CV3,$E$3:$DV12,10,FALSE))))</f>
        <v>3015.2151914062501</v>
      </c>
      <c r="CX12" s="46">
        <f>IF(AND(Summary!$N12&lt;='Cash Flow Statement'!CX$2,'Cash Flow Statement'!CX$2&lt;=Summary!$O12),IF((CX2-Summary!$N12)&lt;12,Summary!$P$10*Summary!$L$12,IF(MOD(CX2,12)=MOD(Summary!$N12,12),(Summary!$L$12*Summary!$P$10*((1+Summary!$K$5)^((CX2-12-MOD(Summary!$N12,12))/12))),HLOOKUP(CW3,$E$3:$DV12,10,FALSE))))</f>
        <v>3015.2151914062501</v>
      </c>
      <c r="CY12" s="46">
        <f>IF(AND(Summary!$N12&lt;='Cash Flow Statement'!CY$2,'Cash Flow Statement'!CY$2&lt;=Summary!$O12),IF((CY2-Summary!$N12)&lt;12,Summary!$P$10*Summary!$L$12,IF(MOD(CY2,12)=MOD(Summary!$N12,12),(Summary!$L$12*Summary!$P$10*((1+Summary!$K$5)^((CY2-12-MOD(Summary!$N12,12))/12))),HLOOKUP(CX3,$E$3:$DV12,10,FALSE))))</f>
        <v>3015.2151914062501</v>
      </c>
      <c r="CZ12" s="46">
        <f>IF(AND(Summary!$N12&lt;='Cash Flow Statement'!CZ$2,'Cash Flow Statement'!CZ$2&lt;=Summary!$O12),IF((CZ2-Summary!$N12)&lt;12,Summary!$P$10*Summary!$L$12,IF(MOD(CZ2,12)=MOD(Summary!$N12,12),(Summary!$L$12*Summary!$P$10*((1+Summary!$K$5)^((CZ2-12-MOD(Summary!$N12,12))/12))),HLOOKUP(CY3,$E$3:$DV12,10,FALSE))))</f>
        <v>3015.2151914062501</v>
      </c>
      <c r="DA12" s="46">
        <f>IF(AND(Summary!$N12&lt;='Cash Flow Statement'!DA$2,'Cash Flow Statement'!DA$2&lt;=Summary!$O12),IF((DA2-Summary!$N12)&lt;12,Summary!$P$10*Summary!$L$12,IF(MOD(DA2,12)=MOD(Summary!$N12,12),(Summary!$L$12*Summary!$P$10*((1+Summary!$K$5)^((DA2-12-MOD(Summary!$N12,12))/12))),HLOOKUP(CZ3,$E$3:$DV12,10,FALSE))))</f>
        <v>3015.2151914062501</v>
      </c>
      <c r="DB12" s="46">
        <f>IF(AND(Summary!$N12&lt;='Cash Flow Statement'!DB$2,'Cash Flow Statement'!DB$2&lt;=Summary!$O12),IF((DB2-Summary!$N12)&lt;12,Summary!$P$10*Summary!$L$12,IF(MOD(DB2,12)=MOD(Summary!$N12,12),(Summary!$L$12*Summary!$P$10*((1+Summary!$K$5)^((DB2-12-MOD(Summary!$N12,12))/12))),HLOOKUP(DA3,$E$3:$DV12,10,FALSE))))</f>
        <v>3015.2151914062501</v>
      </c>
      <c r="DC12" s="46">
        <f>IF(AND(Summary!$N12&lt;='Cash Flow Statement'!DC$2,'Cash Flow Statement'!DC$2&lt;=Summary!$O12),IF((DC2-Summary!$N12)&lt;12,Summary!$P$10*Summary!$L$12,IF(MOD(DC2,12)=MOD(Summary!$N12,12),(Summary!$L$12*Summary!$P$10*((1+Summary!$K$5)^((DC2-12-MOD(Summary!$N12,12))/12))),HLOOKUP(DB3,$E$3:$DV12,10,FALSE))))</f>
        <v>3165.9759509765631</v>
      </c>
      <c r="DD12" s="46">
        <f>IF(AND(Summary!$N12&lt;='Cash Flow Statement'!DD$2,'Cash Flow Statement'!DD$2&lt;=Summary!$O12),IF((DD2-Summary!$N12)&lt;12,Summary!$P$10*Summary!$L$12,IF(MOD(DD2,12)=MOD(Summary!$N12,12),(Summary!$L$12*Summary!$P$10*((1+Summary!$K$5)^((DD2-12-MOD(Summary!$N12,12))/12))),HLOOKUP(DC3,$E$3:$DV12,10,FALSE))))</f>
        <v>3165.9759509765631</v>
      </c>
      <c r="DE12" s="46">
        <f>IF(AND(Summary!$N12&lt;='Cash Flow Statement'!DE$2,'Cash Flow Statement'!DE$2&lt;=Summary!$O12),IF((DE2-Summary!$N12)&lt;12,Summary!$P$10*Summary!$L$12,IF(MOD(DE2,12)=MOD(Summary!$N12,12),(Summary!$L$12*Summary!$P$10*((1+Summary!$K$5)^((DE2-12-MOD(Summary!$N12,12))/12))),HLOOKUP(DD3,$E$3:$DV12,10,FALSE))))</f>
        <v>3165.9759509765631</v>
      </c>
      <c r="DF12" s="46">
        <f>IF(AND(Summary!$N12&lt;='Cash Flow Statement'!DF$2,'Cash Flow Statement'!DF$2&lt;=Summary!$O12),IF((DF2-Summary!$N12)&lt;12,Summary!$P$10*Summary!$L$12,IF(MOD(DF2,12)=MOD(Summary!$N12,12),(Summary!$L$12*Summary!$P$10*((1+Summary!$K$5)^((DF2-12-MOD(Summary!$N12,12))/12))),HLOOKUP(DE3,$E$3:$DV12,10,FALSE))))</f>
        <v>3165.9759509765631</v>
      </c>
      <c r="DG12" s="46">
        <f>IF(AND(Summary!$N12&lt;='Cash Flow Statement'!DG$2,'Cash Flow Statement'!DG$2&lt;=Summary!$O12),IF((DG2-Summary!$N12)&lt;12,Summary!$P$10*Summary!$L$12,IF(MOD(DG2,12)=MOD(Summary!$N12,12),(Summary!$L$12*Summary!$P$10*((1+Summary!$K$5)^((DG2-12-MOD(Summary!$N12,12))/12))),HLOOKUP(DF3,$E$3:$DV12,10,FALSE))))</f>
        <v>3165.9759509765631</v>
      </c>
      <c r="DH12" s="46">
        <f>IF(AND(Summary!$N12&lt;='Cash Flow Statement'!DH$2,'Cash Flow Statement'!DH$2&lt;=Summary!$O12),IF((DH2-Summary!$N12)&lt;12,Summary!$P$10*Summary!$L$12,IF(MOD(DH2,12)=MOD(Summary!$N12,12),(Summary!$L$12*Summary!$P$10*((1+Summary!$K$5)^((DH2-12-MOD(Summary!$N12,12))/12))),HLOOKUP(DG3,$E$3:$DV12,10,FALSE))))</f>
        <v>3165.9759509765631</v>
      </c>
      <c r="DI12" s="46">
        <f>IF(AND(Summary!$N12&lt;='Cash Flow Statement'!DI$2,'Cash Flow Statement'!DI$2&lt;=Summary!$O12),IF((DI2-Summary!$N12)&lt;12,Summary!$P$10*Summary!$L$12,IF(MOD(DI2,12)=MOD(Summary!$N12,12),(Summary!$L$12*Summary!$P$10*((1+Summary!$K$5)^((DI2-12-MOD(Summary!$N12,12))/12))),HLOOKUP(DH3,$E$3:$DV12,10,FALSE))))</f>
        <v>3165.9759509765631</v>
      </c>
      <c r="DJ12" s="46">
        <f>IF(AND(Summary!$N12&lt;='Cash Flow Statement'!DJ$2,'Cash Flow Statement'!DJ$2&lt;=Summary!$O12),IF((DJ2-Summary!$N12)&lt;12,Summary!$P$10*Summary!$L$12,IF(MOD(DJ2,12)=MOD(Summary!$N12,12),(Summary!$L$12*Summary!$P$10*((1+Summary!$K$5)^((DJ2-12-MOD(Summary!$N12,12))/12))),HLOOKUP(DI3,$E$3:$DV12,10,FALSE))))</f>
        <v>3165.9759509765631</v>
      </c>
      <c r="DK12" s="46">
        <f>IF(AND(Summary!$N12&lt;='Cash Flow Statement'!DK$2,'Cash Flow Statement'!DK$2&lt;=Summary!$O12),IF((DK2-Summary!$N12)&lt;12,Summary!$P$10*Summary!$L$12,IF(MOD(DK2,12)=MOD(Summary!$N12,12),(Summary!$L$12*Summary!$P$10*((1+Summary!$K$5)^((DK2-12-MOD(Summary!$N12,12))/12))),HLOOKUP(DJ3,$E$3:$DV12,10,FALSE))))</f>
        <v>3165.9759509765631</v>
      </c>
      <c r="DL12" s="46">
        <f>IF(AND(Summary!$N12&lt;='Cash Flow Statement'!DL$2,'Cash Flow Statement'!DL$2&lt;=Summary!$O12),IF((DL2-Summary!$N12)&lt;12,Summary!$P$10*Summary!$L$12,IF(MOD(DL2,12)=MOD(Summary!$N12,12),(Summary!$L$12*Summary!$P$10*((1+Summary!$K$5)^((DL2-12-MOD(Summary!$N12,12))/12))),HLOOKUP(DK3,$E$3:$DV12,10,FALSE))))</f>
        <v>3165.9759509765631</v>
      </c>
      <c r="DM12" s="46">
        <f>IF(AND(Summary!$N12&lt;='Cash Flow Statement'!DM$2,'Cash Flow Statement'!DM$2&lt;=Summary!$O12),IF((DM2-Summary!$N12)&lt;12,Summary!$P$10*Summary!$L$12,IF(MOD(DM2,12)=MOD(Summary!$N12,12),(Summary!$L$12*Summary!$P$10*((1+Summary!$K$5)^((DM2-12-MOD(Summary!$N12,12))/12))),HLOOKUP(DL3,$E$3:$DV12,10,FALSE))))</f>
        <v>3165.9759509765631</v>
      </c>
      <c r="DN12" s="46">
        <f>IF(AND(Summary!$N12&lt;='Cash Flow Statement'!DN$2,'Cash Flow Statement'!DN$2&lt;=Summary!$O12),IF((DN2-Summary!$N12)&lt;12,Summary!$P$10*Summary!$L$12,IF(MOD(DN2,12)=MOD(Summary!$N12,12),(Summary!$L$12*Summary!$P$10*((1+Summary!$K$5)^((DN2-12-MOD(Summary!$N12,12))/12))),HLOOKUP(DM3,$E$3:$DV12,10,FALSE))))</f>
        <v>3165.9759509765631</v>
      </c>
      <c r="DO12" s="46">
        <f>IF(AND(Summary!$N12&lt;='Cash Flow Statement'!DO$2,'Cash Flow Statement'!DO$2&lt;=Summary!$O12),IF((DO2-Summary!$N12)&lt;12,Summary!$P$10*Summary!$L$12,IF(MOD(DO2,12)=MOD(Summary!$N12,12),(Summary!$L$12*Summary!$P$10*((1+Summary!$K$5)^((DO2-12-MOD(Summary!$N12,12))/12))),HLOOKUP(DN3,$E$3:$DV12,10,FALSE))))</f>
        <v>3324.2747485253908</v>
      </c>
      <c r="DP12" s="46">
        <f>IF(AND(Summary!$N12&lt;='Cash Flow Statement'!DP$2,'Cash Flow Statement'!DP$2&lt;=Summary!$O12),IF((DP2-Summary!$N12)&lt;12,Summary!$P$10*Summary!$L$12,IF(MOD(DP2,12)=MOD(Summary!$N12,12),(Summary!$L$12*Summary!$P$10*((1+Summary!$K$5)^((DP2-12-MOD(Summary!$N12,12))/12))),HLOOKUP(DO3,$E$3:$DV12,10,FALSE))))</f>
        <v>3324.2747485253908</v>
      </c>
      <c r="DQ12" s="46">
        <f>IF(AND(Summary!$N12&lt;='Cash Flow Statement'!DQ$2,'Cash Flow Statement'!DQ$2&lt;=Summary!$O12),IF((DQ2-Summary!$N12)&lt;12,Summary!$P$10*Summary!$L$12,IF(MOD(DQ2,12)=MOD(Summary!$N12,12),(Summary!$L$12*Summary!$P$10*((1+Summary!$K$5)^((DQ2-12-MOD(Summary!$N12,12))/12))),HLOOKUP(DP3,$E$3:$DV12,10,FALSE))))</f>
        <v>3324.2747485253908</v>
      </c>
      <c r="DR12" s="46">
        <f>IF(AND(Summary!$N12&lt;='Cash Flow Statement'!DR$2,'Cash Flow Statement'!DR$2&lt;=Summary!$O12),IF((DR2-Summary!$N12)&lt;12,Summary!$P$10*Summary!$L$12,IF(MOD(DR2,12)=MOD(Summary!$N12,12),(Summary!$L$12*Summary!$P$10*((1+Summary!$K$5)^((DR2-12-MOD(Summary!$N12,12))/12))),HLOOKUP(DQ3,$E$3:$DV12,10,FALSE))))</f>
        <v>3324.2747485253908</v>
      </c>
      <c r="DS12" s="46">
        <f>IF(AND(Summary!$N12&lt;='Cash Flow Statement'!DS$2,'Cash Flow Statement'!DS$2&lt;=Summary!$O12),IF((DS2-Summary!$N12)&lt;12,Summary!$P$10*Summary!$L$12,IF(MOD(DS2,12)=MOD(Summary!$N12,12),(Summary!$L$12*Summary!$P$10*((1+Summary!$K$5)^((DS2-12-MOD(Summary!$N12,12))/12))),HLOOKUP(DR3,$E$3:$DV12,10,FALSE))))</f>
        <v>3324.2747485253908</v>
      </c>
      <c r="DT12" s="46">
        <f>IF(AND(Summary!$N12&lt;='Cash Flow Statement'!DT$2,'Cash Flow Statement'!DT$2&lt;=Summary!$O12),IF((DT2-Summary!$N12)&lt;12,Summary!$P$10*Summary!$L$12,IF(MOD(DT2,12)=MOD(Summary!$N12,12),(Summary!$L$12*Summary!$P$10*((1+Summary!$K$5)^((DT2-12-MOD(Summary!$N12,12))/12))),HLOOKUP(DS3,$E$3:$DV12,10,FALSE))))</f>
        <v>3324.2747485253908</v>
      </c>
      <c r="DU12" s="46">
        <f>IF(AND(Summary!$N12&lt;='Cash Flow Statement'!DU$2,'Cash Flow Statement'!DU$2&lt;=Summary!$O12),IF((DU2-Summary!$N12)&lt;12,Summary!$P$10*Summary!$L$12,IF(MOD(DU2,12)=MOD(Summary!$N12,12),(Summary!$L$12*Summary!$P$10*((1+Summary!$K$5)^((DU2-12-MOD(Summary!$N12,12))/12))),HLOOKUP(DT3,$E$3:$DV12,10,FALSE))))</f>
        <v>3324.2747485253908</v>
      </c>
      <c r="DV12" s="87"/>
    </row>
    <row r="13" spans="1:126 16380:16380" x14ac:dyDescent="0.2">
      <c r="A13" s="88"/>
      <c r="B13" s="89"/>
      <c r="C13" s="44"/>
      <c r="D13" s="132"/>
      <c r="E13" s="133"/>
      <c r="F13" s="13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87"/>
    </row>
    <row r="14" spans="1:126 16380:16380" x14ac:dyDescent="0.2">
      <c r="A14" s="88"/>
      <c r="B14" s="88" t="s">
        <v>88</v>
      </c>
      <c r="C14" s="44"/>
      <c r="D14" s="132"/>
      <c r="E14" s="137"/>
      <c r="F14" s="13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135"/>
    </row>
    <row r="15" spans="1:126 16380:16380" x14ac:dyDescent="0.2">
      <c r="A15" s="88"/>
      <c r="B15" s="89" t="s">
        <v>194</v>
      </c>
      <c r="C15" s="44"/>
      <c r="D15" s="132">
        <f t="shared" ref="D15" si="9">SUM(E15:DU15)</f>
        <v>0</v>
      </c>
      <c r="E15" s="134">
        <f>IF(AND(Summary!$N14&lt;='Cash Flow Statement'!E$2,'Cash Flow Statement'!E$2&lt;=Summary!$O14),IF((E2-Summary!$N14)&lt;12,Summary!$P$13*Summary!$L$14,IF(MOD(E2,12)=MOD(Summary!$N14,12),(Summary!$L$14*Summary!$P$13*((1+Summary!$K$5)^((E2-12-MOD(Summary!$N14,12))/12))),HLOOKUP(D3,$E$3:$DV15,13,FALSE))))</f>
        <v>0</v>
      </c>
      <c r="F15" s="46">
        <f>IF(AND(Summary!$N14&lt;='Cash Flow Statement'!F$2,'Cash Flow Statement'!F$2&lt;=Summary!$O14),IF((F2-Summary!$N14)&lt;12,Summary!$P$13*Summary!$L$14,IF(MOD(F2,12)=MOD(Summary!$N14,12),(Summary!$L$14*Summary!$P$13*((1+Summary!$K$5)^((F2-12-MOD(Summary!$N14,12))/12))),HLOOKUP(E3,$E$3:$DV15,13,FALSE))))</f>
        <v>0</v>
      </c>
      <c r="G15" s="46">
        <f>IF(AND(Summary!$N14&lt;='Cash Flow Statement'!G$2,'Cash Flow Statement'!G$2&lt;=Summary!$O14),IF((G2-Summary!$N14)&lt;12,Summary!$P$13*Summary!$L$14,IF(MOD(G2,12)=MOD(Summary!$N14,12),(Summary!$L$14*Summary!$P$13*((1+Summary!$K$5)^((G2-12-MOD(Summary!$N14,12))/12))),HLOOKUP(F3,$E$3:$DV15,13,FALSE))))</f>
        <v>0</v>
      </c>
      <c r="H15" s="46">
        <f>IF(AND(Summary!$N14&lt;='Cash Flow Statement'!H$2,'Cash Flow Statement'!H$2&lt;=Summary!$O14),IF((H2-Summary!$N14)&lt;12,Summary!$P$13*Summary!$L$14,IF(MOD(H2,12)=MOD(Summary!$N14,12),(Summary!$L$14*Summary!$P$13*((1+Summary!$K$5)^((H2-12-MOD(Summary!$N14,12))/12))),HLOOKUP(G3,$E$3:$DV15,13,FALSE))))</f>
        <v>0</v>
      </c>
      <c r="I15" s="46">
        <f>IF(AND(Summary!$N14&lt;='Cash Flow Statement'!I$2,'Cash Flow Statement'!I$2&lt;=Summary!$O14),IF((I2-Summary!$N14)&lt;12,Summary!$P$13*Summary!$L$14,IF(MOD(I2,12)=MOD(Summary!$N14,12),(Summary!$L$14*Summary!$P$13*((1+Summary!$K$5)^((I2-12-MOD(Summary!$N14,12))/12))),HLOOKUP(H3,$E$3:$DV15,13,FALSE))))</f>
        <v>0</v>
      </c>
      <c r="J15" s="46">
        <f>IF(AND(Summary!$N14&lt;='Cash Flow Statement'!J$2,'Cash Flow Statement'!J$2&lt;=Summary!$O14),IF((J2-Summary!$N14)&lt;12,Summary!$P$13*Summary!$L$14,IF(MOD(J2,12)=MOD(Summary!$N14,12),(Summary!$L$14*Summary!$P$13*((1+Summary!$K$5)^((J2-12-MOD(Summary!$N14,12))/12))),HLOOKUP(I3,$E$3:$DV15,13,FALSE))))</f>
        <v>0</v>
      </c>
      <c r="K15" s="46">
        <f>IF(AND(Summary!$N14&lt;='Cash Flow Statement'!K$2,'Cash Flow Statement'!K$2&lt;=Summary!$O14),IF((K2-Summary!$N14)&lt;12,Summary!$P$13*Summary!$L$14,IF(MOD(K2,12)=MOD(Summary!$N14,12),(Summary!$L$14*Summary!$P$13*((1+Summary!$K$5)^((K2-12-MOD(Summary!$N14,12))/12))),HLOOKUP(J3,$E$3:$DV15,13,FALSE))))</f>
        <v>0</v>
      </c>
      <c r="L15" s="46">
        <f>IF(AND(Summary!$N14&lt;='Cash Flow Statement'!L$2,'Cash Flow Statement'!L$2&lt;=Summary!$O14),IF((L2-Summary!$N14)&lt;12,Summary!$P$13*Summary!$L$14,IF(MOD(L2,12)=MOD(Summary!$N14,12),(Summary!$L$14*Summary!$P$13*((1+Summary!$K$5)^((L2-12-MOD(Summary!$N14,12))/12))),HLOOKUP(K3,$E$3:$DV15,13,FALSE))))</f>
        <v>0</v>
      </c>
      <c r="M15" s="46">
        <f>IF(AND(Summary!$N14&lt;='Cash Flow Statement'!M$2,'Cash Flow Statement'!M$2&lt;=Summary!$O14),IF((M2-Summary!$N14)&lt;12,Summary!$P$13*Summary!$L$14,IF(MOD(M2,12)=MOD(Summary!$N14,12),(Summary!$L$14*Summary!$P$13*((1+Summary!$K$5)^((M2-12-MOD(Summary!$N14,12))/12))),HLOOKUP(L3,$E$3:$DV15,13,FALSE))))</f>
        <v>0</v>
      </c>
      <c r="N15" s="46">
        <f>IF(AND(Summary!$N14&lt;='Cash Flow Statement'!N$2,'Cash Flow Statement'!N$2&lt;=Summary!$O14),IF((N2-Summary!$N14)&lt;12,Summary!$P$13*Summary!$L$14,IF(MOD(N2,12)=MOD(Summary!$N14,12),(Summary!$L$14*Summary!$P$13*((1+Summary!$K$5)^((N2-12-MOD(Summary!$N14,12))/12))),HLOOKUP(M3,$E$3:$DV15,13,FALSE))))</f>
        <v>0</v>
      </c>
      <c r="O15" s="46">
        <f>IF(AND(Summary!$N14&lt;='Cash Flow Statement'!O$2,'Cash Flow Statement'!O$2&lt;=Summary!$O14),IF((O2-Summary!$N14)&lt;12,Summary!$P$13*Summary!$L$14,IF(MOD(O2,12)=MOD(Summary!$N14,12),(Summary!$L$14*Summary!$P$13*((1+Summary!$K$5)^((O2-12-MOD(Summary!$N14,12))/12))),HLOOKUP(N3,$E$3:$DV15,13,FALSE))))</f>
        <v>0</v>
      </c>
      <c r="P15" s="46">
        <f>IF(AND(Summary!$N14&lt;='Cash Flow Statement'!P$2,'Cash Flow Statement'!P$2&lt;=Summary!$O14),IF((P2-Summary!$N14)&lt;12,Summary!$P$13*Summary!$L$14,IF(MOD(P2,12)=MOD(Summary!$N14,12),(Summary!$L$14*Summary!$P$13*((1+Summary!$K$5)^((P2-12-MOD(Summary!$N14,12))/12))),HLOOKUP(O3,$E$3:$DV15,13,FALSE))))</f>
        <v>0</v>
      </c>
      <c r="Q15" s="46">
        <f>IF(AND(Summary!$N14&lt;='Cash Flow Statement'!Q$2,'Cash Flow Statement'!Q$2&lt;=Summary!$O14),IF((Q2-Summary!$N14)&lt;12,Summary!$P$13*Summary!$L$14,IF(MOD(Q2,12)=MOD(Summary!$N14,12),(Summary!$L$14*Summary!$P$13*((1+Summary!$K$5)^((Q2-12-MOD(Summary!$N14,12))/12))),HLOOKUP(P3,$E$3:$DV15,13,FALSE))))</f>
        <v>0</v>
      </c>
      <c r="R15" s="46">
        <f>IF(AND(Summary!$N14&lt;='Cash Flow Statement'!R$2,'Cash Flow Statement'!R$2&lt;=Summary!$O14),IF((R2-Summary!$N14)&lt;12,Summary!$P$13*Summary!$L$14,IF(MOD(R2,12)=MOD(Summary!$N14,12),(Summary!$L$14*Summary!$P$13*((1+Summary!$K$5)^((R2-12-MOD(Summary!$N14,12))/12))),HLOOKUP(Q3,$E$3:$DV15,13,FALSE))))</f>
        <v>0</v>
      </c>
      <c r="S15" s="46">
        <f>IF(AND(Summary!$N14&lt;='Cash Flow Statement'!S$2,'Cash Flow Statement'!S$2&lt;=Summary!$O14),IF((S2-Summary!$N14)&lt;12,Summary!$P$13*Summary!$L$14,IF(MOD(S2,12)=MOD(Summary!$N14,12),(Summary!$L$14*Summary!$P$13*((1+Summary!$K$5)^((S2-12-MOD(Summary!$N14,12))/12))),HLOOKUP(R3,$E$3:$DV15,13,FALSE))))</f>
        <v>0</v>
      </c>
      <c r="T15" s="46">
        <f>IF(AND(Summary!$N14&lt;='Cash Flow Statement'!T$2,'Cash Flow Statement'!T$2&lt;=Summary!$O14),IF((T2-Summary!$N14)&lt;12,Summary!$P$13*Summary!$L$14,IF(MOD(T2,12)=MOD(Summary!$N14,12),(Summary!$L$14*Summary!$P$13*((1+Summary!$K$5)^((T2-12-MOD(Summary!$N14,12))/12))),HLOOKUP(S3,$E$3:$DV15,13,FALSE))))</f>
        <v>0</v>
      </c>
      <c r="U15" s="46">
        <f>IF(AND(Summary!$N14&lt;='Cash Flow Statement'!U$2,'Cash Flow Statement'!U$2&lt;=Summary!$O14),IF((U2-Summary!$N14)&lt;12,Summary!$P$13*Summary!$L$14,IF(MOD(U2,12)=MOD(Summary!$N14,12),(Summary!$L$14*Summary!$P$13*((1+Summary!$K$5)^((U2-12-MOD(Summary!$N14,12))/12))),HLOOKUP(T3,$E$3:$DV15,13,FALSE))))</f>
        <v>0</v>
      </c>
      <c r="V15" s="46">
        <f>IF(AND(Summary!$N14&lt;='Cash Flow Statement'!V$2,'Cash Flow Statement'!V$2&lt;=Summary!$O14),IF((V2-Summary!$N14)&lt;12,Summary!$P$13*Summary!$L$14,IF(MOD(V2,12)=MOD(Summary!$N14,12),(Summary!$L$14*Summary!$P$13*((1+Summary!$K$5)^((V2-12-MOD(Summary!$N14,12))/12))),HLOOKUP(U3,$E$3:$DV15,13,FALSE))))</f>
        <v>0</v>
      </c>
      <c r="W15" s="46">
        <f>IF(AND(Summary!$N14&lt;='Cash Flow Statement'!W$2,'Cash Flow Statement'!W$2&lt;=Summary!$O14),IF((W2-Summary!$N14)&lt;12,Summary!$P$13*Summary!$L$14,IF(MOD(W2,12)=MOD(Summary!$N14,12),(Summary!$L$14*Summary!$P$13*((1+Summary!$K$5)^((W2-12-MOD(Summary!$N14,12))/12))),HLOOKUP(V3,$E$3:$DV15,13,FALSE))))</f>
        <v>0</v>
      </c>
      <c r="X15" s="46">
        <f>IF(AND(Summary!$N14&lt;='Cash Flow Statement'!X$2,'Cash Flow Statement'!X$2&lt;=Summary!$O14),IF((X2-Summary!$N14)&lt;12,Summary!$P$13*Summary!$L$14,IF(MOD(X2,12)=MOD(Summary!$N14,12),(Summary!$L$14*Summary!$P$13*((1+Summary!$K$5)^((X2-12-MOD(Summary!$N14,12))/12))),HLOOKUP(W3,$E$3:$DV15,13,FALSE))))</f>
        <v>0</v>
      </c>
      <c r="Y15" s="46">
        <f>IF(AND(Summary!$N14&lt;='Cash Flow Statement'!Y$2,'Cash Flow Statement'!Y$2&lt;=Summary!$O14),IF((Y2-Summary!$N14)&lt;12,Summary!$P$13*Summary!$L$14,IF(MOD(Y2,12)=MOD(Summary!$N14,12),(Summary!$L$14*Summary!$P$13*((1+Summary!$K$5)^((Y2-12-MOD(Summary!$N14,12))/12))),HLOOKUP(X3,$E$3:$DV15,13,FALSE))))</f>
        <v>0</v>
      </c>
      <c r="Z15" s="46">
        <f>IF(AND(Summary!$N14&lt;='Cash Flow Statement'!Z$2,'Cash Flow Statement'!Z$2&lt;=Summary!$O14),IF((Z2-Summary!$N14)&lt;12,Summary!$P$13*Summary!$L$14,IF(MOD(Z2,12)=MOD(Summary!$N14,12),(Summary!$L$14*Summary!$P$13*((1+Summary!$K$5)^((Z2-12-MOD(Summary!$N14,12))/12))),HLOOKUP(Y3,$E$3:$DV15,13,FALSE))))</f>
        <v>0</v>
      </c>
      <c r="AA15" s="46">
        <f>IF(AND(Summary!$N14&lt;='Cash Flow Statement'!AA$2,'Cash Flow Statement'!AA$2&lt;=Summary!$O14),IF((AA2-Summary!$N14)&lt;12,Summary!$P$13*Summary!$L$14,IF(MOD(AA2,12)=MOD(Summary!$N14,12),(Summary!$L$14*Summary!$P$13*((1+Summary!$K$5)^((AA2-12-MOD(Summary!$N14,12))/12))),HLOOKUP(Z3,$E$3:$DV15,13,FALSE))))</f>
        <v>0</v>
      </c>
      <c r="AB15" s="46">
        <f>IF(AND(Summary!$N14&lt;='Cash Flow Statement'!AB$2,'Cash Flow Statement'!AB$2&lt;=Summary!$O14),IF((AB2-Summary!$N14)&lt;12,Summary!$P$13*Summary!$L$14,IF(MOD(AB2,12)=MOD(Summary!$N14,12),(Summary!$L$14*Summary!$P$13*((1+Summary!$K$5)^((AB2-12-MOD(Summary!$N14,12))/12))),HLOOKUP(AA3,$E$3:$DV15,13,FALSE))))</f>
        <v>0</v>
      </c>
      <c r="AC15" s="46">
        <f>IF(AND(Summary!$N14&lt;='Cash Flow Statement'!AC$2,'Cash Flow Statement'!AC$2&lt;=Summary!$O14),IF((AC2-Summary!$N14)&lt;12,Summary!$P$13*Summary!$L$14,IF(MOD(AC2,12)=MOD(Summary!$N14,12),(Summary!$L$14*Summary!$P$13*((1+Summary!$K$5)^((AC2-12-MOD(Summary!$N14,12))/12))),HLOOKUP(AB3,$E$3:$DV15,13,FALSE))))</f>
        <v>0</v>
      </c>
      <c r="AD15" s="46">
        <f>IF(AND(Summary!$N14&lt;='Cash Flow Statement'!AD$2,'Cash Flow Statement'!AD$2&lt;=Summary!$O14),IF((AD2-Summary!$N14)&lt;12,Summary!$P$13*Summary!$L$14,IF(MOD(AD2,12)=MOD(Summary!$N14,12),(Summary!$L$14*Summary!$P$13*((1+Summary!$K$5)^((AD2-12-MOD(Summary!$N14,12))/12))),HLOOKUP(AC3,$E$3:$DV15,13,FALSE))))</f>
        <v>0</v>
      </c>
      <c r="AE15" s="46">
        <f>IF(AND(Summary!$N14&lt;='Cash Flow Statement'!AE$2,'Cash Flow Statement'!AE$2&lt;=Summary!$O14),IF((AE2-Summary!$N14)&lt;12,Summary!$P$13*Summary!$L$14,IF(MOD(AE2,12)=MOD(Summary!$N14,12),(Summary!$L$14*Summary!$P$13*((1+Summary!$K$5)^((AE2-12-MOD(Summary!$N14,12))/12))),HLOOKUP(AD3,$E$3:$DV15,13,FALSE))))</f>
        <v>0</v>
      </c>
      <c r="AF15" s="46">
        <f>IF(AND(Summary!$N14&lt;='Cash Flow Statement'!AF$2,'Cash Flow Statement'!AF$2&lt;=Summary!$O14),IF((AF2-Summary!$N14)&lt;12,Summary!$P$13*Summary!$L$14,IF(MOD(AF2,12)=MOD(Summary!$N14,12),(Summary!$L$14*Summary!$P$13*((1+Summary!$K$5)^((AF2-12-MOD(Summary!$N14,12))/12))),HLOOKUP(AE3,$E$3:$DV15,13,FALSE))))</f>
        <v>0</v>
      </c>
      <c r="AG15" s="46">
        <f>IF(AND(Summary!$N14&lt;='Cash Flow Statement'!AG$2,'Cash Flow Statement'!AG$2&lt;=Summary!$O14),IF((AG2-Summary!$N14)&lt;12,Summary!$P$13*Summary!$L$14,IF(MOD(AG2,12)=MOD(Summary!$N14,12),(Summary!$L$14*Summary!$P$13*((1+Summary!$K$5)^((AG2-12-MOD(Summary!$N14,12))/12))),HLOOKUP(AF3,$E$3:$DV15,13,FALSE))))</f>
        <v>0</v>
      </c>
      <c r="AH15" s="46">
        <f>IF(AND(Summary!$N14&lt;='Cash Flow Statement'!AH$2,'Cash Flow Statement'!AH$2&lt;=Summary!$O14),IF((AH2-Summary!$N14)&lt;12,Summary!$P$13*Summary!$L$14,IF(MOD(AH2,12)=MOD(Summary!$N14,12),(Summary!$L$14*Summary!$P$13*((1+Summary!$K$5)^((AH2-12-MOD(Summary!$N14,12))/12))),HLOOKUP(AG3,$E$3:$DV15,13,FALSE))))</f>
        <v>0</v>
      </c>
      <c r="AI15" s="46">
        <f>IF(AND(Summary!$N14&lt;='Cash Flow Statement'!AI$2,'Cash Flow Statement'!AI$2&lt;=Summary!$O14),IF((AI2-Summary!$N14)&lt;12,Summary!$P$13*Summary!$L$14,IF(MOD(AI2,12)=MOD(Summary!$N14,12),(Summary!$L$14*Summary!$P$13*((1+Summary!$K$5)^((AI2-12-MOD(Summary!$N14,12))/12))),HLOOKUP(AH3,$E$3:$DV15,13,FALSE))))</f>
        <v>0</v>
      </c>
      <c r="AJ15" s="46">
        <f>IF(AND(Summary!$N14&lt;='Cash Flow Statement'!AJ$2,'Cash Flow Statement'!AJ$2&lt;=Summary!$O14),IF((AJ2-Summary!$N14)&lt;12,Summary!$P$13*Summary!$L$14,IF(MOD(AJ2,12)=MOD(Summary!$N14,12),(Summary!$L$14*Summary!$P$13*((1+Summary!$K$5)^((AJ2-12-MOD(Summary!$N14,12))/12))),HLOOKUP(AI3,$E$3:$DV15,13,FALSE))))</f>
        <v>0</v>
      </c>
      <c r="AK15" s="46">
        <f>IF(AND(Summary!$N14&lt;='Cash Flow Statement'!AK$2,'Cash Flow Statement'!AK$2&lt;=Summary!$O14),IF((AK2-Summary!$N14)&lt;12,Summary!$P$13*Summary!$L$14,IF(MOD(AK2,12)=MOD(Summary!$N14,12),(Summary!$L$14*Summary!$P$13*((1+Summary!$K$5)^((AK2-12-MOD(Summary!$N14,12))/12))),HLOOKUP(AJ3,$E$3:$DV15,13,FALSE))))</f>
        <v>0</v>
      </c>
      <c r="AL15" s="46">
        <f>IF(AND(Summary!$N14&lt;='Cash Flow Statement'!AL$2,'Cash Flow Statement'!AL$2&lt;=Summary!$O14),IF((AL2-Summary!$N14)&lt;12,Summary!$P$13*Summary!$L$14,IF(MOD(AL2,12)=MOD(Summary!$N14,12),(Summary!$L$14*Summary!$P$13*((1+Summary!$K$5)^((AL2-12-MOD(Summary!$N14,12))/12))),HLOOKUP(AK3,$E$3:$DV15,13,FALSE))))</f>
        <v>0</v>
      </c>
      <c r="AM15" s="46">
        <f>IF(AND(Summary!$N14&lt;='Cash Flow Statement'!AM$2,'Cash Flow Statement'!AM$2&lt;=Summary!$O14),IF((AM2-Summary!$N14)&lt;12,Summary!$P$13*Summary!$L$14,IF(MOD(AM2,12)=MOD(Summary!$N14,12),(Summary!$L$14*Summary!$P$13*((1+Summary!$K$5)^((AM2-12-MOD(Summary!$N14,12))/12))),HLOOKUP(AL3,$E$3:$DV15,13,FALSE))))</f>
        <v>0</v>
      </c>
      <c r="AN15" s="46">
        <f>IF(AND(Summary!$N14&lt;='Cash Flow Statement'!AN$2,'Cash Flow Statement'!AN$2&lt;=Summary!$O14),IF((AN2-Summary!$N14)&lt;12,Summary!$P$13*Summary!$L$14,IF(MOD(AN2,12)=MOD(Summary!$N14,12),(Summary!$L$14*Summary!$P$13*((1+Summary!$K$5)^((AN2-12-MOD(Summary!$N14,12))/12))),HLOOKUP(AM3,$E$3:$DV15,13,FALSE))))</f>
        <v>0</v>
      </c>
      <c r="AO15" s="46">
        <f>IF(AND(Summary!$N14&lt;='Cash Flow Statement'!AO$2,'Cash Flow Statement'!AO$2&lt;=Summary!$O14),IF((AO2-Summary!$N14)&lt;12,Summary!$P$13*Summary!$L$14,IF(MOD(AO2,12)=MOD(Summary!$N14,12),(Summary!$L$14*Summary!$P$13*((1+Summary!$K$5)^((AO2-12-MOD(Summary!$N14,12))/12))),HLOOKUP(AN3,$E$3:$DV15,13,FALSE))))</f>
        <v>0</v>
      </c>
      <c r="AP15" s="46">
        <f>IF(AND(Summary!$N14&lt;='Cash Flow Statement'!AP$2,'Cash Flow Statement'!AP$2&lt;=Summary!$O14),IF((AP2-Summary!$N14)&lt;12,Summary!$P$13*Summary!$L$14,IF(MOD(AP2,12)=MOD(Summary!$N14,12),(Summary!$L$14*Summary!$P$13*((1+Summary!$K$5)^((AP2-12-MOD(Summary!$N14,12))/12))),HLOOKUP(AO3,$E$3:$DV15,13,FALSE))))</f>
        <v>0</v>
      </c>
      <c r="AQ15" s="46">
        <f>IF(AND(Summary!$N14&lt;='Cash Flow Statement'!AQ$2,'Cash Flow Statement'!AQ$2&lt;=Summary!$O14),IF((AQ2-Summary!$N14)&lt;12,Summary!$P$13*Summary!$L$14,IF(MOD(AQ2,12)=MOD(Summary!$N14,12),(Summary!$L$14*Summary!$P$13*((1+Summary!$K$5)^((AQ2-12-MOD(Summary!$N14,12))/12))),HLOOKUP(AP3,$E$3:$DV15,13,FALSE))))</f>
        <v>0</v>
      </c>
      <c r="AR15" s="46">
        <f>IF(AND(Summary!$N14&lt;='Cash Flow Statement'!AR$2,'Cash Flow Statement'!AR$2&lt;=Summary!$O14),IF((AR2-Summary!$N14)&lt;12,Summary!$P$13*Summary!$L$14,IF(MOD(AR2,12)=MOD(Summary!$N14,12),(Summary!$L$14*Summary!$P$13*((1+Summary!$K$5)^((AR2-12-MOD(Summary!$N14,12))/12))),HLOOKUP(AQ3,$E$3:$DV15,13,FALSE))))</f>
        <v>0</v>
      </c>
      <c r="AS15" s="46">
        <f>IF(AND(Summary!$N14&lt;='Cash Flow Statement'!AS$2,'Cash Flow Statement'!AS$2&lt;=Summary!$O14),IF((AS2-Summary!$N14)&lt;12,Summary!$P$13*Summary!$L$14,IF(MOD(AS2,12)=MOD(Summary!$N14,12),(Summary!$L$14*Summary!$P$13*((1+Summary!$K$5)^((AS2-12-MOD(Summary!$N14,12))/12))),HLOOKUP(AR3,$E$3:$DV15,13,FALSE))))</f>
        <v>0</v>
      </c>
      <c r="AT15" s="46">
        <f>IF(AND(Summary!$N14&lt;='Cash Flow Statement'!AT$2,'Cash Flow Statement'!AT$2&lt;=Summary!$O14),IF((AT2-Summary!$N14)&lt;12,Summary!$P$13*Summary!$L$14,IF(MOD(AT2,12)=MOD(Summary!$N14,12),(Summary!$L$14*Summary!$P$13*((1+Summary!$K$5)^((AT2-12-MOD(Summary!$N14,12))/12))),HLOOKUP(AS3,$E$3:$DV15,13,FALSE))))</f>
        <v>0</v>
      </c>
      <c r="AU15" s="46">
        <f>IF(AND(Summary!$N14&lt;='Cash Flow Statement'!AU$2,'Cash Flow Statement'!AU$2&lt;=Summary!$O14),IF((AU2-Summary!$N14)&lt;12,Summary!$P$13*Summary!$L$14,IF(MOD(AU2,12)=MOD(Summary!$N14,12),(Summary!$L$14*Summary!$P$13*((1+Summary!$K$5)^((AU2-12-MOD(Summary!$N14,12))/12))),HLOOKUP(AT3,$E$3:$DV15,13,FALSE))))</f>
        <v>0</v>
      </c>
      <c r="AV15" s="46">
        <f>IF(AND(Summary!$N14&lt;='Cash Flow Statement'!AV$2,'Cash Flow Statement'!AV$2&lt;=Summary!$O14),IF((AV2-Summary!$N14)&lt;12,Summary!$P$13*Summary!$L$14,IF(MOD(AV2,12)=MOD(Summary!$N14,12),(Summary!$L$14*Summary!$P$13*((1+Summary!$K$5)^((AV2-12-MOD(Summary!$N14,12))/12))),HLOOKUP(AU3,$E$3:$DV15,13,FALSE))))</f>
        <v>0</v>
      </c>
      <c r="AW15" s="46">
        <f>IF(AND(Summary!$N14&lt;='Cash Flow Statement'!AW$2,'Cash Flow Statement'!AW$2&lt;=Summary!$O14),IF((AW2-Summary!$N14)&lt;12,Summary!$P$13*Summary!$L$14,IF(MOD(AW2,12)=MOD(Summary!$N14,12),(Summary!$L$14*Summary!$P$13*((1+Summary!$K$5)^((AW2-12-MOD(Summary!$N14,12))/12))),HLOOKUP(AV3,$E$3:$DV15,13,FALSE))))</f>
        <v>0</v>
      </c>
      <c r="AX15" s="46">
        <f>IF(AND(Summary!$N14&lt;='Cash Flow Statement'!AX$2,'Cash Flow Statement'!AX$2&lt;=Summary!$O14),IF((AX2-Summary!$N14)&lt;12,Summary!$P$13*Summary!$L$14,IF(MOD(AX2,12)=MOD(Summary!$N14,12),(Summary!$L$14*Summary!$P$13*((1+Summary!$K$5)^((AX2-12-MOD(Summary!$N14,12))/12))),HLOOKUP(AW3,$E$3:$DV15,13,FALSE))))</f>
        <v>0</v>
      </c>
      <c r="AY15" s="46">
        <f>IF(AND(Summary!$N14&lt;='Cash Flow Statement'!AY$2,'Cash Flow Statement'!AY$2&lt;=Summary!$O14),IF((AY2-Summary!$N14)&lt;12,Summary!$P$13*Summary!$L$14,IF(MOD(AY2,12)=MOD(Summary!$N14,12),(Summary!$L$14*Summary!$P$13*((1+Summary!$K$5)^((AY2-12-MOD(Summary!$N14,12))/12))),HLOOKUP(AX3,$E$3:$DV15,13,FALSE))))</f>
        <v>0</v>
      </c>
      <c r="AZ15" s="46">
        <f>IF(AND(Summary!$N14&lt;='Cash Flow Statement'!AZ$2,'Cash Flow Statement'!AZ$2&lt;=Summary!$O14),IF((AZ2-Summary!$N14)&lt;12,Summary!$P$13*Summary!$L$14,IF(MOD(AZ2,12)=MOD(Summary!$N14,12),(Summary!$L$14*Summary!$P$13*((1+Summary!$K$5)^((AZ2-12-MOD(Summary!$N14,12))/12))),HLOOKUP(AY3,$E$3:$DV15,13,FALSE))))</f>
        <v>0</v>
      </c>
      <c r="BA15" s="46">
        <f>IF(AND(Summary!$N14&lt;='Cash Flow Statement'!BA$2,'Cash Flow Statement'!BA$2&lt;=Summary!$O14),IF((BA2-Summary!$N14)&lt;12,Summary!$P$13*Summary!$L$14,IF(MOD(BA2,12)=MOD(Summary!$N14,12),(Summary!$L$14*Summary!$P$13*((1+Summary!$K$5)^((BA2-12-MOD(Summary!$N14,12))/12))),HLOOKUP(AZ3,$E$3:$DV15,13,FALSE))))</f>
        <v>0</v>
      </c>
      <c r="BB15" s="46">
        <f>IF(AND(Summary!$N14&lt;='Cash Flow Statement'!BB$2,'Cash Flow Statement'!BB$2&lt;=Summary!$O14),IF((BB2-Summary!$N14)&lt;12,Summary!$P$13*Summary!$L$14,IF(MOD(BB2,12)=MOD(Summary!$N14,12),(Summary!$L$14*Summary!$P$13*((1+Summary!$K$5)^((BB2-12-MOD(Summary!$N14,12))/12))),HLOOKUP(BA3,$E$3:$DV15,13,FALSE))))</f>
        <v>0</v>
      </c>
      <c r="BC15" s="46">
        <f>IF(AND(Summary!$N14&lt;='Cash Flow Statement'!BC$2,'Cash Flow Statement'!BC$2&lt;=Summary!$O14),IF((BC2-Summary!$N14)&lt;12,Summary!$P$13*Summary!$L$14,IF(MOD(BC2,12)=MOD(Summary!$N14,12),(Summary!$L$14*Summary!$P$13*((1+Summary!$K$5)^((BC2-12-MOD(Summary!$N14,12))/12))),HLOOKUP(BB3,$E$3:$DV15,13,FALSE))))</f>
        <v>0</v>
      </c>
      <c r="BD15" s="46">
        <f>IF(AND(Summary!$N14&lt;='Cash Flow Statement'!BD$2,'Cash Flow Statement'!BD$2&lt;=Summary!$O14),IF((BD2-Summary!$N14)&lt;12,Summary!$P$13*Summary!$L$14,IF(MOD(BD2,12)=MOD(Summary!$N14,12),(Summary!$L$14*Summary!$P$13*((1+Summary!$K$5)^((BD2-12-MOD(Summary!$N14,12))/12))),HLOOKUP(BC3,$E$3:$DV15,13,FALSE))))</f>
        <v>0</v>
      </c>
      <c r="BE15" s="46">
        <f>IF(AND(Summary!$N14&lt;='Cash Flow Statement'!BE$2,'Cash Flow Statement'!BE$2&lt;=Summary!$O14),IF((BE2-Summary!$N14)&lt;12,Summary!$P$13*Summary!$L$14,IF(MOD(BE2,12)=MOD(Summary!$N14,12),(Summary!$L$14*Summary!$P$13*((1+Summary!$K$5)^((BE2-12-MOD(Summary!$N14,12))/12))),HLOOKUP(BD3,$E$3:$DV15,13,FALSE))))</f>
        <v>0</v>
      </c>
      <c r="BF15" s="46">
        <f>IF(AND(Summary!$N14&lt;='Cash Flow Statement'!BF$2,'Cash Flow Statement'!BF$2&lt;=Summary!$O14),IF((BF2-Summary!$N14)&lt;12,Summary!$P$13*Summary!$L$14,IF(MOD(BF2,12)=MOD(Summary!$N14,12),(Summary!$L$14*Summary!$P$13*((1+Summary!$K$5)^((BF2-12-MOD(Summary!$N14,12))/12))),HLOOKUP(BE3,$E$3:$DV15,13,FALSE))))</f>
        <v>0</v>
      </c>
      <c r="BG15" s="46">
        <f>IF(AND(Summary!$N14&lt;='Cash Flow Statement'!BG$2,'Cash Flow Statement'!BG$2&lt;=Summary!$O14),IF((BG2-Summary!$N14)&lt;12,Summary!$P$13*Summary!$L$14,IF(MOD(BG2,12)=MOD(Summary!$N14,12),(Summary!$L$14*Summary!$P$13*((1+Summary!$K$5)^((BG2-12-MOD(Summary!$N14,12))/12))),HLOOKUP(BF3,$E$3:$DV15,13,FALSE))))</f>
        <v>0</v>
      </c>
      <c r="BH15" s="46">
        <f>IF(AND(Summary!$N14&lt;='Cash Flow Statement'!BH$2,'Cash Flow Statement'!BH$2&lt;=Summary!$O14),IF((BH2-Summary!$N14)&lt;12,Summary!$P$13*Summary!$L$14,IF(MOD(BH2,12)=MOD(Summary!$N14,12),(Summary!$L$14*Summary!$P$13*((1+Summary!$K$5)^((BH2-12-MOD(Summary!$N14,12))/12))),HLOOKUP(BG3,$E$3:$DV15,13,FALSE))))</f>
        <v>0</v>
      </c>
      <c r="BI15" s="46">
        <f>IF(AND(Summary!$N14&lt;='Cash Flow Statement'!BI$2,'Cash Flow Statement'!BI$2&lt;=Summary!$O14),IF((BI2-Summary!$N14)&lt;12,Summary!$P$13*Summary!$L$14,IF(MOD(BI2,12)=MOD(Summary!$N14,12),(Summary!$L$14*Summary!$P$13*((1+Summary!$K$5)^((BI2-12-MOD(Summary!$N14,12))/12))),HLOOKUP(BH3,$E$3:$DV15,13,FALSE))))</f>
        <v>0</v>
      </c>
      <c r="BJ15" s="46">
        <f>IF(AND(Summary!$N14&lt;='Cash Flow Statement'!BJ$2,'Cash Flow Statement'!BJ$2&lt;=Summary!$O14),IF((BJ2-Summary!$N14)&lt;12,Summary!$P$13*Summary!$L$14,IF(MOD(BJ2,12)=MOD(Summary!$N14,12),(Summary!$L$14*Summary!$P$13*((1+Summary!$K$5)^((BJ2-12-MOD(Summary!$N14,12))/12))),HLOOKUP(BI3,$E$3:$DV15,13,FALSE))))</f>
        <v>0</v>
      </c>
      <c r="BK15" s="46">
        <f>IF(AND(Summary!$N14&lt;='Cash Flow Statement'!BK$2,'Cash Flow Statement'!BK$2&lt;=Summary!$O14),IF((BK2-Summary!$N14)&lt;12,Summary!$P$13*Summary!$L$14,IF(MOD(BK2,12)=MOD(Summary!$N14,12),(Summary!$L$14*Summary!$P$13*((1+Summary!$K$5)^((BK2-12-MOD(Summary!$N14,12))/12))),HLOOKUP(BJ3,$E$3:$DV15,13,FALSE))))</f>
        <v>0</v>
      </c>
      <c r="BL15" s="46">
        <f>IF(AND(Summary!$N14&lt;='Cash Flow Statement'!BL$2,'Cash Flow Statement'!BL$2&lt;=Summary!$O14),IF((BL2-Summary!$N14)&lt;12,Summary!$P$13*Summary!$L$14,IF(MOD(BL2,12)=MOD(Summary!$N14,12),(Summary!$L$14*Summary!$P$13*((1+Summary!$K$5)^((BL2-12-MOD(Summary!$N14,12))/12))),HLOOKUP(BK3,$E$3:$DV15,13,FALSE))))</f>
        <v>0</v>
      </c>
      <c r="BM15" s="46">
        <f>IF(AND(Summary!$N14&lt;='Cash Flow Statement'!BM$2,'Cash Flow Statement'!BM$2&lt;=Summary!$O14),IF((BM2-Summary!$N14)&lt;12,Summary!$P$13*Summary!$L$14,IF(MOD(BM2,12)=MOD(Summary!$N14,12),(Summary!$L$14*Summary!$P$13*((1+Summary!$K$5)^((BM2-12-MOD(Summary!$N14,12))/12))),HLOOKUP(BL3,$E$3:$DV15,13,FALSE))))</f>
        <v>0</v>
      </c>
      <c r="BN15" s="46">
        <f>IF(AND(Summary!$N14&lt;='Cash Flow Statement'!BN$2,'Cash Flow Statement'!BN$2&lt;=Summary!$O14),IF((BN2-Summary!$N14)&lt;12,Summary!$P$13*Summary!$L$14,IF(MOD(BN2,12)=MOD(Summary!$N14,12),(Summary!$L$14*Summary!$P$13*((1+Summary!$K$5)^((BN2-12-MOD(Summary!$N14,12))/12))),HLOOKUP(BM3,$E$3:$DV15,13,FALSE))))</f>
        <v>0</v>
      </c>
      <c r="BO15" s="46">
        <f>IF(AND(Summary!$N14&lt;='Cash Flow Statement'!BO$2,'Cash Flow Statement'!BO$2&lt;=Summary!$O14),IF((BO2-Summary!$N14)&lt;12,Summary!$P$13*Summary!$L$14,IF(MOD(BO2,12)=MOD(Summary!$N14,12),(Summary!$L$14*Summary!$P$13*((1+Summary!$K$5)^((BO2-12-MOD(Summary!$N14,12))/12))),HLOOKUP(BN3,$E$3:$DV15,13,FALSE))))</f>
        <v>0</v>
      </c>
      <c r="BP15" s="46">
        <f>IF(AND(Summary!$N14&lt;='Cash Flow Statement'!BP$2,'Cash Flow Statement'!BP$2&lt;=Summary!$O14),IF((BP2-Summary!$N14)&lt;12,Summary!$P$13*Summary!$L$14,IF(MOD(BP2,12)=MOD(Summary!$N14,12),(Summary!$L$14*Summary!$P$13*((1+Summary!$K$5)^((BP2-12-MOD(Summary!$N14,12))/12))),HLOOKUP(BO3,$E$3:$DV15,13,FALSE))))</f>
        <v>0</v>
      </c>
      <c r="BQ15" s="46">
        <f>IF(AND(Summary!$N14&lt;='Cash Flow Statement'!BQ$2,'Cash Flow Statement'!BQ$2&lt;=Summary!$O14),IF((BQ2-Summary!$N14)&lt;12,Summary!$P$13*Summary!$L$14,IF(MOD(BQ2,12)=MOD(Summary!$N14,12),(Summary!$L$14*Summary!$P$13*((1+Summary!$K$5)^((BQ2-12-MOD(Summary!$N14,12))/12))),HLOOKUP(BP3,$E$3:$DV15,13,FALSE))))</f>
        <v>0</v>
      </c>
      <c r="BR15" s="46">
        <f>IF(AND(Summary!$N14&lt;='Cash Flow Statement'!BR$2,'Cash Flow Statement'!BR$2&lt;=Summary!$O14),IF((BR2-Summary!$N14)&lt;12,Summary!$P$13*Summary!$L$14,IF(MOD(BR2,12)=MOD(Summary!$N14,12),(Summary!$L$14*Summary!$P$13*((1+Summary!$K$5)^((BR2-12-MOD(Summary!$N14,12))/12))),HLOOKUP(BQ3,$E$3:$DV15,13,FALSE))))</f>
        <v>0</v>
      </c>
      <c r="BS15" s="46">
        <f>IF(AND(Summary!$N14&lt;='Cash Flow Statement'!BS$2,'Cash Flow Statement'!BS$2&lt;=Summary!$O14),IF((BS2-Summary!$N14)&lt;12,Summary!$P$13*Summary!$L$14,IF(MOD(BS2,12)=MOD(Summary!$N14,12),(Summary!$L$14*Summary!$P$13*((1+Summary!$K$5)^((BS2-12-MOD(Summary!$N14,12))/12))),HLOOKUP(BR3,$E$3:$DV15,13,FALSE))))</f>
        <v>0</v>
      </c>
      <c r="BT15" s="46">
        <f>IF(AND(Summary!$N14&lt;='Cash Flow Statement'!BT$2,'Cash Flow Statement'!BT$2&lt;=Summary!$O14),IF((BT2-Summary!$N14)&lt;12,Summary!$P$13*Summary!$L$14,IF(MOD(BT2,12)=MOD(Summary!$N14,12),(Summary!$L$14*Summary!$P$13*((1+Summary!$K$5)^((BT2-12-MOD(Summary!$N14,12))/12))),HLOOKUP(BS3,$E$3:$DV15,13,FALSE))))</f>
        <v>0</v>
      </c>
      <c r="BU15" s="46">
        <f>IF(AND(Summary!$N14&lt;='Cash Flow Statement'!BU$2,'Cash Flow Statement'!BU$2&lt;=Summary!$O14),IF((BU2-Summary!$N14)&lt;12,Summary!$P$13*Summary!$L$14,IF(MOD(BU2,12)=MOD(Summary!$N14,12),(Summary!$L$14*Summary!$P$13*((1+Summary!$K$5)^((BU2-12-MOD(Summary!$N14,12))/12))),HLOOKUP(BT3,$E$3:$DV15,13,FALSE))))</f>
        <v>0</v>
      </c>
      <c r="BV15" s="46">
        <f>IF(AND(Summary!$N14&lt;='Cash Flow Statement'!BV$2,'Cash Flow Statement'!BV$2&lt;=Summary!$O14),IF((BV2-Summary!$N14)&lt;12,Summary!$P$13*Summary!$L$14,IF(MOD(BV2,12)=MOD(Summary!$N14,12),(Summary!$L$14*Summary!$P$13*((1+Summary!$K$5)^((BV2-12-MOD(Summary!$N14,12))/12))),HLOOKUP(BU3,$E$3:$DV15,13,FALSE))))</f>
        <v>0</v>
      </c>
      <c r="BW15" s="46">
        <f>IF(AND(Summary!$N14&lt;='Cash Flow Statement'!BW$2,'Cash Flow Statement'!BW$2&lt;=Summary!$O14),IF((BW2-Summary!$N14)&lt;12,Summary!$P$13*Summary!$L$14,IF(MOD(BW2,12)=MOD(Summary!$N14,12),(Summary!$L$14*Summary!$P$13*((1+Summary!$K$5)^((BW2-12-MOD(Summary!$N14,12))/12))),HLOOKUP(BV3,$E$3:$DV15,13,FALSE))))</f>
        <v>0</v>
      </c>
      <c r="BX15" s="46">
        <f>IF(AND(Summary!$N14&lt;='Cash Flow Statement'!BX$2,'Cash Flow Statement'!BX$2&lt;=Summary!$O14),IF((BX2-Summary!$N14)&lt;12,Summary!$P$13*Summary!$L$14,IF(MOD(BX2,12)=MOD(Summary!$N14,12),(Summary!$L$14*Summary!$P$13*((1+Summary!$K$5)^((BX2-12-MOD(Summary!$N14,12))/12))),HLOOKUP(BW3,$E$3:$DV15,13,FALSE))))</f>
        <v>0</v>
      </c>
      <c r="BY15" s="46">
        <f>IF(AND(Summary!$N14&lt;='Cash Flow Statement'!BY$2,'Cash Flow Statement'!BY$2&lt;=Summary!$O14),IF((BY2-Summary!$N14)&lt;12,Summary!$P$13*Summary!$L$14,IF(MOD(BY2,12)=MOD(Summary!$N14,12),(Summary!$L$14*Summary!$P$13*((1+Summary!$K$5)^((BY2-12-MOD(Summary!$N14,12))/12))),HLOOKUP(BX3,$E$3:$DV15,13,FALSE))))</f>
        <v>0</v>
      </c>
      <c r="BZ15" s="46">
        <f>IF(AND(Summary!$N14&lt;='Cash Flow Statement'!BZ$2,'Cash Flow Statement'!BZ$2&lt;=Summary!$O14),IF((BZ2-Summary!$N14)&lt;12,Summary!$P$13*Summary!$L$14,IF(MOD(BZ2,12)=MOD(Summary!$N14,12),(Summary!$L$14*Summary!$P$13*((1+Summary!$K$5)^((BZ2-12-MOD(Summary!$N14,12))/12))),HLOOKUP(BY3,$E$3:$DV15,13,FALSE))))</f>
        <v>0</v>
      </c>
      <c r="CA15" s="46">
        <f>IF(AND(Summary!$N14&lt;='Cash Flow Statement'!CA$2,'Cash Flow Statement'!CA$2&lt;=Summary!$O14),IF((CA2-Summary!$N14)&lt;12,Summary!$P$13*Summary!$L$14,IF(MOD(CA2,12)=MOD(Summary!$N14,12),(Summary!$L$14*Summary!$P$13*((1+Summary!$K$5)^((CA2-12-MOD(Summary!$N14,12))/12))),HLOOKUP(BZ3,$E$3:$DV15,13,FALSE))))</f>
        <v>0</v>
      </c>
      <c r="CB15" s="46">
        <f>IF(AND(Summary!$N14&lt;='Cash Flow Statement'!CB$2,'Cash Flow Statement'!CB$2&lt;=Summary!$O14),IF((CB2-Summary!$N14)&lt;12,Summary!$P$13*Summary!$L$14,IF(MOD(CB2,12)=MOD(Summary!$N14,12),(Summary!$L$14*Summary!$P$13*((1+Summary!$K$5)^((CB2-12-MOD(Summary!$N14,12))/12))),HLOOKUP(CA3,$E$3:$DV15,13,FALSE))))</f>
        <v>0</v>
      </c>
      <c r="CC15" s="46">
        <f>IF(AND(Summary!$N14&lt;='Cash Flow Statement'!CC$2,'Cash Flow Statement'!CC$2&lt;=Summary!$O14),IF((CC2-Summary!$N14)&lt;12,Summary!$P$13*Summary!$L$14,IF(MOD(CC2,12)=MOD(Summary!$N14,12),(Summary!$L$14*Summary!$P$13*((1+Summary!$K$5)^((CC2-12-MOD(Summary!$N14,12))/12))),HLOOKUP(CB3,$E$3:$DV15,13,FALSE))))</f>
        <v>0</v>
      </c>
      <c r="CD15" s="46">
        <f>IF(AND(Summary!$N14&lt;='Cash Flow Statement'!CD$2,'Cash Flow Statement'!CD$2&lt;=Summary!$O14),IF((CD2-Summary!$N14)&lt;12,Summary!$P$13*Summary!$L$14,IF(MOD(CD2,12)=MOD(Summary!$N14,12),(Summary!$L$14*Summary!$P$13*((1+Summary!$K$5)^((CD2-12-MOD(Summary!$N14,12))/12))),HLOOKUP(CC3,$E$3:$DV15,13,FALSE))))</f>
        <v>0</v>
      </c>
      <c r="CE15" s="46">
        <f>IF(AND(Summary!$N14&lt;='Cash Flow Statement'!CE$2,'Cash Flow Statement'!CE$2&lt;=Summary!$O14),IF((CE2-Summary!$N14)&lt;12,Summary!$P$13*Summary!$L$14,IF(MOD(CE2,12)=MOD(Summary!$N14,12),(Summary!$L$14*Summary!$P$13*((1+Summary!$K$5)^((CE2-12-MOD(Summary!$N14,12))/12))),HLOOKUP(CD3,$E$3:$DV15,13,FALSE))))</f>
        <v>0</v>
      </c>
      <c r="CF15" s="46">
        <f>IF(AND(Summary!$N14&lt;='Cash Flow Statement'!CF$2,'Cash Flow Statement'!CF$2&lt;=Summary!$O14),IF((CF2-Summary!$N14)&lt;12,Summary!$P$13*Summary!$L$14,IF(MOD(CF2,12)=MOD(Summary!$N14,12),(Summary!$L$14*Summary!$P$13*((1+Summary!$K$5)^((CF2-12-MOD(Summary!$N14,12))/12))),HLOOKUP(CE3,$E$3:$DV15,13,FALSE))))</f>
        <v>0</v>
      </c>
      <c r="CG15" s="46">
        <f>IF(AND(Summary!$N14&lt;='Cash Flow Statement'!CG$2,'Cash Flow Statement'!CG$2&lt;=Summary!$O14),IF((CG2-Summary!$N14)&lt;12,Summary!$P$13*Summary!$L$14,IF(MOD(CG2,12)=MOD(Summary!$N14,12),(Summary!$L$14*Summary!$P$13*((1+Summary!$K$5)^((CG2-12-MOD(Summary!$N14,12))/12))),HLOOKUP(CF3,$E$3:$DV15,13,FALSE))))</f>
        <v>0</v>
      </c>
      <c r="CH15" s="46">
        <f>IF(AND(Summary!$N14&lt;='Cash Flow Statement'!CH$2,'Cash Flow Statement'!CH$2&lt;=Summary!$O14),IF((CH2-Summary!$N14)&lt;12,Summary!$P$13*Summary!$L$14,IF(MOD(CH2,12)=MOD(Summary!$N14,12),(Summary!$L$14*Summary!$P$13*((1+Summary!$K$5)^((CH2-12-MOD(Summary!$N14,12))/12))),HLOOKUP(CG3,$E$3:$DV15,13,FALSE))))</f>
        <v>0</v>
      </c>
      <c r="CI15" s="46">
        <f>IF(AND(Summary!$N14&lt;='Cash Flow Statement'!CI$2,'Cash Flow Statement'!CI$2&lt;=Summary!$O14),IF((CI2-Summary!$N14)&lt;12,Summary!$P$13*Summary!$L$14,IF(MOD(CI2,12)=MOD(Summary!$N14,12),(Summary!$L$14*Summary!$P$13*((1+Summary!$K$5)^((CI2-12-MOD(Summary!$N14,12))/12))),HLOOKUP(CH3,$E$3:$DV15,13,FALSE))))</f>
        <v>0</v>
      </c>
      <c r="CJ15" s="46">
        <f>IF(AND(Summary!$N14&lt;='Cash Flow Statement'!CJ$2,'Cash Flow Statement'!CJ$2&lt;=Summary!$O14),IF((CJ2-Summary!$N14)&lt;12,Summary!$P$13*Summary!$L$14,IF(MOD(CJ2,12)=MOD(Summary!$N14,12),(Summary!$L$14*Summary!$P$13*((1+Summary!$K$5)^((CJ2-12-MOD(Summary!$N14,12))/12))),HLOOKUP(CI3,$E$3:$DV15,13,FALSE))))</f>
        <v>0</v>
      </c>
      <c r="CK15" s="46">
        <f>IF(AND(Summary!$N14&lt;='Cash Flow Statement'!CK$2,'Cash Flow Statement'!CK$2&lt;=Summary!$O14),IF((CK2-Summary!$N14)&lt;12,Summary!$P$13*Summary!$L$14,IF(MOD(CK2,12)=MOD(Summary!$N14,12),(Summary!$L$14*Summary!$P$13*((1+Summary!$K$5)^((CK2-12-MOD(Summary!$N14,12))/12))),HLOOKUP(CJ3,$E$3:$DV15,13,FALSE))))</f>
        <v>0</v>
      </c>
      <c r="CL15" s="46">
        <f>IF(AND(Summary!$N14&lt;='Cash Flow Statement'!CL$2,'Cash Flow Statement'!CL$2&lt;=Summary!$O14),IF((CL2-Summary!$N14)&lt;12,Summary!$P$13*Summary!$L$14,IF(MOD(CL2,12)=MOD(Summary!$N14,12),(Summary!$L$14*Summary!$P$13*((1+Summary!$K$5)^((CL2-12-MOD(Summary!$N14,12))/12))),HLOOKUP(CK3,$E$3:$DV15,13,FALSE))))</f>
        <v>0</v>
      </c>
      <c r="CM15" s="46">
        <f>IF(AND(Summary!$N14&lt;='Cash Flow Statement'!CM$2,'Cash Flow Statement'!CM$2&lt;=Summary!$O14),IF((CM2-Summary!$N14)&lt;12,Summary!$P$13*Summary!$L$14,IF(MOD(CM2,12)=MOD(Summary!$N14,12),(Summary!$L$14*Summary!$P$13*((1+Summary!$K$5)^((CM2-12-MOD(Summary!$N14,12))/12))),HLOOKUP(CL3,$E$3:$DV15,13,FALSE))))</f>
        <v>0</v>
      </c>
      <c r="CN15" s="46">
        <f>IF(AND(Summary!$N14&lt;='Cash Flow Statement'!CN$2,'Cash Flow Statement'!CN$2&lt;=Summary!$O14),IF((CN2-Summary!$N14)&lt;12,Summary!$P$13*Summary!$L$14,IF(MOD(CN2,12)=MOD(Summary!$N14,12),(Summary!$L$14*Summary!$P$13*((1+Summary!$K$5)^((CN2-12-MOD(Summary!$N14,12))/12))),HLOOKUP(CM3,$E$3:$DV15,13,FALSE))))</f>
        <v>0</v>
      </c>
      <c r="CO15" s="46">
        <f>IF(AND(Summary!$N14&lt;='Cash Flow Statement'!CO$2,'Cash Flow Statement'!CO$2&lt;=Summary!$O14),IF((CO2-Summary!$N14)&lt;12,Summary!$P$13*Summary!$L$14,IF(MOD(CO2,12)=MOD(Summary!$N14,12),(Summary!$L$14*Summary!$P$13*((1+Summary!$K$5)^((CO2-12-MOD(Summary!$N14,12))/12))),HLOOKUP(CN3,$E$3:$DV15,13,FALSE))))</f>
        <v>0</v>
      </c>
      <c r="CP15" s="46">
        <f>IF(AND(Summary!$N14&lt;='Cash Flow Statement'!CP$2,'Cash Flow Statement'!CP$2&lt;=Summary!$O14),IF((CP2-Summary!$N14)&lt;12,Summary!$P$13*Summary!$L$14,IF(MOD(CP2,12)=MOD(Summary!$N14,12),(Summary!$L$14*Summary!$P$13*((1+Summary!$K$5)^((CP2-12-MOD(Summary!$N14,12))/12))),HLOOKUP(CO3,$E$3:$DV15,13,FALSE))))</f>
        <v>0</v>
      </c>
      <c r="CQ15" s="46">
        <f>IF(AND(Summary!$N14&lt;='Cash Flow Statement'!CQ$2,'Cash Flow Statement'!CQ$2&lt;=Summary!$O14),IF((CQ2-Summary!$N14)&lt;12,Summary!$P$13*Summary!$L$14,IF(MOD(CQ2,12)=MOD(Summary!$N14,12),(Summary!$L$14*Summary!$P$13*((1+Summary!$K$5)^((CQ2-12-MOD(Summary!$N14,12))/12))),HLOOKUP(CP3,$E$3:$DV15,13,FALSE))))</f>
        <v>0</v>
      </c>
      <c r="CR15" s="46">
        <f>IF(AND(Summary!$N14&lt;='Cash Flow Statement'!CR$2,'Cash Flow Statement'!CR$2&lt;=Summary!$O14),IF((CR2-Summary!$N14)&lt;12,Summary!$P$13*Summary!$L$14,IF(MOD(CR2,12)=MOD(Summary!$N14,12),(Summary!$L$14*Summary!$P$13*((1+Summary!$K$5)^((CR2-12-MOD(Summary!$N14,12))/12))),HLOOKUP(CQ3,$E$3:$DV15,13,FALSE))))</f>
        <v>0</v>
      </c>
      <c r="CS15" s="46">
        <f>IF(AND(Summary!$N14&lt;='Cash Flow Statement'!CS$2,'Cash Flow Statement'!CS$2&lt;=Summary!$O14),IF((CS2-Summary!$N14)&lt;12,Summary!$P$13*Summary!$L$14,IF(MOD(CS2,12)=MOD(Summary!$N14,12),(Summary!$L$14*Summary!$P$13*((1+Summary!$K$5)^((CS2-12-MOD(Summary!$N14,12))/12))),HLOOKUP(CR3,$E$3:$DV15,13,FALSE))))</f>
        <v>0</v>
      </c>
      <c r="CT15" s="46">
        <f>IF(AND(Summary!$N14&lt;='Cash Flow Statement'!CT$2,'Cash Flow Statement'!CT$2&lt;=Summary!$O14),IF((CT2-Summary!$N14)&lt;12,Summary!$P$13*Summary!$L$14,IF(MOD(CT2,12)=MOD(Summary!$N14,12),(Summary!$L$14*Summary!$P$13*((1+Summary!$K$5)^((CT2-12-MOD(Summary!$N14,12))/12))),HLOOKUP(CS3,$E$3:$DV15,13,FALSE))))</f>
        <v>0</v>
      </c>
      <c r="CU15" s="46">
        <f>IF(AND(Summary!$N14&lt;='Cash Flow Statement'!CU$2,'Cash Flow Statement'!CU$2&lt;=Summary!$O14),IF((CU2-Summary!$N14)&lt;12,Summary!$P$13*Summary!$L$14,IF(MOD(CU2,12)=MOD(Summary!$N14,12),(Summary!$L$14*Summary!$P$13*((1+Summary!$K$5)^((CU2-12-MOD(Summary!$N14,12))/12))),HLOOKUP(CT3,$E$3:$DV15,13,FALSE))))</f>
        <v>0</v>
      </c>
      <c r="CV15" s="46">
        <f>IF(AND(Summary!$N14&lt;='Cash Flow Statement'!CV$2,'Cash Flow Statement'!CV$2&lt;=Summary!$O14),IF((CV2-Summary!$N14)&lt;12,Summary!$P$13*Summary!$L$14,IF(MOD(CV2,12)=MOD(Summary!$N14,12),(Summary!$L$14*Summary!$P$13*((1+Summary!$K$5)^((CV2-12-MOD(Summary!$N14,12))/12))),HLOOKUP(CU3,$E$3:$DV15,13,FALSE))))</f>
        <v>0</v>
      </c>
      <c r="CW15" s="46">
        <f>IF(AND(Summary!$N14&lt;='Cash Flow Statement'!CW$2,'Cash Flow Statement'!CW$2&lt;=Summary!$O14),IF((CW2-Summary!$N14)&lt;12,Summary!$P$13*Summary!$L$14,IF(MOD(CW2,12)=MOD(Summary!$N14,12),(Summary!$L$14*Summary!$P$13*((1+Summary!$K$5)^((CW2-12-MOD(Summary!$N14,12))/12))),HLOOKUP(CV3,$E$3:$DV15,13,FALSE))))</f>
        <v>0</v>
      </c>
      <c r="CX15" s="46">
        <f>IF(AND(Summary!$N14&lt;='Cash Flow Statement'!CX$2,'Cash Flow Statement'!CX$2&lt;=Summary!$O14),IF((CX2-Summary!$N14)&lt;12,Summary!$P$13*Summary!$L$14,IF(MOD(CX2,12)=MOD(Summary!$N14,12),(Summary!$L$14*Summary!$P$13*((1+Summary!$K$5)^((CX2-12-MOD(Summary!$N14,12))/12))),HLOOKUP(CW3,$E$3:$DV15,13,FALSE))))</f>
        <v>0</v>
      </c>
      <c r="CY15" s="46">
        <f>IF(AND(Summary!$N14&lt;='Cash Flow Statement'!CY$2,'Cash Flow Statement'!CY$2&lt;=Summary!$O14),IF((CY2-Summary!$N14)&lt;12,Summary!$P$13*Summary!$L$14,IF(MOD(CY2,12)=MOD(Summary!$N14,12),(Summary!$L$14*Summary!$P$13*((1+Summary!$K$5)^((CY2-12-MOD(Summary!$N14,12))/12))),HLOOKUP(CX3,$E$3:$DV15,13,FALSE))))</f>
        <v>0</v>
      </c>
      <c r="CZ15" s="46">
        <f>IF(AND(Summary!$N14&lt;='Cash Flow Statement'!CZ$2,'Cash Flow Statement'!CZ$2&lt;=Summary!$O14),IF((CZ2-Summary!$N14)&lt;12,Summary!$P$13*Summary!$L$14,IF(MOD(CZ2,12)=MOD(Summary!$N14,12),(Summary!$L$14*Summary!$P$13*((1+Summary!$K$5)^((CZ2-12-MOD(Summary!$N14,12))/12))),HLOOKUP(CY3,$E$3:$DV15,13,FALSE))))</f>
        <v>0</v>
      </c>
      <c r="DA15" s="46">
        <f>IF(AND(Summary!$N14&lt;='Cash Flow Statement'!DA$2,'Cash Flow Statement'!DA$2&lt;=Summary!$O14),IF((DA2-Summary!$N14)&lt;12,Summary!$P$13*Summary!$L$14,IF(MOD(DA2,12)=MOD(Summary!$N14,12),(Summary!$L$14*Summary!$P$13*((1+Summary!$K$5)^((DA2-12-MOD(Summary!$N14,12))/12))),HLOOKUP(CZ3,$E$3:$DV15,13,FALSE))))</f>
        <v>0</v>
      </c>
      <c r="DB15" s="46">
        <f>IF(AND(Summary!$N14&lt;='Cash Flow Statement'!DB$2,'Cash Flow Statement'!DB$2&lt;=Summary!$O14),IF((DB2-Summary!$N14)&lt;12,Summary!$P$13*Summary!$L$14,IF(MOD(DB2,12)=MOD(Summary!$N14,12),(Summary!$L$14*Summary!$P$13*((1+Summary!$K$5)^((DB2-12-MOD(Summary!$N14,12))/12))),HLOOKUP(DA3,$E$3:$DV15,13,FALSE))))</f>
        <v>0</v>
      </c>
      <c r="DC15" s="46">
        <f>IF(AND(Summary!$N14&lt;='Cash Flow Statement'!DC$2,'Cash Flow Statement'!DC$2&lt;=Summary!$O14),IF((DC2-Summary!$N14)&lt;12,Summary!$P$13*Summary!$L$14,IF(MOD(DC2,12)=MOD(Summary!$N14,12),(Summary!$L$14*Summary!$P$13*((1+Summary!$K$5)^((DC2-12-MOD(Summary!$N14,12))/12))),HLOOKUP(DB3,$E$3:$DV15,13,FALSE))))</f>
        <v>0</v>
      </c>
      <c r="DD15" s="46">
        <f>IF(AND(Summary!$N14&lt;='Cash Flow Statement'!DD$2,'Cash Flow Statement'!DD$2&lt;=Summary!$O14),IF((DD2-Summary!$N14)&lt;12,Summary!$P$13*Summary!$L$14,IF(MOD(DD2,12)=MOD(Summary!$N14,12),(Summary!$L$14*Summary!$P$13*((1+Summary!$K$5)^((DD2-12-MOD(Summary!$N14,12))/12))),HLOOKUP(DC3,$E$3:$DV15,13,FALSE))))</f>
        <v>0</v>
      </c>
      <c r="DE15" s="46">
        <f>IF(AND(Summary!$N14&lt;='Cash Flow Statement'!DE$2,'Cash Flow Statement'!DE$2&lt;=Summary!$O14),IF((DE2-Summary!$N14)&lt;12,Summary!$P$13*Summary!$L$14,IF(MOD(DE2,12)=MOD(Summary!$N14,12),(Summary!$L$14*Summary!$P$13*((1+Summary!$K$5)^((DE2-12-MOD(Summary!$N14,12))/12))),HLOOKUP(DD3,$E$3:$DV15,13,FALSE))))</f>
        <v>0</v>
      </c>
      <c r="DF15" s="46">
        <f>IF(AND(Summary!$N14&lt;='Cash Flow Statement'!DF$2,'Cash Flow Statement'!DF$2&lt;=Summary!$O14),IF((DF2-Summary!$N14)&lt;12,Summary!$P$13*Summary!$L$14,IF(MOD(DF2,12)=MOD(Summary!$N14,12),(Summary!$L$14*Summary!$P$13*((1+Summary!$K$5)^((DF2-12-MOD(Summary!$N14,12))/12))),HLOOKUP(DE3,$E$3:$DV15,13,FALSE))))</f>
        <v>0</v>
      </c>
      <c r="DG15" s="46">
        <f>IF(AND(Summary!$N14&lt;='Cash Flow Statement'!DG$2,'Cash Flow Statement'!DG$2&lt;=Summary!$O14),IF((DG2-Summary!$N14)&lt;12,Summary!$P$13*Summary!$L$14,IF(MOD(DG2,12)=MOD(Summary!$N14,12),(Summary!$L$14*Summary!$P$13*((1+Summary!$K$5)^((DG2-12-MOD(Summary!$N14,12))/12))),HLOOKUP(DF3,$E$3:$DV15,13,FALSE))))</f>
        <v>0</v>
      </c>
      <c r="DH15" s="46">
        <f>IF(AND(Summary!$N14&lt;='Cash Flow Statement'!DH$2,'Cash Flow Statement'!DH$2&lt;=Summary!$O14),IF((DH2-Summary!$N14)&lt;12,Summary!$P$13*Summary!$L$14,IF(MOD(DH2,12)=MOD(Summary!$N14,12),(Summary!$L$14*Summary!$P$13*((1+Summary!$K$5)^((DH2-12-MOD(Summary!$N14,12))/12))),HLOOKUP(DG3,$E$3:$DV15,13,FALSE))))</f>
        <v>0</v>
      </c>
      <c r="DI15" s="46">
        <f>IF(AND(Summary!$N14&lt;='Cash Flow Statement'!DI$2,'Cash Flow Statement'!DI$2&lt;=Summary!$O14),IF((DI2-Summary!$N14)&lt;12,Summary!$P$13*Summary!$L$14,IF(MOD(DI2,12)=MOD(Summary!$N14,12),(Summary!$L$14*Summary!$P$13*((1+Summary!$K$5)^((DI2-12-MOD(Summary!$N14,12))/12))),HLOOKUP(DH3,$E$3:$DV15,13,FALSE))))</f>
        <v>0</v>
      </c>
      <c r="DJ15" s="46">
        <f>IF(AND(Summary!$N14&lt;='Cash Flow Statement'!DJ$2,'Cash Flow Statement'!DJ$2&lt;=Summary!$O14),IF((DJ2-Summary!$N14)&lt;12,Summary!$P$13*Summary!$L$14,IF(MOD(DJ2,12)=MOD(Summary!$N14,12),(Summary!$L$14*Summary!$P$13*((1+Summary!$K$5)^((DJ2-12-MOD(Summary!$N14,12))/12))),HLOOKUP(DI3,$E$3:$DV15,13,FALSE))))</f>
        <v>0</v>
      </c>
      <c r="DK15" s="46">
        <f>IF(AND(Summary!$N14&lt;='Cash Flow Statement'!DK$2,'Cash Flow Statement'!DK$2&lt;=Summary!$O14),IF((DK2-Summary!$N14)&lt;12,Summary!$P$13*Summary!$L$14,IF(MOD(DK2,12)=MOD(Summary!$N14,12),(Summary!$L$14*Summary!$P$13*((1+Summary!$K$5)^((DK2-12-MOD(Summary!$N14,12))/12))),HLOOKUP(DJ3,$E$3:$DV15,13,FALSE))))</f>
        <v>0</v>
      </c>
      <c r="DL15" s="46">
        <f>IF(AND(Summary!$N14&lt;='Cash Flow Statement'!DL$2,'Cash Flow Statement'!DL$2&lt;=Summary!$O14),IF((DL2-Summary!$N14)&lt;12,Summary!$P$13*Summary!$L$14,IF(MOD(DL2,12)=MOD(Summary!$N14,12),(Summary!$L$14*Summary!$P$13*((1+Summary!$K$5)^((DL2-12-MOD(Summary!$N14,12))/12))),HLOOKUP(DK3,$E$3:$DV15,13,FALSE))))</f>
        <v>0</v>
      </c>
      <c r="DM15" s="46">
        <f>IF(AND(Summary!$N14&lt;='Cash Flow Statement'!DM$2,'Cash Flow Statement'!DM$2&lt;=Summary!$O14),IF((DM2-Summary!$N14)&lt;12,Summary!$P$13*Summary!$L$14,IF(MOD(DM2,12)=MOD(Summary!$N14,12),(Summary!$L$14*Summary!$P$13*((1+Summary!$K$5)^((DM2-12-MOD(Summary!$N14,12))/12))),HLOOKUP(DL3,$E$3:$DV15,13,FALSE))))</f>
        <v>0</v>
      </c>
      <c r="DN15" s="46">
        <f>IF(AND(Summary!$N14&lt;='Cash Flow Statement'!DN$2,'Cash Flow Statement'!DN$2&lt;=Summary!$O14),IF((DN2-Summary!$N14)&lt;12,Summary!$P$13*Summary!$L$14,IF(MOD(DN2,12)=MOD(Summary!$N14,12),(Summary!$L$14*Summary!$P$13*((1+Summary!$K$5)^((DN2-12-MOD(Summary!$N14,12))/12))),HLOOKUP(DM3,$E$3:$DV15,13,FALSE))))</f>
        <v>0</v>
      </c>
      <c r="DO15" s="46">
        <f>IF(AND(Summary!$N14&lt;='Cash Flow Statement'!DO$2,'Cash Flow Statement'!DO$2&lt;=Summary!$O14),IF((DO2-Summary!$N14)&lt;12,Summary!$P$13*Summary!$L$14,IF(MOD(DO2,12)=MOD(Summary!$N14,12),(Summary!$L$14*Summary!$P$13*((1+Summary!$K$5)^((DO2-12-MOD(Summary!$N14,12))/12))),HLOOKUP(DN3,$E$3:$DV15,13,FALSE))))</f>
        <v>0</v>
      </c>
      <c r="DP15" s="46">
        <f>IF(AND(Summary!$N14&lt;='Cash Flow Statement'!DP$2,'Cash Flow Statement'!DP$2&lt;=Summary!$O14),IF((DP2-Summary!$N14)&lt;12,Summary!$P$13*Summary!$L$14,IF(MOD(DP2,12)=MOD(Summary!$N14,12),(Summary!$L$14*Summary!$P$13*((1+Summary!$K$5)^((DP2-12-MOD(Summary!$N14,12))/12))),HLOOKUP(DO3,$E$3:$DV15,13,FALSE))))</f>
        <v>0</v>
      </c>
      <c r="DQ15" s="46">
        <f>IF(AND(Summary!$N14&lt;='Cash Flow Statement'!DQ$2,'Cash Flow Statement'!DQ$2&lt;=Summary!$O14),IF((DQ2-Summary!$N14)&lt;12,Summary!$P$13*Summary!$L$14,IF(MOD(DQ2,12)=MOD(Summary!$N14,12),(Summary!$L$14*Summary!$P$13*((1+Summary!$K$5)^((DQ2-12-MOD(Summary!$N14,12))/12))),HLOOKUP(DP3,$E$3:$DV15,13,FALSE))))</f>
        <v>0</v>
      </c>
      <c r="DR15" s="46">
        <f>IF(AND(Summary!$N14&lt;='Cash Flow Statement'!DR$2,'Cash Flow Statement'!DR$2&lt;=Summary!$O14),IF((DR2-Summary!$N14)&lt;12,Summary!$P$13*Summary!$L$14,IF(MOD(DR2,12)=MOD(Summary!$N14,12),(Summary!$L$14*Summary!$P$13*((1+Summary!$K$5)^((DR2-12-MOD(Summary!$N14,12))/12))),HLOOKUP(DQ3,$E$3:$DV15,13,FALSE))))</f>
        <v>0</v>
      </c>
      <c r="DS15" s="46">
        <f>IF(AND(Summary!$N14&lt;='Cash Flow Statement'!DS$2,'Cash Flow Statement'!DS$2&lt;=Summary!$O14),IF((DS2-Summary!$N14)&lt;12,Summary!$P$13*Summary!$L$14,IF(MOD(DS2,12)=MOD(Summary!$N14,12),(Summary!$L$14*Summary!$P$13*((1+Summary!$K$5)^((DS2-12-MOD(Summary!$N14,12))/12))),HLOOKUP(DR3,$E$3:$DV15,13,FALSE))))</f>
        <v>0</v>
      </c>
      <c r="DT15" s="46">
        <f>IF(AND(Summary!$N14&lt;='Cash Flow Statement'!DT$2,'Cash Flow Statement'!DT$2&lt;=Summary!$O14),IF((DT2-Summary!$N14)&lt;12,Summary!$P$13*Summary!$L$14,IF(MOD(DT2,12)=MOD(Summary!$N14,12),(Summary!$L$14*Summary!$P$13*((1+Summary!$K$5)^((DT2-12-MOD(Summary!$N14,12))/12))),HLOOKUP(DS3,$E$3:$DV15,13,FALSE))))</f>
        <v>0</v>
      </c>
      <c r="DU15" s="46">
        <f>IF(AND(Summary!$N14&lt;='Cash Flow Statement'!DU$2,'Cash Flow Statement'!DU$2&lt;=Summary!$O14),IF((DU2-Summary!$N14)&lt;12,Summary!$P$13*Summary!$L$14,IF(MOD(DU2,12)=MOD(Summary!$N14,12),(Summary!$L$14*Summary!$P$13*((1+Summary!$K$5)^((DU2-12-MOD(Summary!$N14,12))/12))),HLOOKUP(DT3,$E$3:$DV15,13,FALSE))))</f>
        <v>0</v>
      </c>
      <c r="DV15" s="135"/>
    </row>
    <row r="16" spans="1:126 16380:16380" x14ac:dyDescent="0.2">
      <c r="A16" s="88"/>
      <c r="B16" s="89" t="s">
        <v>195</v>
      </c>
      <c r="C16" s="44"/>
      <c r="D16" s="132">
        <f>SUM(E16:DU16)</f>
        <v>0</v>
      </c>
      <c r="E16" s="134">
        <f>IF(AND(Summary!$N15&lt;='Cash Flow Statement'!E$2,'Cash Flow Statement'!E$2&lt;=Summary!$O15),IF((E2-Summary!$N15)&lt;12,Summary!$P$13*Summary!$L$15,IF(MOD(E2,12)=MOD(Summary!$N15,12),(Summary!$L$15*Summary!$P$13*((1+Summary!$K$5)^((E2-12-MOD(Summary!$N15,12))/12))),HLOOKUP(D3,$E$3:$DV16,14,FALSE))))</f>
        <v>0</v>
      </c>
      <c r="F16" s="46">
        <f>IF(AND(Summary!$N15&lt;='Cash Flow Statement'!F$2,'Cash Flow Statement'!F$2&lt;=Summary!$O15),IF((F2-Summary!$N15)&lt;12,Summary!$P$13*Summary!$L$15,IF(MOD(F2,12)=MOD(Summary!$N15,12),(Summary!$L$15*Summary!$P$13*((1+Summary!$K$5)^((F2-12-MOD(Summary!$N15,12))/12))),HLOOKUP(E3,$E$3:$DV16,14,FALSE))))</f>
        <v>0</v>
      </c>
      <c r="G16" s="46">
        <f>IF(AND(Summary!$N15&lt;='Cash Flow Statement'!G$2,'Cash Flow Statement'!G$2&lt;=Summary!$O15),IF((G2-Summary!$N15)&lt;12,Summary!$P$13*Summary!$L$15,IF(MOD(G2,12)=MOD(Summary!$N15,12),(Summary!$L$15*Summary!$P$13*((1+Summary!$K$5)^((G2-12-MOD(Summary!$N15,12))/12))),HLOOKUP(F3,$E$3:$DV16,14,FALSE))))</f>
        <v>0</v>
      </c>
      <c r="H16" s="46">
        <f>IF(AND(Summary!$N15&lt;='Cash Flow Statement'!H$2,'Cash Flow Statement'!H$2&lt;=Summary!$O15),IF((H2-Summary!$N15)&lt;12,Summary!$P$13*Summary!$L$15,IF(MOD(H2,12)=MOD(Summary!$N15,12),(Summary!$L$15*Summary!$P$13*((1+Summary!$K$5)^((H2-12-MOD(Summary!$N15,12))/12))),HLOOKUP(G3,$E$3:$DV16,14,FALSE))))</f>
        <v>0</v>
      </c>
      <c r="I16" s="46">
        <f>IF(AND(Summary!$N15&lt;='Cash Flow Statement'!I$2,'Cash Flow Statement'!I$2&lt;=Summary!$O15),IF((I2-Summary!$N15)&lt;12,Summary!$P$13*Summary!$L$15,IF(MOD(I2,12)=MOD(Summary!$N15,12),(Summary!$L$15*Summary!$P$13*((1+Summary!$K$5)^((I2-12-MOD(Summary!$N15,12))/12))),HLOOKUP(H3,$E$3:$DV16,14,FALSE))))</f>
        <v>0</v>
      </c>
      <c r="J16" s="46">
        <f>IF(AND(Summary!$N15&lt;='Cash Flow Statement'!J$2,'Cash Flow Statement'!J$2&lt;=Summary!$O15),IF((J2-Summary!$N15)&lt;12,Summary!$P$13*Summary!$L$15,IF(MOD(J2,12)=MOD(Summary!$N15,12),(Summary!$L$15*Summary!$P$13*((1+Summary!$K$5)^((J2-12-MOD(Summary!$N15,12))/12))),HLOOKUP(I3,$E$3:$DV16,14,FALSE))))</f>
        <v>0</v>
      </c>
      <c r="K16" s="46">
        <f>IF(AND(Summary!$N15&lt;='Cash Flow Statement'!K$2,'Cash Flow Statement'!K$2&lt;=Summary!$O15),IF((K2-Summary!$N15)&lt;12,Summary!$P$13*Summary!$L$15,IF(MOD(K2,12)=MOD(Summary!$N15,12),(Summary!$L$15*Summary!$P$13*((1+Summary!$K$5)^((K2-12-MOD(Summary!$N15,12))/12))),HLOOKUP(J3,$E$3:$DV16,14,FALSE))))</f>
        <v>0</v>
      </c>
      <c r="L16" s="46">
        <f>IF(AND(Summary!$N15&lt;='Cash Flow Statement'!L$2,'Cash Flow Statement'!L$2&lt;=Summary!$O15),IF((L2-Summary!$N15)&lt;12,Summary!$P$13*Summary!$L$15,IF(MOD(L2,12)=MOD(Summary!$N15,12),(Summary!$L$15*Summary!$P$13*((1+Summary!$K$5)^((L2-12-MOD(Summary!$N15,12))/12))),HLOOKUP(K3,$E$3:$DV16,14,FALSE))))</f>
        <v>0</v>
      </c>
      <c r="M16" s="46">
        <f>IF(AND(Summary!$N15&lt;='Cash Flow Statement'!M$2,'Cash Flow Statement'!M$2&lt;=Summary!$O15),IF((M2-Summary!$N15)&lt;12,Summary!$P$13*Summary!$L$15,IF(MOD(M2,12)=MOD(Summary!$N15,12),(Summary!$L$15*Summary!$P$13*((1+Summary!$K$5)^((M2-12-MOD(Summary!$N15,12))/12))),HLOOKUP(L3,$E$3:$DV16,14,FALSE))))</f>
        <v>0</v>
      </c>
      <c r="N16" s="46">
        <f>IF(AND(Summary!$N15&lt;='Cash Flow Statement'!N$2,'Cash Flow Statement'!N$2&lt;=Summary!$O15),IF((N2-Summary!$N15)&lt;12,Summary!$P$13*Summary!$L$15,IF(MOD(N2,12)=MOD(Summary!$N15,12),(Summary!$L$15*Summary!$P$13*((1+Summary!$K$5)^((N2-12-MOD(Summary!$N15,12))/12))),HLOOKUP(M3,$E$3:$DV16,14,FALSE))))</f>
        <v>0</v>
      </c>
      <c r="O16" s="46">
        <f>IF(AND(Summary!$N15&lt;='Cash Flow Statement'!O$2,'Cash Flow Statement'!O$2&lt;=Summary!$O15),IF((O2-Summary!$N15)&lt;12,Summary!$P$13*Summary!$L$15,IF(MOD(O2,12)=MOD(Summary!$N15,12),(Summary!$L$15*Summary!$P$13*((1+Summary!$K$5)^((O2-12-MOD(Summary!$N15,12))/12))),HLOOKUP(N3,$E$3:$DV16,14,FALSE))))</f>
        <v>0</v>
      </c>
      <c r="P16" s="46">
        <f>IF(AND(Summary!$N15&lt;='Cash Flow Statement'!P$2,'Cash Flow Statement'!P$2&lt;=Summary!$O15),IF((P2-Summary!$N15)&lt;12,Summary!$P$13*Summary!$L$15,IF(MOD(P2,12)=MOD(Summary!$N15,12),(Summary!$L$15*Summary!$P$13*((1+Summary!$K$5)^((P2-12-MOD(Summary!$N15,12))/12))),HLOOKUP(O3,$E$3:$DV16,14,FALSE))))</f>
        <v>0</v>
      </c>
      <c r="Q16" s="46">
        <f>IF(AND(Summary!$N15&lt;='Cash Flow Statement'!Q$2,'Cash Flow Statement'!Q$2&lt;=Summary!$O15),IF((Q2-Summary!$N15)&lt;12,Summary!$P$13*Summary!$L$15,IF(MOD(Q2,12)=MOD(Summary!$N15,12),(Summary!$L$15*Summary!$P$13*((1+Summary!$K$5)^((Q2-12-MOD(Summary!$N15,12))/12))),HLOOKUP(P3,$E$3:$DV16,14,FALSE))))</f>
        <v>0</v>
      </c>
      <c r="R16" s="46">
        <f>IF(AND(Summary!$N15&lt;='Cash Flow Statement'!R$2,'Cash Flow Statement'!R$2&lt;=Summary!$O15),IF((R2-Summary!$N15)&lt;12,Summary!$P$13*Summary!$L$15,IF(MOD(R2,12)=MOD(Summary!$N15,12),(Summary!$L$15*Summary!$P$13*((1+Summary!$K$5)^((R2-12-MOD(Summary!$N15,12))/12))),HLOOKUP(Q3,$E$3:$DV16,14,FALSE))))</f>
        <v>0</v>
      </c>
      <c r="S16" s="46">
        <f>IF(AND(Summary!$N15&lt;='Cash Flow Statement'!S$2,'Cash Flow Statement'!S$2&lt;=Summary!$O15),IF((S2-Summary!$N15)&lt;12,Summary!$P$13*Summary!$L$15,IF(MOD(S2,12)=MOD(Summary!$N15,12),(Summary!$L$15*Summary!$P$13*((1+Summary!$K$5)^((S2-12-MOD(Summary!$N15,12))/12))),HLOOKUP(R3,$E$3:$DV16,14,FALSE))))</f>
        <v>0</v>
      </c>
      <c r="T16" s="46">
        <f>IF(AND(Summary!$N15&lt;='Cash Flow Statement'!T$2,'Cash Flow Statement'!T$2&lt;=Summary!$O15),IF((T2-Summary!$N15)&lt;12,Summary!$P$13*Summary!$L$15,IF(MOD(T2,12)=MOD(Summary!$N15,12),(Summary!$L$15*Summary!$P$13*((1+Summary!$K$5)^((T2-12-MOD(Summary!$N15,12))/12))),HLOOKUP(S3,$E$3:$DV16,14,FALSE))))</f>
        <v>0</v>
      </c>
      <c r="U16" s="46">
        <f>IF(AND(Summary!$N15&lt;='Cash Flow Statement'!U$2,'Cash Flow Statement'!U$2&lt;=Summary!$O15),IF((U2-Summary!$N15)&lt;12,Summary!$P$13*Summary!$L$15,IF(MOD(U2,12)=MOD(Summary!$N15,12),(Summary!$L$15*Summary!$P$13*((1+Summary!$K$5)^((U2-12-MOD(Summary!$N15,12))/12))),HLOOKUP(T3,$E$3:$DV16,14,FALSE))))</f>
        <v>0</v>
      </c>
      <c r="V16" s="46">
        <f>IF(AND(Summary!$N15&lt;='Cash Flow Statement'!V$2,'Cash Flow Statement'!V$2&lt;=Summary!$O15),IF((V2-Summary!$N15)&lt;12,Summary!$P$13*Summary!$L$15,IF(MOD(V2,12)=MOD(Summary!$N15,12),(Summary!$L$15*Summary!$P$13*((1+Summary!$K$5)^((V2-12-MOD(Summary!$N15,12))/12))),HLOOKUP(U3,$E$3:$DV16,14,FALSE))))</f>
        <v>0</v>
      </c>
      <c r="W16" s="46">
        <f>IF(AND(Summary!$N15&lt;='Cash Flow Statement'!W$2,'Cash Flow Statement'!W$2&lt;=Summary!$O15),IF((W2-Summary!$N15)&lt;12,Summary!$P$13*Summary!$L$15,IF(MOD(W2,12)=MOD(Summary!$N15,12),(Summary!$L$15*Summary!$P$13*((1+Summary!$K$5)^((W2-12-MOD(Summary!$N15,12))/12))),HLOOKUP(V3,$E$3:$DV16,14,FALSE))))</f>
        <v>0</v>
      </c>
      <c r="X16" s="46">
        <f>IF(AND(Summary!$N15&lt;='Cash Flow Statement'!X$2,'Cash Flow Statement'!X$2&lt;=Summary!$O15),IF((X2-Summary!$N15)&lt;12,Summary!$P$13*Summary!$L$15,IF(MOD(X2,12)=MOD(Summary!$N15,12),(Summary!$L$15*Summary!$P$13*((1+Summary!$K$5)^((X2-12-MOD(Summary!$N15,12))/12))),HLOOKUP(W3,$E$3:$DV16,14,FALSE))))</f>
        <v>0</v>
      </c>
      <c r="Y16" s="46">
        <f>IF(AND(Summary!$N15&lt;='Cash Flow Statement'!Y$2,'Cash Flow Statement'!Y$2&lt;=Summary!$O15),IF((Y2-Summary!$N15)&lt;12,Summary!$P$13*Summary!$L$15,IF(MOD(Y2,12)=MOD(Summary!$N15,12),(Summary!$L$15*Summary!$P$13*((1+Summary!$K$5)^((Y2-12-MOD(Summary!$N15,12))/12))),HLOOKUP(X3,$E$3:$DV16,14,FALSE))))</f>
        <v>0</v>
      </c>
      <c r="Z16" s="46">
        <f>IF(AND(Summary!$N15&lt;='Cash Flow Statement'!Z$2,'Cash Flow Statement'!Z$2&lt;=Summary!$O15),IF((Z2-Summary!$N15)&lt;12,Summary!$P$13*Summary!$L$15,IF(MOD(Z2,12)=MOD(Summary!$N15,12),(Summary!$L$15*Summary!$P$13*((1+Summary!$K$5)^((Z2-12-MOD(Summary!$N15,12))/12))),HLOOKUP(Y3,$E$3:$DV16,14,FALSE))))</f>
        <v>0</v>
      </c>
      <c r="AA16" s="46">
        <f>IF(AND(Summary!$N15&lt;='Cash Flow Statement'!AA$2,'Cash Flow Statement'!AA$2&lt;=Summary!$O15),IF((AA2-Summary!$N15)&lt;12,Summary!$P$13*Summary!$L$15,IF(MOD(AA2,12)=MOD(Summary!$N15,12),(Summary!$L$15*Summary!$P$13*((1+Summary!$K$5)^((AA2-12-MOD(Summary!$N15,12))/12))),HLOOKUP(Z3,$E$3:$DV16,14,FALSE))))</f>
        <v>0</v>
      </c>
      <c r="AB16" s="46">
        <f>IF(AND(Summary!$N15&lt;='Cash Flow Statement'!AB$2,'Cash Flow Statement'!AB$2&lt;=Summary!$O15),IF((AB2-Summary!$N15)&lt;12,Summary!$P$13*Summary!$L$15,IF(MOD(AB2,12)=MOD(Summary!$N15,12),(Summary!$L$15*Summary!$P$13*((1+Summary!$K$5)^((AB2-12-MOD(Summary!$N15,12))/12))),HLOOKUP(AA3,$E$3:$DV16,14,FALSE))))</f>
        <v>0</v>
      </c>
      <c r="AC16" s="46">
        <f>IF(AND(Summary!$N15&lt;='Cash Flow Statement'!AC$2,'Cash Flow Statement'!AC$2&lt;=Summary!$O15),IF((AC2-Summary!$N15)&lt;12,Summary!$P$13*Summary!$L$15,IF(MOD(AC2,12)=MOD(Summary!$N15,12),(Summary!$L$15*Summary!$P$13*((1+Summary!$K$5)^((AC2-12-MOD(Summary!$N15,12))/12))),HLOOKUP(AB3,$E$3:$DV16,14,FALSE))))</f>
        <v>0</v>
      </c>
      <c r="AD16" s="46">
        <f>IF(AND(Summary!$N15&lt;='Cash Flow Statement'!AD$2,'Cash Flow Statement'!AD$2&lt;=Summary!$O15),IF((AD2-Summary!$N15)&lt;12,Summary!$P$13*Summary!$L$15,IF(MOD(AD2,12)=MOD(Summary!$N15,12),(Summary!$L$15*Summary!$P$13*((1+Summary!$K$5)^((AD2-12-MOD(Summary!$N15,12))/12))),HLOOKUP(AC3,$E$3:$DV16,14,FALSE))))</f>
        <v>0</v>
      </c>
      <c r="AE16" s="46">
        <f>IF(AND(Summary!$N15&lt;='Cash Flow Statement'!AE$2,'Cash Flow Statement'!AE$2&lt;=Summary!$O15),IF((AE2-Summary!$N15)&lt;12,Summary!$P$13*Summary!$L$15,IF(MOD(AE2,12)=MOD(Summary!$N15,12),(Summary!$L$15*Summary!$P$13*((1+Summary!$K$5)^((AE2-12-MOD(Summary!$N15,12))/12))),HLOOKUP(AD3,$E$3:$DV16,14,FALSE))))</f>
        <v>0</v>
      </c>
      <c r="AF16" s="46">
        <f>IF(AND(Summary!$N15&lt;='Cash Flow Statement'!AF$2,'Cash Flow Statement'!AF$2&lt;=Summary!$O15),IF((AF2-Summary!$N15)&lt;12,Summary!$P$13*Summary!$L$15,IF(MOD(AF2,12)=MOD(Summary!$N15,12),(Summary!$L$15*Summary!$P$13*((1+Summary!$K$5)^((AF2-12-MOD(Summary!$N15,12))/12))),HLOOKUP(AE3,$E$3:$DV16,14,FALSE))))</f>
        <v>0</v>
      </c>
      <c r="AG16" s="46">
        <f>IF(AND(Summary!$N15&lt;='Cash Flow Statement'!AG$2,'Cash Flow Statement'!AG$2&lt;=Summary!$O15),IF((AG2-Summary!$N15)&lt;12,Summary!$P$13*Summary!$L$15,IF(MOD(AG2,12)=MOD(Summary!$N15,12),(Summary!$L$15*Summary!$P$13*((1+Summary!$K$5)^((AG2-12-MOD(Summary!$N15,12))/12))),HLOOKUP(AF3,$E$3:$DV16,14,FALSE))))</f>
        <v>0</v>
      </c>
      <c r="AH16" s="46">
        <f>IF(AND(Summary!$N15&lt;='Cash Flow Statement'!AH$2,'Cash Flow Statement'!AH$2&lt;=Summary!$O15),IF((AH2-Summary!$N15)&lt;12,Summary!$P$13*Summary!$L$15,IF(MOD(AH2,12)=MOD(Summary!$N15,12),(Summary!$L$15*Summary!$P$13*((1+Summary!$K$5)^((AH2-12-MOD(Summary!$N15,12))/12))),HLOOKUP(AG3,$E$3:$DV16,14,FALSE))))</f>
        <v>0</v>
      </c>
      <c r="AI16" s="46">
        <f>IF(AND(Summary!$N15&lt;='Cash Flow Statement'!AI$2,'Cash Flow Statement'!AI$2&lt;=Summary!$O15),IF((AI2-Summary!$N15)&lt;12,Summary!$P$13*Summary!$L$15,IF(MOD(AI2,12)=MOD(Summary!$N15,12),(Summary!$L$15*Summary!$P$13*((1+Summary!$K$5)^((AI2-12-MOD(Summary!$N15,12))/12))),HLOOKUP(AH3,$E$3:$DV16,14,FALSE))))</f>
        <v>0</v>
      </c>
      <c r="AJ16" s="46">
        <f>IF(AND(Summary!$N15&lt;='Cash Flow Statement'!AJ$2,'Cash Flow Statement'!AJ$2&lt;=Summary!$O15),IF((AJ2-Summary!$N15)&lt;12,Summary!$P$13*Summary!$L$15,IF(MOD(AJ2,12)=MOD(Summary!$N15,12),(Summary!$L$15*Summary!$P$13*((1+Summary!$K$5)^((AJ2-12-MOD(Summary!$N15,12))/12))),HLOOKUP(AI3,$E$3:$DV16,14,FALSE))))</f>
        <v>0</v>
      </c>
      <c r="AK16" s="46">
        <f>IF(AND(Summary!$N15&lt;='Cash Flow Statement'!AK$2,'Cash Flow Statement'!AK$2&lt;=Summary!$O15),IF((AK2-Summary!$N15)&lt;12,Summary!$P$13*Summary!$L$15,IF(MOD(AK2,12)=MOD(Summary!$N15,12),(Summary!$L$15*Summary!$P$13*((1+Summary!$K$5)^((AK2-12-MOD(Summary!$N15,12))/12))),HLOOKUP(AJ3,$E$3:$DV16,14,FALSE))))</f>
        <v>0</v>
      </c>
      <c r="AL16" s="46">
        <f>IF(AND(Summary!$N15&lt;='Cash Flow Statement'!AL$2,'Cash Flow Statement'!AL$2&lt;=Summary!$O15),IF((AL2-Summary!$N15)&lt;12,Summary!$P$13*Summary!$L$15,IF(MOD(AL2,12)=MOD(Summary!$N15,12),(Summary!$L$15*Summary!$P$13*((1+Summary!$K$5)^((AL2-12-MOD(Summary!$N15,12))/12))),HLOOKUP(AK3,$E$3:$DV16,14,FALSE))))</f>
        <v>0</v>
      </c>
      <c r="AM16" s="46">
        <f>IF(AND(Summary!$N15&lt;='Cash Flow Statement'!AM$2,'Cash Flow Statement'!AM$2&lt;=Summary!$O15),IF((AM2-Summary!$N15)&lt;12,Summary!$P$13*Summary!$L$15,IF(MOD(AM2,12)=MOD(Summary!$N15,12),(Summary!$L$15*Summary!$P$13*((1+Summary!$K$5)^((AM2-12-MOD(Summary!$N15,12))/12))),HLOOKUP(AL3,$E$3:$DV16,14,FALSE))))</f>
        <v>0</v>
      </c>
      <c r="AN16" s="46">
        <f>IF(AND(Summary!$N15&lt;='Cash Flow Statement'!AN$2,'Cash Flow Statement'!AN$2&lt;=Summary!$O15),IF((AN2-Summary!$N15)&lt;12,Summary!$P$13*Summary!$L$15,IF(MOD(AN2,12)=MOD(Summary!$N15,12),(Summary!$L$15*Summary!$P$13*((1+Summary!$K$5)^((AN2-12-MOD(Summary!$N15,12))/12))),HLOOKUP(AM3,$E$3:$DV16,14,FALSE))))</f>
        <v>0</v>
      </c>
      <c r="AO16" s="46">
        <f>IF(AND(Summary!$N15&lt;='Cash Flow Statement'!AO$2,'Cash Flow Statement'!AO$2&lt;=Summary!$O15),IF((AO2-Summary!$N15)&lt;12,Summary!$P$13*Summary!$L$15,IF(MOD(AO2,12)=MOD(Summary!$N15,12),(Summary!$L$15*Summary!$P$13*((1+Summary!$K$5)^((AO2-12-MOD(Summary!$N15,12))/12))),HLOOKUP(AN3,$E$3:$DV16,14,FALSE))))</f>
        <v>0</v>
      </c>
      <c r="AP16" s="46">
        <f>IF(AND(Summary!$N15&lt;='Cash Flow Statement'!AP$2,'Cash Flow Statement'!AP$2&lt;=Summary!$O15),IF((AP2-Summary!$N15)&lt;12,Summary!$P$13*Summary!$L$15,IF(MOD(AP2,12)=MOD(Summary!$N15,12),(Summary!$L$15*Summary!$P$13*((1+Summary!$K$5)^((AP2-12-MOD(Summary!$N15,12))/12))),HLOOKUP(AO3,$E$3:$DV16,14,FALSE))))</f>
        <v>0</v>
      </c>
      <c r="AQ16" s="46">
        <f>IF(AND(Summary!$N15&lt;='Cash Flow Statement'!AQ$2,'Cash Flow Statement'!AQ$2&lt;=Summary!$O15),IF((AQ2-Summary!$N15)&lt;12,Summary!$P$13*Summary!$L$15,IF(MOD(AQ2,12)=MOD(Summary!$N15,12),(Summary!$L$15*Summary!$P$13*((1+Summary!$K$5)^((AQ2-12-MOD(Summary!$N15,12))/12))),HLOOKUP(AP3,$E$3:$DV16,14,FALSE))))</f>
        <v>0</v>
      </c>
      <c r="AR16" s="46">
        <f>IF(AND(Summary!$N15&lt;='Cash Flow Statement'!AR$2,'Cash Flow Statement'!AR$2&lt;=Summary!$O15),IF((AR2-Summary!$N15)&lt;12,Summary!$P$13*Summary!$L$15,IF(MOD(AR2,12)=MOD(Summary!$N15,12),(Summary!$L$15*Summary!$P$13*((1+Summary!$K$5)^((AR2-12-MOD(Summary!$N15,12))/12))),HLOOKUP(AQ3,$E$3:$DV16,14,FALSE))))</f>
        <v>0</v>
      </c>
      <c r="AS16" s="46">
        <f>IF(AND(Summary!$N15&lt;='Cash Flow Statement'!AS$2,'Cash Flow Statement'!AS$2&lt;=Summary!$O15),IF((AS2-Summary!$N15)&lt;12,Summary!$P$13*Summary!$L$15,IF(MOD(AS2,12)=MOD(Summary!$N15,12),(Summary!$L$15*Summary!$P$13*((1+Summary!$K$5)^((AS2-12-MOD(Summary!$N15,12))/12))),HLOOKUP(AR3,$E$3:$DV16,14,FALSE))))</f>
        <v>0</v>
      </c>
      <c r="AT16" s="46">
        <f>IF(AND(Summary!$N15&lt;='Cash Flow Statement'!AT$2,'Cash Flow Statement'!AT$2&lt;=Summary!$O15),IF((AT2-Summary!$N15)&lt;12,Summary!$P$13*Summary!$L$15,IF(MOD(AT2,12)=MOD(Summary!$N15,12),(Summary!$L$15*Summary!$P$13*((1+Summary!$K$5)^((AT2-12-MOD(Summary!$N15,12))/12))),HLOOKUP(AS3,$E$3:$DV16,14,FALSE))))</f>
        <v>0</v>
      </c>
      <c r="AU16" s="46">
        <f>IF(AND(Summary!$N15&lt;='Cash Flow Statement'!AU$2,'Cash Flow Statement'!AU$2&lt;=Summary!$O15),IF((AU2-Summary!$N15)&lt;12,Summary!$P$13*Summary!$L$15,IF(MOD(AU2,12)=MOD(Summary!$N15,12),(Summary!$L$15*Summary!$P$13*((1+Summary!$K$5)^((AU2-12-MOD(Summary!$N15,12))/12))),HLOOKUP(AT3,$E$3:$DV16,14,FALSE))))</f>
        <v>0</v>
      </c>
      <c r="AV16" s="46">
        <f>IF(AND(Summary!$N15&lt;='Cash Flow Statement'!AV$2,'Cash Flow Statement'!AV$2&lt;=Summary!$O15),IF((AV2-Summary!$N15)&lt;12,Summary!$P$13*Summary!$L$15,IF(MOD(AV2,12)=MOD(Summary!$N15,12),(Summary!$L$15*Summary!$P$13*((1+Summary!$K$5)^((AV2-12-MOD(Summary!$N15,12))/12))),HLOOKUP(AU3,$E$3:$DV16,14,FALSE))))</f>
        <v>0</v>
      </c>
      <c r="AW16" s="46">
        <f>IF(AND(Summary!$N15&lt;='Cash Flow Statement'!AW$2,'Cash Flow Statement'!AW$2&lt;=Summary!$O15),IF((AW2-Summary!$N15)&lt;12,Summary!$P$13*Summary!$L$15,IF(MOD(AW2,12)=MOD(Summary!$N15,12),(Summary!$L$15*Summary!$P$13*((1+Summary!$K$5)^((AW2-12-MOD(Summary!$N15,12))/12))),HLOOKUP(AV3,$E$3:$DV16,14,FALSE))))</f>
        <v>0</v>
      </c>
      <c r="AX16" s="46">
        <f>IF(AND(Summary!$N15&lt;='Cash Flow Statement'!AX$2,'Cash Flow Statement'!AX$2&lt;=Summary!$O15),IF((AX2-Summary!$N15)&lt;12,Summary!$P$13*Summary!$L$15,IF(MOD(AX2,12)=MOD(Summary!$N15,12),(Summary!$L$15*Summary!$P$13*((1+Summary!$K$5)^((AX2-12-MOD(Summary!$N15,12))/12))),HLOOKUP(AW3,$E$3:$DV16,14,FALSE))))</f>
        <v>0</v>
      </c>
      <c r="AY16" s="46">
        <f>IF(AND(Summary!$N15&lt;='Cash Flow Statement'!AY$2,'Cash Flow Statement'!AY$2&lt;=Summary!$O15),IF((AY2-Summary!$N15)&lt;12,Summary!$P$13*Summary!$L$15,IF(MOD(AY2,12)=MOD(Summary!$N15,12),(Summary!$L$15*Summary!$P$13*((1+Summary!$K$5)^((AY2-12-MOD(Summary!$N15,12))/12))),HLOOKUP(AX3,$E$3:$DV16,14,FALSE))))</f>
        <v>0</v>
      </c>
      <c r="AZ16" s="46">
        <f>IF(AND(Summary!$N15&lt;='Cash Flow Statement'!AZ$2,'Cash Flow Statement'!AZ$2&lt;=Summary!$O15),IF((AZ2-Summary!$N15)&lt;12,Summary!$P$13*Summary!$L$15,IF(MOD(AZ2,12)=MOD(Summary!$N15,12),(Summary!$L$15*Summary!$P$13*((1+Summary!$K$5)^((AZ2-12-MOD(Summary!$N15,12))/12))),HLOOKUP(AY3,$E$3:$DV16,14,FALSE))))</f>
        <v>0</v>
      </c>
      <c r="BA16" s="46">
        <f>IF(AND(Summary!$N15&lt;='Cash Flow Statement'!BA$2,'Cash Flow Statement'!BA$2&lt;=Summary!$O15),IF((BA2-Summary!$N15)&lt;12,Summary!$P$13*Summary!$L$15,IF(MOD(BA2,12)=MOD(Summary!$N15,12),(Summary!$L$15*Summary!$P$13*((1+Summary!$K$5)^((BA2-12-MOD(Summary!$N15,12))/12))),HLOOKUP(AZ3,$E$3:$DV16,14,FALSE))))</f>
        <v>0</v>
      </c>
      <c r="BB16" s="46">
        <f>IF(AND(Summary!$N15&lt;='Cash Flow Statement'!BB$2,'Cash Flow Statement'!BB$2&lt;=Summary!$O15),IF((BB2-Summary!$N15)&lt;12,Summary!$P$13*Summary!$L$15,IF(MOD(BB2,12)=MOD(Summary!$N15,12),(Summary!$L$15*Summary!$P$13*((1+Summary!$K$5)^((BB2-12-MOD(Summary!$N15,12))/12))),HLOOKUP(BA3,$E$3:$DV16,14,FALSE))))</f>
        <v>0</v>
      </c>
      <c r="BC16" s="46">
        <f>IF(AND(Summary!$N15&lt;='Cash Flow Statement'!BC$2,'Cash Flow Statement'!BC$2&lt;=Summary!$O15),IF((BC2-Summary!$N15)&lt;12,Summary!$P$13*Summary!$L$15,IF(MOD(BC2,12)=MOD(Summary!$N15,12),(Summary!$L$15*Summary!$P$13*((1+Summary!$K$5)^((BC2-12-MOD(Summary!$N15,12))/12))),HLOOKUP(BB3,$E$3:$DV16,14,FALSE))))</f>
        <v>0</v>
      </c>
      <c r="BD16" s="46">
        <f>IF(AND(Summary!$N15&lt;='Cash Flow Statement'!BD$2,'Cash Flow Statement'!BD$2&lt;=Summary!$O15),IF((BD2-Summary!$N15)&lt;12,Summary!$P$13*Summary!$L$15,IF(MOD(BD2,12)=MOD(Summary!$N15,12),(Summary!$L$15*Summary!$P$13*((1+Summary!$K$5)^((BD2-12-MOD(Summary!$N15,12))/12))),HLOOKUP(BC3,$E$3:$DV16,14,FALSE))))</f>
        <v>0</v>
      </c>
      <c r="BE16" s="46">
        <f>IF(AND(Summary!$N15&lt;='Cash Flow Statement'!BE$2,'Cash Flow Statement'!BE$2&lt;=Summary!$O15),IF((BE2-Summary!$N15)&lt;12,Summary!$P$13*Summary!$L$15,IF(MOD(BE2,12)=MOD(Summary!$N15,12),(Summary!$L$15*Summary!$P$13*((1+Summary!$K$5)^((BE2-12-MOD(Summary!$N15,12))/12))),HLOOKUP(BD3,$E$3:$DV16,14,FALSE))))</f>
        <v>0</v>
      </c>
      <c r="BF16" s="46">
        <f>IF(AND(Summary!$N15&lt;='Cash Flow Statement'!BF$2,'Cash Flow Statement'!BF$2&lt;=Summary!$O15),IF((BF2-Summary!$N15)&lt;12,Summary!$P$13*Summary!$L$15,IF(MOD(BF2,12)=MOD(Summary!$N15,12),(Summary!$L$15*Summary!$P$13*((1+Summary!$K$5)^((BF2-12-MOD(Summary!$N15,12))/12))),HLOOKUP(BE3,$E$3:$DV16,14,FALSE))))</f>
        <v>0</v>
      </c>
      <c r="BG16" s="46">
        <f>IF(AND(Summary!$N15&lt;='Cash Flow Statement'!BG$2,'Cash Flow Statement'!BG$2&lt;=Summary!$O15),IF((BG2-Summary!$N15)&lt;12,Summary!$P$13*Summary!$L$15,IF(MOD(BG2,12)=MOD(Summary!$N15,12),(Summary!$L$15*Summary!$P$13*((1+Summary!$K$5)^((BG2-12-MOD(Summary!$N15,12))/12))),HLOOKUP(BF3,$E$3:$DV16,14,FALSE))))</f>
        <v>0</v>
      </c>
      <c r="BH16" s="46">
        <f>IF(AND(Summary!$N15&lt;='Cash Flow Statement'!BH$2,'Cash Flow Statement'!BH$2&lt;=Summary!$O15),IF((BH2-Summary!$N15)&lt;12,Summary!$P$13*Summary!$L$15,IF(MOD(BH2,12)=MOD(Summary!$N15,12),(Summary!$L$15*Summary!$P$13*((1+Summary!$K$5)^((BH2-12-MOD(Summary!$N15,12))/12))),HLOOKUP(BG3,$E$3:$DV16,14,FALSE))))</f>
        <v>0</v>
      </c>
      <c r="BI16" s="46">
        <f>IF(AND(Summary!$N15&lt;='Cash Flow Statement'!BI$2,'Cash Flow Statement'!BI$2&lt;=Summary!$O15),IF((BI2-Summary!$N15)&lt;12,Summary!$P$13*Summary!$L$15,IF(MOD(BI2,12)=MOD(Summary!$N15,12),(Summary!$L$15*Summary!$P$13*((1+Summary!$K$5)^((BI2-12-MOD(Summary!$N15,12))/12))),HLOOKUP(BH3,$E$3:$DV16,14,FALSE))))</f>
        <v>0</v>
      </c>
      <c r="BJ16" s="46">
        <f>IF(AND(Summary!$N15&lt;='Cash Flow Statement'!BJ$2,'Cash Flow Statement'!BJ$2&lt;=Summary!$O15),IF((BJ2-Summary!$N15)&lt;12,Summary!$P$13*Summary!$L$15,IF(MOD(BJ2,12)=MOD(Summary!$N15,12),(Summary!$L$15*Summary!$P$13*((1+Summary!$K$5)^((BJ2-12-MOD(Summary!$N15,12))/12))),HLOOKUP(BI3,$E$3:$DV16,14,FALSE))))</f>
        <v>0</v>
      </c>
      <c r="BK16" s="46">
        <f>IF(AND(Summary!$N15&lt;='Cash Flow Statement'!BK$2,'Cash Flow Statement'!BK$2&lt;=Summary!$O15),IF((BK2-Summary!$N15)&lt;12,Summary!$P$13*Summary!$L$15,IF(MOD(BK2,12)=MOD(Summary!$N15,12),(Summary!$L$15*Summary!$P$13*((1+Summary!$K$5)^((BK2-12-MOD(Summary!$N15,12))/12))),HLOOKUP(BJ3,$E$3:$DV16,14,FALSE))))</f>
        <v>0</v>
      </c>
      <c r="BL16" s="46">
        <f>IF(AND(Summary!$N15&lt;='Cash Flow Statement'!BL$2,'Cash Flow Statement'!BL$2&lt;=Summary!$O15),IF((BL2-Summary!$N15)&lt;12,Summary!$P$13*Summary!$L$15,IF(MOD(BL2,12)=MOD(Summary!$N15,12),(Summary!$L$15*Summary!$P$13*((1+Summary!$K$5)^((BL2-12-MOD(Summary!$N15,12))/12))),HLOOKUP(BK3,$E$3:$DV16,14,FALSE))))</f>
        <v>0</v>
      </c>
      <c r="BM16" s="46">
        <f>IF(AND(Summary!$N15&lt;='Cash Flow Statement'!BM$2,'Cash Flow Statement'!BM$2&lt;=Summary!$O15),IF((BM2-Summary!$N15)&lt;12,Summary!$P$13*Summary!$L$15,IF(MOD(BM2,12)=MOD(Summary!$N15,12),(Summary!$L$15*Summary!$P$13*((1+Summary!$K$5)^((BM2-12-MOD(Summary!$N15,12))/12))),HLOOKUP(BL3,$E$3:$DV16,14,FALSE))))</f>
        <v>0</v>
      </c>
      <c r="BN16" s="46">
        <f>IF(AND(Summary!$N15&lt;='Cash Flow Statement'!BN$2,'Cash Flow Statement'!BN$2&lt;=Summary!$O15),IF((BN2-Summary!$N15)&lt;12,Summary!$P$13*Summary!$L$15,IF(MOD(BN2,12)=MOD(Summary!$N15,12),(Summary!$L$15*Summary!$P$13*((1+Summary!$K$5)^((BN2-12-MOD(Summary!$N15,12))/12))),HLOOKUP(BM3,$E$3:$DV16,14,FALSE))))</f>
        <v>0</v>
      </c>
      <c r="BO16" s="46">
        <f>IF(AND(Summary!$N15&lt;='Cash Flow Statement'!BO$2,'Cash Flow Statement'!BO$2&lt;=Summary!$O15),IF((BO2-Summary!$N15)&lt;12,Summary!$P$13*Summary!$L$15,IF(MOD(BO2,12)=MOD(Summary!$N15,12),(Summary!$L$15*Summary!$P$13*((1+Summary!$K$5)^((BO2-12-MOD(Summary!$N15,12))/12))),HLOOKUP(BN3,$E$3:$DV16,14,FALSE))))</f>
        <v>0</v>
      </c>
      <c r="BP16" s="46">
        <f>IF(AND(Summary!$N15&lt;='Cash Flow Statement'!BP$2,'Cash Flow Statement'!BP$2&lt;=Summary!$O15),IF((BP2-Summary!$N15)&lt;12,Summary!$P$13*Summary!$L$15,IF(MOD(BP2,12)=MOD(Summary!$N15,12),(Summary!$L$15*Summary!$P$13*((1+Summary!$K$5)^((BP2-12-MOD(Summary!$N15,12))/12))),HLOOKUP(BO3,$E$3:$DV16,14,FALSE))))</f>
        <v>0</v>
      </c>
      <c r="BQ16" s="46">
        <f>IF(AND(Summary!$N15&lt;='Cash Flow Statement'!BQ$2,'Cash Flow Statement'!BQ$2&lt;=Summary!$O15),IF((BQ2-Summary!$N15)&lt;12,Summary!$P$13*Summary!$L$15,IF(MOD(BQ2,12)=MOD(Summary!$N15,12),(Summary!$L$15*Summary!$P$13*((1+Summary!$K$5)^((BQ2-12-MOD(Summary!$N15,12))/12))),HLOOKUP(BP3,$E$3:$DV16,14,FALSE))))</f>
        <v>0</v>
      </c>
      <c r="BR16" s="46">
        <f>IF(AND(Summary!$N15&lt;='Cash Flow Statement'!BR$2,'Cash Flow Statement'!BR$2&lt;=Summary!$O15),IF((BR2-Summary!$N15)&lt;12,Summary!$P$13*Summary!$L$15,IF(MOD(BR2,12)=MOD(Summary!$N15,12),(Summary!$L$15*Summary!$P$13*((1+Summary!$K$5)^((BR2-12-MOD(Summary!$N15,12))/12))),HLOOKUP(BQ3,$E$3:$DV16,14,FALSE))))</f>
        <v>0</v>
      </c>
      <c r="BS16" s="46">
        <f>IF(AND(Summary!$N15&lt;='Cash Flow Statement'!BS$2,'Cash Flow Statement'!BS$2&lt;=Summary!$O15),IF((BS2-Summary!$N15)&lt;12,Summary!$P$13*Summary!$L$15,IF(MOD(BS2,12)=MOD(Summary!$N15,12),(Summary!$L$15*Summary!$P$13*((1+Summary!$K$5)^((BS2-12-MOD(Summary!$N15,12))/12))),HLOOKUP(BR3,$E$3:$DV16,14,FALSE))))</f>
        <v>0</v>
      </c>
      <c r="BT16" s="46">
        <f>IF(AND(Summary!$N15&lt;='Cash Flow Statement'!BT$2,'Cash Flow Statement'!BT$2&lt;=Summary!$O15),IF((BT2-Summary!$N15)&lt;12,Summary!$P$13*Summary!$L$15,IF(MOD(BT2,12)=MOD(Summary!$N15,12),(Summary!$L$15*Summary!$P$13*((1+Summary!$K$5)^((BT2-12-MOD(Summary!$N15,12))/12))),HLOOKUP(BS3,$E$3:$DV16,14,FALSE))))</f>
        <v>0</v>
      </c>
      <c r="BU16" s="46">
        <f>IF(AND(Summary!$N15&lt;='Cash Flow Statement'!BU$2,'Cash Flow Statement'!BU$2&lt;=Summary!$O15),IF((BU2-Summary!$N15)&lt;12,Summary!$P$13*Summary!$L$15,IF(MOD(BU2,12)=MOD(Summary!$N15,12),(Summary!$L$15*Summary!$P$13*((1+Summary!$K$5)^((BU2-12-MOD(Summary!$N15,12))/12))),HLOOKUP(BT3,$E$3:$DV16,14,FALSE))))</f>
        <v>0</v>
      </c>
      <c r="BV16" s="46">
        <f>IF(AND(Summary!$N15&lt;='Cash Flow Statement'!BV$2,'Cash Flow Statement'!BV$2&lt;=Summary!$O15),IF((BV2-Summary!$N15)&lt;12,Summary!$P$13*Summary!$L$15,IF(MOD(BV2,12)=MOD(Summary!$N15,12),(Summary!$L$15*Summary!$P$13*((1+Summary!$K$5)^((BV2-12-MOD(Summary!$N15,12))/12))),HLOOKUP(BU3,$E$3:$DV16,14,FALSE))))</f>
        <v>0</v>
      </c>
      <c r="BW16" s="46">
        <f>IF(AND(Summary!$N15&lt;='Cash Flow Statement'!BW$2,'Cash Flow Statement'!BW$2&lt;=Summary!$O15),IF((BW2-Summary!$N15)&lt;12,Summary!$P$13*Summary!$L$15,IF(MOD(BW2,12)=MOD(Summary!$N15,12),(Summary!$L$15*Summary!$P$13*((1+Summary!$K$5)^((BW2-12-MOD(Summary!$N15,12))/12))),HLOOKUP(BV3,$E$3:$DV16,14,FALSE))))</f>
        <v>0</v>
      </c>
      <c r="BX16" s="46">
        <f>IF(AND(Summary!$N15&lt;='Cash Flow Statement'!BX$2,'Cash Flow Statement'!BX$2&lt;=Summary!$O15),IF((BX2-Summary!$N15)&lt;12,Summary!$P$13*Summary!$L$15,IF(MOD(BX2,12)=MOD(Summary!$N15,12),(Summary!$L$15*Summary!$P$13*((1+Summary!$K$5)^((BX2-12-MOD(Summary!$N15,12))/12))),HLOOKUP(BW3,$E$3:$DV16,14,FALSE))))</f>
        <v>0</v>
      </c>
      <c r="BY16" s="46">
        <f>IF(AND(Summary!$N15&lt;='Cash Flow Statement'!BY$2,'Cash Flow Statement'!BY$2&lt;=Summary!$O15),IF((BY2-Summary!$N15)&lt;12,Summary!$P$13*Summary!$L$15,IF(MOD(BY2,12)=MOD(Summary!$N15,12),(Summary!$L$15*Summary!$P$13*((1+Summary!$K$5)^((BY2-12-MOD(Summary!$N15,12))/12))),HLOOKUP(BX3,$E$3:$DV16,14,FALSE))))</f>
        <v>0</v>
      </c>
      <c r="BZ16" s="46">
        <f>IF(AND(Summary!$N15&lt;='Cash Flow Statement'!BZ$2,'Cash Flow Statement'!BZ$2&lt;=Summary!$O15),IF((BZ2-Summary!$N15)&lt;12,Summary!$P$13*Summary!$L$15,IF(MOD(BZ2,12)=MOD(Summary!$N15,12),(Summary!$L$15*Summary!$P$13*((1+Summary!$K$5)^((BZ2-12-MOD(Summary!$N15,12))/12))),HLOOKUP(BY3,$E$3:$DV16,14,FALSE))))</f>
        <v>0</v>
      </c>
      <c r="CA16" s="46">
        <f>IF(AND(Summary!$N15&lt;='Cash Flow Statement'!CA$2,'Cash Flow Statement'!CA$2&lt;=Summary!$O15),IF((CA2-Summary!$N15)&lt;12,Summary!$P$13*Summary!$L$15,IF(MOD(CA2,12)=MOD(Summary!$N15,12),(Summary!$L$15*Summary!$P$13*((1+Summary!$K$5)^((CA2-12-MOD(Summary!$N15,12))/12))),HLOOKUP(BZ3,$E$3:$DV16,14,FALSE))))</f>
        <v>0</v>
      </c>
      <c r="CB16" s="46">
        <f>IF(AND(Summary!$N15&lt;='Cash Flow Statement'!CB$2,'Cash Flow Statement'!CB$2&lt;=Summary!$O15),IF((CB2-Summary!$N15)&lt;12,Summary!$P$13*Summary!$L$15,IF(MOD(CB2,12)=MOD(Summary!$N15,12),(Summary!$L$15*Summary!$P$13*((1+Summary!$K$5)^((CB2-12-MOD(Summary!$N15,12))/12))),HLOOKUP(CA3,$E$3:$DV16,14,FALSE))))</f>
        <v>0</v>
      </c>
      <c r="CC16" s="46">
        <f>IF(AND(Summary!$N15&lt;='Cash Flow Statement'!CC$2,'Cash Flow Statement'!CC$2&lt;=Summary!$O15),IF((CC2-Summary!$N15)&lt;12,Summary!$P$13*Summary!$L$15,IF(MOD(CC2,12)=MOD(Summary!$N15,12),(Summary!$L$15*Summary!$P$13*((1+Summary!$K$5)^((CC2-12-MOD(Summary!$N15,12))/12))),HLOOKUP(CB3,$E$3:$DV16,14,FALSE))))</f>
        <v>0</v>
      </c>
      <c r="CD16" s="46">
        <f>IF(AND(Summary!$N15&lt;='Cash Flow Statement'!CD$2,'Cash Flow Statement'!CD$2&lt;=Summary!$O15),IF((CD2-Summary!$N15)&lt;12,Summary!$P$13*Summary!$L$15,IF(MOD(CD2,12)=MOD(Summary!$N15,12),(Summary!$L$15*Summary!$P$13*((1+Summary!$K$5)^((CD2-12-MOD(Summary!$N15,12))/12))),HLOOKUP(CC3,$E$3:$DV16,14,FALSE))))</f>
        <v>0</v>
      </c>
      <c r="CE16" s="46">
        <f>IF(AND(Summary!$N15&lt;='Cash Flow Statement'!CE$2,'Cash Flow Statement'!CE$2&lt;=Summary!$O15),IF((CE2-Summary!$N15)&lt;12,Summary!$P$13*Summary!$L$15,IF(MOD(CE2,12)=MOD(Summary!$N15,12),(Summary!$L$15*Summary!$P$13*((1+Summary!$K$5)^((CE2-12-MOD(Summary!$N15,12))/12))),HLOOKUP(CD3,$E$3:$DV16,14,FALSE))))</f>
        <v>0</v>
      </c>
      <c r="CF16" s="46">
        <f>IF(AND(Summary!$N15&lt;='Cash Flow Statement'!CF$2,'Cash Flow Statement'!CF$2&lt;=Summary!$O15),IF((CF2-Summary!$N15)&lt;12,Summary!$P$13*Summary!$L$15,IF(MOD(CF2,12)=MOD(Summary!$N15,12),(Summary!$L$15*Summary!$P$13*((1+Summary!$K$5)^((CF2-12-MOD(Summary!$N15,12))/12))),HLOOKUP(CE3,$E$3:$DV16,14,FALSE))))</f>
        <v>0</v>
      </c>
      <c r="CG16" s="46">
        <f>IF(AND(Summary!$N15&lt;='Cash Flow Statement'!CG$2,'Cash Flow Statement'!CG$2&lt;=Summary!$O15),IF((CG2-Summary!$N15)&lt;12,Summary!$P$13*Summary!$L$15,IF(MOD(CG2,12)=MOD(Summary!$N15,12),(Summary!$L$15*Summary!$P$13*((1+Summary!$K$5)^((CG2-12-MOD(Summary!$N15,12))/12))),HLOOKUP(CF3,$E$3:$DV16,14,FALSE))))</f>
        <v>0</v>
      </c>
      <c r="CH16" s="46">
        <f>IF(AND(Summary!$N15&lt;='Cash Flow Statement'!CH$2,'Cash Flow Statement'!CH$2&lt;=Summary!$O15),IF((CH2-Summary!$N15)&lt;12,Summary!$P$13*Summary!$L$15,IF(MOD(CH2,12)=MOD(Summary!$N15,12),(Summary!$L$15*Summary!$P$13*((1+Summary!$K$5)^((CH2-12-MOD(Summary!$N15,12))/12))),HLOOKUP(CG3,$E$3:$DV16,14,FALSE))))</f>
        <v>0</v>
      </c>
      <c r="CI16" s="46">
        <f>IF(AND(Summary!$N15&lt;='Cash Flow Statement'!CI$2,'Cash Flow Statement'!CI$2&lt;=Summary!$O15),IF((CI2-Summary!$N15)&lt;12,Summary!$P$13*Summary!$L$15,IF(MOD(CI2,12)=MOD(Summary!$N15,12),(Summary!$L$15*Summary!$P$13*((1+Summary!$K$5)^((CI2-12-MOD(Summary!$N15,12))/12))),HLOOKUP(CH3,$E$3:$DV16,14,FALSE))))</f>
        <v>0</v>
      </c>
      <c r="CJ16" s="46">
        <f>IF(AND(Summary!$N15&lt;='Cash Flow Statement'!CJ$2,'Cash Flow Statement'!CJ$2&lt;=Summary!$O15),IF((CJ2-Summary!$N15)&lt;12,Summary!$P$13*Summary!$L$15,IF(MOD(CJ2,12)=MOD(Summary!$N15,12),(Summary!$L$15*Summary!$P$13*((1+Summary!$K$5)^((CJ2-12-MOD(Summary!$N15,12))/12))),HLOOKUP(CI3,$E$3:$DV16,14,FALSE))))</f>
        <v>0</v>
      </c>
      <c r="CK16" s="46">
        <f>IF(AND(Summary!$N15&lt;='Cash Flow Statement'!CK$2,'Cash Flow Statement'!CK$2&lt;=Summary!$O15),IF((CK2-Summary!$N15)&lt;12,Summary!$P$13*Summary!$L$15,IF(MOD(CK2,12)=MOD(Summary!$N15,12),(Summary!$L$15*Summary!$P$13*((1+Summary!$K$5)^((CK2-12-MOD(Summary!$N15,12))/12))),HLOOKUP(CJ3,$E$3:$DV16,14,FALSE))))</f>
        <v>0</v>
      </c>
      <c r="CL16" s="46">
        <f>IF(AND(Summary!$N15&lt;='Cash Flow Statement'!CL$2,'Cash Flow Statement'!CL$2&lt;=Summary!$O15),IF((CL2-Summary!$N15)&lt;12,Summary!$P$13*Summary!$L$15,IF(MOD(CL2,12)=MOD(Summary!$N15,12),(Summary!$L$15*Summary!$P$13*((1+Summary!$K$5)^((CL2-12-MOD(Summary!$N15,12))/12))),HLOOKUP(CK3,$E$3:$DV16,14,FALSE))))</f>
        <v>0</v>
      </c>
      <c r="CM16" s="46">
        <f>IF(AND(Summary!$N15&lt;='Cash Flow Statement'!CM$2,'Cash Flow Statement'!CM$2&lt;=Summary!$O15),IF((CM2-Summary!$N15)&lt;12,Summary!$P$13*Summary!$L$15,IF(MOD(CM2,12)=MOD(Summary!$N15,12),(Summary!$L$15*Summary!$P$13*((1+Summary!$K$5)^((CM2-12-MOD(Summary!$N15,12))/12))),HLOOKUP(CL3,$E$3:$DV16,14,FALSE))))</f>
        <v>0</v>
      </c>
      <c r="CN16" s="46">
        <f>IF(AND(Summary!$N15&lt;='Cash Flow Statement'!CN$2,'Cash Flow Statement'!CN$2&lt;=Summary!$O15),IF((CN2-Summary!$N15)&lt;12,Summary!$P$13*Summary!$L$15,IF(MOD(CN2,12)=MOD(Summary!$N15,12),(Summary!$L$15*Summary!$P$13*((1+Summary!$K$5)^((CN2-12-MOD(Summary!$N15,12))/12))),HLOOKUP(CM3,$E$3:$DV16,14,FALSE))))</f>
        <v>0</v>
      </c>
      <c r="CO16" s="46">
        <f>IF(AND(Summary!$N15&lt;='Cash Flow Statement'!CO$2,'Cash Flow Statement'!CO$2&lt;=Summary!$O15),IF((CO2-Summary!$N15)&lt;12,Summary!$P$13*Summary!$L$15,IF(MOD(CO2,12)=MOD(Summary!$N15,12),(Summary!$L$15*Summary!$P$13*((1+Summary!$K$5)^((CO2-12-MOD(Summary!$N15,12))/12))),HLOOKUP(CN3,$E$3:$DV16,14,FALSE))))</f>
        <v>0</v>
      </c>
      <c r="CP16" s="46">
        <f>IF(AND(Summary!$N15&lt;='Cash Flow Statement'!CP$2,'Cash Flow Statement'!CP$2&lt;=Summary!$O15),IF((CP2-Summary!$N15)&lt;12,Summary!$P$13*Summary!$L$15,IF(MOD(CP2,12)=MOD(Summary!$N15,12),(Summary!$L$15*Summary!$P$13*((1+Summary!$K$5)^((CP2-12-MOD(Summary!$N15,12))/12))),HLOOKUP(CO3,$E$3:$DV16,14,FALSE))))</f>
        <v>0</v>
      </c>
      <c r="CQ16" s="46">
        <f>IF(AND(Summary!$N15&lt;='Cash Flow Statement'!CQ$2,'Cash Flow Statement'!CQ$2&lt;=Summary!$O15),IF((CQ2-Summary!$N15)&lt;12,Summary!$P$13*Summary!$L$15,IF(MOD(CQ2,12)=MOD(Summary!$N15,12),(Summary!$L$15*Summary!$P$13*((1+Summary!$K$5)^((CQ2-12-MOD(Summary!$N15,12))/12))),HLOOKUP(CP3,$E$3:$DV16,14,FALSE))))</f>
        <v>0</v>
      </c>
      <c r="CR16" s="46">
        <f>IF(AND(Summary!$N15&lt;='Cash Flow Statement'!CR$2,'Cash Flow Statement'!CR$2&lt;=Summary!$O15),IF((CR2-Summary!$N15)&lt;12,Summary!$P$13*Summary!$L$15,IF(MOD(CR2,12)=MOD(Summary!$N15,12),(Summary!$L$15*Summary!$P$13*((1+Summary!$K$5)^((CR2-12-MOD(Summary!$N15,12))/12))),HLOOKUP(CQ3,$E$3:$DV16,14,FALSE))))</f>
        <v>0</v>
      </c>
      <c r="CS16" s="46">
        <f>IF(AND(Summary!$N15&lt;='Cash Flow Statement'!CS$2,'Cash Flow Statement'!CS$2&lt;=Summary!$O15),IF((CS2-Summary!$N15)&lt;12,Summary!$P$13*Summary!$L$15,IF(MOD(CS2,12)=MOD(Summary!$N15,12),(Summary!$L$15*Summary!$P$13*((1+Summary!$K$5)^((CS2-12-MOD(Summary!$N15,12))/12))),HLOOKUP(CR3,$E$3:$DV16,14,FALSE))))</f>
        <v>0</v>
      </c>
      <c r="CT16" s="46">
        <f>IF(AND(Summary!$N15&lt;='Cash Flow Statement'!CT$2,'Cash Flow Statement'!CT$2&lt;=Summary!$O15),IF((CT2-Summary!$N15)&lt;12,Summary!$P$13*Summary!$L$15,IF(MOD(CT2,12)=MOD(Summary!$N15,12),(Summary!$L$15*Summary!$P$13*((1+Summary!$K$5)^((CT2-12-MOD(Summary!$N15,12))/12))),HLOOKUP(CS3,$E$3:$DV16,14,FALSE))))</f>
        <v>0</v>
      </c>
      <c r="CU16" s="46">
        <f>IF(AND(Summary!$N15&lt;='Cash Flow Statement'!CU$2,'Cash Flow Statement'!CU$2&lt;=Summary!$O15),IF((CU2-Summary!$N15)&lt;12,Summary!$P$13*Summary!$L$15,IF(MOD(CU2,12)=MOD(Summary!$N15,12),(Summary!$L$15*Summary!$P$13*((1+Summary!$K$5)^((CU2-12-MOD(Summary!$N15,12))/12))),HLOOKUP(CT3,$E$3:$DV16,14,FALSE))))</f>
        <v>0</v>
      </c>
      <c r="CV16" s="46">
        <f>IF(AND(Summary!$N15&lt;='Cash Flow Statement'!CV$2,'Cash Flow Statement'!CV$2&lt;=Summary!$O15),IF((CV2-Summary!$N15)&lt;12,Summary!$P$13*Summary!$L$15,IF(MOD(CV2,12)=MOD(Summary!$N15,12),(Summary!$L$15*Summary!$P$13*((1+Summary!$K$5)^((CV2-12-MOD(Summary!$N15,12))/12))),HLOOKUP(CU3,$E$3:$DV16,14,FALSE))))</f>
        <v>0</v>
      </c>
      <c r="CW16" s="46">
        <f>IF(AND(Summary!$N15&lt;='Cash Flow Statement'!CW$2,'Cash Flow Statement'!CW$2&lt;=Summary!$O15),IF((CW2-Summary!$N15)&lt;12,Summary!$P$13*Summary!$L$15,IF(MOD(CW2,12)=MOD(Summary!$N15,12),(Summary!$L$15*Summary!$P$13*((1+Summary!$K$5)^((CW2-12-MOD(Summary!$N15,12))/12))),HLOOKUP(CV3,$E$3:$DV16,14,FALSE))))</f>
        <v>0</v>
      </c>
      <c r="CX16" s="46">
        <f>IF(AND(Summary!$N15&lt;='Cash Flow Statement'!CX$2,'Cash Flow Statement'!CX$2&lt;=Summary!$O15),IF((CX2-Summary!$N15)&lt;12,Summary!$P$13*Summary!$L$15,IF(MOD(CX2,12)=MOD(Summary!$N15,12),(Summary!$L$15*Summary!$P$13*((1+Summary!$K$5)^((CX2-12-MOD(Summary!$N15,12))/12))),HLOOKUP(CW3,$E$3:$DV16,14,FALSE))))</f>
        <v>0</v>
      </c>
      <c r="CY16" s="46">
        <f>IF(AND(Summary!$N15&lt;='Cash Flow Statement'!CY$2,'Cash Flow Statement'!CY$2&lt;=Summary!$O15),IF((CY2-Summary!$N15)&lt;12,Summary!$P$13*Summary!$L$15,IF(MOD(CY2,12)=MOD(Summary!$N15,12),(Summary!$L$15*Summary!$P$13*((1+Summary!$K$5)^((CY2-12-MOD(Summary!$N15,12))/12))),HLOOKUP(CX3,$E$3:$DV16,14,FALSE))))</f>
        <v>0</v>
      </c>
      <c r="CZ16" s="46">
        <f>IF(AND(Summary!$N15&lt;='Cash Flow Statement'!CZ$2,'Cash Flow Statement'!CZ$2&lt;=Summary!$O15),IF((CZ2-Summary!$N15)&lt;12,Summary!$P$13*Summary!$L$15,IF(MOD(CZ2,12)=MOD(Summary!$N15,12),(Summary!$L$15*Summary!$P$13*((1+Summary!$K$5)^((CZ2-12-MOD(Summary!$N15,12))/12))),HLOOKUP(CY3,$E$3:$DV16,14,FALSE))))</f>
        <v>0</v>
      </c>
      <c r="DA16" s="46">
        <f>IF(AND(Summary!$N15&lt;='Cash Flow Statement'!DA$2,'Cash Flow Statement'!DA$2&lt;=Summary!$O15),IF((DA2-Summary!$N15)&lt;12,Summary!$P$13*Summary!$L$15,IF(MOD(DA2,12)=MOD(Summary!$N15,12),(Summary!$L$15*Summary!$P$13*((1+Summary!$K$5)^((DA2-12-MOD(Summary!$N15,12))/12))),HLOOKUP(CZ3,$E$3:$DV16,14,FALSE))))</f>
        <v>0</v>
      </c>
      <c r="DB16" s="46">
        <f>IF(AND(Summary!$N15&lt;='Cash Flow Statement'!DB$2,'Cash Flow Statement'!DB$2&lt;=Summary!$O15),IF((DB2-Summary!$N15)&lt;12,Summary!$P$13*Summary!$L$15,IF(MOD(DB2,12)=MOD(Summary!$N15,12),(Summary!$L$15*Summary!$P$13*((1+Summary!$K$5)^((DB2-12-MOD(Summary!$N15,12))/12))),HLOOKUP(DA3,$E$3:$DV16,14,FALSE))))</f>
        <v>0</v>
      </c>
      <c r="DC16" s="46">
        <f>IF(AND(Summary!$N15&lt;='Cash Flow Statement'!DC$2,'Cash Flow Statement'!DC$2&lt;=Summary!$O15),IF((DC2-Summary!$N15)&lt;12,Summary!$P$13*Summary!$L$15,IF(MOD(DC2,12)=MOD(Summary!$N15,12),(Summary!$L$15*Summary!$P$13*((1+Summary!$K$5)^((DC2-12-MOD(Summary!$N15,12))/12))),HLOOKUP(DB3,$E$3:$DV16,14,FALSE))))</f>
        <v>0</v>
      </c>
      <c r="DD16" s="46">
        <f>IF(AND(Summary!$N15&lt;='Cash Flow Statement'!DD$2,'Cash Flow Statement'!DD$2&lt;=Summary!$O15),IF((DD2-Summary!$N15)&lt;12,Summary!$P$13*Summary!$L$15,IF(MOD(DD2,12)=MOD(Summary!$N15,12),(Summary!$L$15*Summary!$P$13*((1+Summary!$K$5)^((DD2-12-MOD(Summary!$N15,12))/12))),HLOOKUP(DC3,$E$3:$DV16,14,FALSE))))</f>
        <v>0</v>
      </c>
      <c r="DE16" s="46">
        <f>IF(AND(Summary!$N15&lt;='Cash Flow Statement'!DE$2,'Cash Flow Statement'!DE$2&lt;=Summary!$O15),IF((DE2-Summary!$N15)&lt;12,Summary!$P$13*Summary!$L$15,IF(MOD(DE2,12)=MOD(Summary!$N15,12),(Summary!$L$15*Summary!$P$13*((1+Summary!$K$5)^((DE2-12-MOD(Summary!$N15,12))/12))),HLOOKUP(DD3,$E$3:$DV16,14,FALSE))))</f>
        <v>0</v>
      </c>
      <c r="DF16" s="46">
        <f>IF(AND(Summary!$N15&lt;='Cash Flow Statement'!DF$2,'Cash Flow Statement'!DF$2&lt;=Summary!$O15),IF((DF2-Summary!$N15)&lt;12,Summary!$P$13*Summary!$L$15,IF(MOD(DF2,12)=MOD(Summary!$N15,12),(Summary!$L$15*Summary!$P$13*((1+Summary!$K$5)^((DF2-12-MOD(Summary!$N15,12))/12))),HLOOKUP(DE3,$E$3:$DV16,14,FALSE))))</f>
        <v>0</v>
      </c>
      <c r="DG16" s="46">
        <f>IF(AND(Summary!$N15&lt;='Cash Flow Statement'!DG$2,'Cash Flow Statement'!DG$2&lt;=Summary!$O15),IF((DG2-Summary!$N15)&lt;12,Summary!$P$13*Summary!$L$15,IF(MOD(DG2,12)=MOD(Summary!$N15,12),(Summary!$L$15*Summary!$P$13*((1+Summary!$K$5)^((DG2-12-MOD(Summary!$N15,12))/12))),HLOOKUP(DF3,$E$3:$DV16,14,FALSE))))</f>
        <v>0</v>
      </c>
      <c r="DH16" s="46">
        <f>IF(AND(Summary!$N15&lt;='Cash Flow Statement'!DH$2,'Cash Flow Statement'!DH$2&lt;=Summary!$O15),IF((DH2-Summary!$N15)&lt;12,Summary!$P$13*Summary!$L$15,IF(MOD(DH2,12)=MOD(Summary!$N15,12),(Summary!$L$15*Summary!$P$13*((1+Summary!$K$5)^((DH2-12-MOD(Summary!$N15,12))/12))),HLOOKUP(DG3,$E$3:$DV16,14,FALSE))))</f>
        <v>0</v>
      </c>
      <c r="DI16" s="46">
        <f>IF(AND(Summary!$N15&lt;='Cash Flow Statement'!DI$2,'Cash Flow Statement'!DI$2&lt;=Summary!$O15),IF((DI2-Summary!$N15)&lt;12,Summary!$P$13*Summary!$L$15,IF(MOD(DI2,12)=MOD(Summary!$N15,12),(Summary!$L$15*Summary!$P$13*((1+Summary!$K$5)^((DI2-12-MOD(Summary!$N15,12))/12))),HLOOKUP(DH3,$E$3:$DV16,14,FALSE))))</f>
        <v>0</v>
      </c>
      <c r="DJ16" s="46">
        <f>IF(AND(Summary!$N15&lt;='Cash Flow Statement'!DJ$2,'Cash Flow Statement'!DJ$2&lt;=Summary!$O15),IF((DJ2-Summary!$N15)&lt;12,Summary!$P$13*Summary!$L$15,IF(MOD(DJ2,12)=MOD(Summary!$N15,12),(Summary!$L$15*Summary!$P$13*((1+Summary!$K$5)^((DJ2-12-MOD(Summary!$N15,12))/12))),HLOOKUP(DI3,$E$3:$DV16,14,FALSE))))</f>
        <v>0</v>
      </c>
      <c r="DK16" s="46">
        <f>IF(AND(Summary!$N15&lt;='Cash Flow Statement'!DK$2,'Cash Flow Statement'!DK$2&lt;=Summary!$O15),IF((DK2-Summary!$N15)&lt;12,Summary!$P$13*Summary!$L$15,IF(MOD(DK2,12)=MOD(Summary!$N15,12),(Summary!$L$15*Summary!$P$13*((1+Summary!$K$5)^((DK2-12-MOD(Summary!$N15,12))/12))),HLOOKUP(DJ3,$E$3:$DV16,14,FALSE))))</f>
        <v>0</v>
      </c>
      <c r="DL16" s="46">
        <f>IF(AND(Summary!$N15&lt;='Cash Flow Statement'!DL$2,'Cash Flow Statement'!DL$2&lt;=Summary!$O15),IF((DL2-Summary!$N15)&lt;12,Summary!$P$13*Summary!$L$15,IF(MOD(DL2,12)=MOD(Summary!$N15,12),(Summary!$L$15*Summary!$P$13*((1+Summary!$K$5)^((DL2-12-MOD(Summary!$N15,12))/12))),HLOOKUP(DK3,$E$3:$DV16,14,FALSE))))</f>
        <v>0</v>
      </c>
      <c r="DM16" s="46">
        <f>IF(AND(Summary!$N15&lt;='Cash Flow Statement'!DM$2,'Cash Flow Statement'!DM$2&lt;=Summary!$O15),IF((DM2-Summary!$N15)&lt;12,Summary!$P$13*Summary!$L$15,IF(MOD(DM2,12)=MOD(Summary!$N15,12),(Summary!$L$15*Summary!$P$13*((1+Summary!$K$5)^((DM2-12-MOD(Summary!$N15,12))/12))),HLOOKUP(DL3,$E$3:$DV16,14,FALSE))))</f>
        <v>0</v>
      </c>
      <c r="DN16" s="46">
        <f>IF(AND(Summary!$N15&lt;='Cash Flow Statement'!DN$2,'Cash Flow Statement'!DN$2&lt;=Summary!$O15),IF((DN2-Summary!$N15)&lt;12,Summary!$P$13*Summary!$L$15,IF(MOD(DN2,12)=MOD(Summary!$N15,12),(Summary!$L$15*Summary!$P$13*((1+Summary!$K$5)^((DN2-12-MOD(Summary!$N15,12))/12))),HLOOKUP(DM3,$E$3:$DV16,14,FALSE))))</f>
        <v>0</v>
      </c>
      <c r="DO16" s="46">
        <f>IF(AND(Summary!$N15&lt;='Cash Flow Statement'!DO$2,'Cash Flow Statement'!DO$2&lt;=Summary!$O15),IF((DO2-Summary!$N15)&lt;12,Summary!$P$13*Summary!$L$15,IF(MOD(DO2,12)=MOD(Summary!$N15,12),(Summary!$L$15*Summary!$P$13*((1+Summary!$K$5)^((DO2-12-MOD(Summary!$N15,12))/12))),HLOOKUP(DN3,$E$3:$DV16,14,FALSE))))</f>
        <v>0</v>
      </c>
      <c r="DP16" s="46">
        <f>IF(AND(Summary!$N15&lt;='Cash Flow Statement'!DP$2,'Cash Flow Statement'!DP$2&lt;=Summary!$O15),IF((DP2-Summary!$N15)&lt;12,Summary!$P$13*Summary!$L$15,IF(MOD(DP2,12)=MOD(Summary!$N15,12),(Summary!$L$15*Summary!$P$13*((1+Summary!$K$5)^((DP2-12-MOD(Summary!$N15,12))/12))),HLOOKUP(DO3,$E$3:$DV16,14,FALSE))))</f>
        <v>0</v>
      </c>
      <c r="DQ16" s="46">
        <f>IF(AND(Summary!$N15&lt;='Cash Flow Statement'!DQ$2,'Cash Flow Statement'!DQ$2&lt;=Summary!$O15),IF((DQ2-Summary!$N15)&lt;12,Summary!$P$13*Summary!$L$15,IF(MOD(DQ2,12)=MOD(Summary!$N15,12),(Summary!$L$15*Summary!$P$13*((1+Summary!$K$5)^((DQ2-12-MOD(Summary!$N15,12))/12))),HLOOKUP(DP3,$E$3:$DV16,14,FALSE))))</f>
        <v>0</v>
      </c>
      <c r="DR16" s="46">
        <f>IF(AND(Summary!$N15&lt;='Cash Flow Statement'!DR$2,'Cash Flow Statement'!DR$2&lt;=Summary!$O15),IF((DR2-Summary!$N15)&lt;12,Summary!$P$13*Summary!$L$15,IF(MOD(DR2,12)=MOD(Summary!$N15,12),(Summary!$L$15*Summary!$P$13*((1+Summary!$K$5)^((DR2-12-MOD(Summary!$N15,12))/12))),HLOOKUP(DQ3,$E$3:$DV16,14,FALSE))))</f>
        <v>0</v>
      </c>
      <c r="DS16" s="46">
        <f>IF(AND(Summary!$N15&lt;='Cash Flow Statement'!DS$2,'Cash Flow Statement'!DS$2&lt;=Summary!$O15),IF((DS2-Summary!$N15)&lt;12,Summary!$P$13*Summary!$L$15,IF(MOD(DS2,12)=MOD(Summary!$N15,12),(Summary!$L$15*Summary!$P$13*((1+Summary!$K$5)^((DS2-12-MOD(Summary!$N15,12))/12))),HLOOKUP(DR3,$E$3:$DV16,14,FALSE))))</f>
        <v>0</v>
      </c>
      <c r="DT16" s="46">
        <f>IF(AND(Summary!$N15&lt;='Cash Flow Statement'!DT$2,'Cash Flow Statement'!DT$2&lt;=Summary!$O15),IF((DT2-Summary!$N15)&lt;12,Summary!$P$13*Summary!$L$15,IF(MOD(DT2,12)=MOD(Summary!$N15,12),(Summary!$L$15*Summary!$P$13*((1+Summary!$K$5)^((DT2-12-MOD(Summary!$N15,12))/12))),HLOOKUP(DS3,$E$3:$DV16,14,FALSE))))</f>
        <v>0</v>
      </c>
      <c r="DU16" s="46">
        <f>IF(AND(Summary!$N15&lt;='Cash Flow Statement'!DU$2,'Cash Flow Statement'!DU$2&lt;=Summary!$O15),IF((DU2-Summary!$N15)&lt;12,Summary!$P$13*Summary!$L$15,IF(MOD(DU2,12)=MOD(Summary!$N15,12),(Summary!$L$15*Summary!$P$13*((1+Summary!$K$5)^((DU2-12-MOD(Summary!$N15,12))/12))),HLOOKUP(DT3,$E$3:$DV16,14,FALSE))))</f>
        <v>0</v>
      </c>
      <c r="DV16" s="135"/>
    </row>
    <row r="17" spans="1:126" x14ac:dyDescent="0.2">
      <c r="A17" s="88"/>
      <c r="B17" s="89"/>
      <c r="C17" s="44"/>
      <c r="D17" s="132"/>
      <c r="E17" s="134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135"/>
    </row>
    <row r="18" spans="1:126" x14ac:dyDescent="0.2">
      <c r="A18" s="88"/>
      <c r="B18" s="90" t="s">
        <v>3</v>
      </c>
      <c r="C18" s="91"/>
      <c r="D18" s="138">
        <f>SUM(E18:DU18)</f>
        <v>1299760.7702272567</v>
      </c>
      <c r="E18" s="139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>
        <f t="shared" ref="W18:AB18" si="10">SUM(W5:W17)</f>
        <v>9000</v>
      </c>
      <c r="X18" s="140">
        <f t="shared" si="10"/>
        <v>9000</v>
      </c>
      <c r="Y18" s="140">
        <f t="shared" si="10"/>
        <v>9000</v>
      </c>
      <c r="Z18" s="140">
        <f t="shared" si="10"/>
        <v>10500</v>
      </c>
      <c r="AA18" s="140">
        <f t="shared" si="10"/>
        <v>10500</v>
      </c>
      <c r="AB18" s="140">
        <f t="shared" si="10"/>
        <v>10500</v>
      </c>
      <c r="AC18" s="140">
        <f t="shared" ref="AC18:BH18" si="11">SUM(AC6:AC17)</f>
        <v>10500</v>
      </c>
      <c r="AD18" s="140">
        <f t="shared" si="11"/>
        <v>10500</v>
      </c>
      <c r="AE18" s="140">
        <f t="shared" si="11"/>
        <v>10500</v>
      </c>
      <c r="AF18" s="140">
        <f t="shared" si="11"/>
        <v>10612.5</v>
      </c>
      <c r="AG18" s="140">
        <f t="shared" si="11"/>
        <v>10612.5</v>
      </c>
      <c r="AH18" s="140">
        <f t="shared" si="11"/>
        <v>10612.5</v>
      </c>
      <c r="AI18" s="140">
        <f t="shared" si="11"/>
        <v>10725</v>
      </c>
      <c r="AJ18" s="140">
        <f t="shared" si="11"/>
        <v>10725</v>
      </c>
      <c r="AK18" s="140">
        <f t="shared" si="11"/>
        <v>10725</v>
      </c>
      <c r="AL18" s="140">
        <f t="shared" si="11"/>
        <v>10800</v>
      </c>
      <c r="AM18" s="140">
        <f t="shared" si="11"/>
        <v>11025</v>
      </c>
      <c r="AN18" s="140">
        <f t="shared" si="11"/>
        <v>11025</v>
      </c>
      <c r="AO18" s="140">
        <f t="shared" si="11"/>
        <v>11025</v>
      </c>
      <c r="AP18" s="140">
        <f t="shared" si="11"/>
        <v>11025</v>
      </c>
      <c r="AQ18" s="140">
        <f t="shared" si="11"/>
        <v>11025</v>
      </c>
      <c r="AR18" s="140">
        <f t="shared" si="11"/>
        <v>11143.125</v>
      </c>
      <c r="AS18" s="140">
        <f t="shared" si="11"/>
        <v>11143.125</v>
      </c>
      <c r="AT18" s="140">
        <f t="shared" si="11"/>
        <v>11143.125</v>
      </c>
      <c r="AU18" s="140">
        <f t="shared" si="11"/>
        <v>11261.25</v>
      </c>
      <c r="AV18" s="140">
        <f t="shared" si="11"/>
        <v>11261.25</v>
      </c>
      <c r="AW18" s="140">
        <f t="shared" si="11"/>
        <v>11261.25</v>
      </c>
      <c r="AX18" s="140">
        <f t="shared" si="11"/>
        <v>11340</v>
      </c>
      <c r="AY18" s="140">
        <f t="shared" si="11"/>
        <v>11576.25</v>
      </c>
      <c r="AZ18" s="140">
        <f t="shared" si="11"/>
        <v>11576.25</v>
      </c>
      <c r="BA18" s="140">
        <f t="shared" si="11"/>
        <v>11576.25</v>
      </c>
      <c r="BB18" s="140">
        <f t="shared" si="11"/>
        <v>11576.25</v>
      </c>
      <c r="BC18" s="140">
        <f t="shared" si="11"/>
        <v>11576.25</v>
      </c>
      <c r="BD18" s="140">
        <f t="shared" si="11"/>
        <v>11700.28125</v>
      </c>
      <c r="BE18" s="140">
        <f t="shared" si="11"/>
        <v>11700.28125</v>
      </c>
      <c r="BF18" s="140">
        <f t="shared" si="11"/>
        <v>11700.28125</v>
      </c>
      <c r="BG18" s="140">
        <f t="shared" si="11"/>
        <v>11824.3125</v>
      </c>
      <c r="BH18" s="140">
        <f t="shared" si="11"/>
        <v>11824.3125</v>
      </c>
      <c r="BI18" s="140">
        <f t="shared" ref="BI18:CN18" si="12">SUM(BI6:BI17)</f>
        <v>11824.3125</v>
      </c>
      <c r="BJ18" s="140">
        <f t="shared" si="12"/>
        <v>11907</v>
      </c>
      <c r="BK18" s="140">
        <f t="shared" si="12"/>
        <v>12155.062500000002</v>
      </c>
      <c r="BL18" s="140">
        <f t="shared" si="12"/>
        <v>12155.062500000002</v>
      </c>
      <c r="BM18" s="140">
        <f t="shared" si="12"/>
        <v>12155.062500000002</v>
      </c>
      <c r="BN18" s="140">
        <f t="shared" si="12"/>
        <v>12155.062500000002</v>
      </c>
      <c r="BO18" s="140">
        <f t="shared" si="12"/>
        <v>12155.062500000002</v>
      </c>
      <c r="BP18" s="140">
        <f t="shared" si="12"/>
        <v>12285.2953125</v>
      </c>
      <c r="BQ18" s="140">
        <f t="shared" si="12"/>
        <v>12285.2953125</v>
      </c>
      <c r="BR18" s="140">
        <f t="shared" si="12"/>
        <v>12285.2953125</v>
      </c>
      <c r="BS18" s="140">
        <f t="shared" si="12"/>
        <v>12415.528125000001</v>
      </c>
      <c r="BT18" s="140">
        <f t="shared" si="12"/>
        <v>12415.528125000001</v>
      </c>
      <c r="BU18" s="140">
        <f t="shared" si="12"/>
        <v>12415.528125000001</v>
      </c>
      <c r="BV18" s="140">
        <f t="shared" si="12"/>
        <v>12502.350000000002</v>
      </c>
      <c r="BW18" s="140">
        <f t="shared" si="12"/>
        <v>12762.815625000001</v>
      </c>
      <c r="BX18" s="140">
        <f t="shared" si="12"/>
        <v>12762.815625000001</v>
      </c>
      <c r="BY18" s="140">
        <f t="shared" si="12"/>
        <v>12762.815625000001</v>
      </c>
      <c r="BZ18" s="140">
        <f t="shared" si="12"/>
        <v>12762.815625000001</v>
      </c>
      <c r="CA18" s="140">
        <f t="shared" si="12"/>
        <v>12762.815625000001</v>
      </c>
      <c r="CB18" s="140">
        <f t="shared" si="12"/>
        <v>12899.560078125001</v>
      </c>
      <c r="CC18" s="140">
        <f t="shared" si="12"/>
        <v>12899.560078125001</v>
      </c>
      <c r="CD18" s="140">
        <f t="shared" si="12"/>
        <v>12899.560078125001</v>
      </c>
      <c r="CE18" s="140">
        <f t="shared" si="12"/>
        <v>13036.304531250002</v>
      </c>
      <c r="CF18" s="140">
        <f t="shared" si="12"/>
        <v>13036.304531250002</v>
      </c>
      <c r="CG18" s="140">
        <f t="shared" si="12"/>
        <v>13036.304531250002</v>
      </c>
      <c r="CH18" s="140">
        <f t="shared" si="12"/>
        <v>13127.467500000001</v>
      </c>
      <c r="CI18" s="140">
        <f t="shared" si="12"/>
        <v>13400.956406250001</v>
      </c>
      <c r="CJ18" s="140">
        <f t="shared" si="12"/>
        <v>13400.956406250001</v>
      </c>
      <c r="CK18" s="140">
        <f t="shared" si="12"/>
        <v>13400.956406250001</v>
      </c>
      <c r="CL18" s="140">
        <f t="shared" si="12"/>
        <v>13400.956406250001</v>
      </c>
      <c r="CM18" s="140">
        <f t="shared" si="12"/>
        <v>13400.956406250001</v>
      </c>
      <c r="CN18" s="140">
        <f t="shared" si="12"/>
        <v>13544.538082031251</v>
      </c>
      <c r="CO18" s="140">
        <f t="shared" ref="CO18:DT18" si="13">SUM(CO6:CO17)</f>
        <v>13544.538082031251</v>
      </c>
      <c r="CP18" s="140">
        <f t="shared" si="13"/>
        <v>13544.538082031251</v>
      </c>
      <c r="CQ18" s="140">
        <f t="shared" si="13"/>
        <v>13688.119757812501</v>
      </c>
      <c r="CR18" s="140">
        <f t="shared" si="13"/>
        <v>13688.119757812501</v>
      </c>
      <c r="CS18" s="140">
        <f t="shared" si="13"/>
        <v>13688.119757812501</v>
      </c>
      <c r="CT18" s="140">
        <f t="shared" si="13"/>
        <v>13783.840875000002</v>
      </c>
      <c r="CU18" s="140">
        <f t="shared" si="13"/>
        <v>14071.004226562502</v>
      </c>
      <c r="CV18" s="140">
        <f t="shared" si="13"/>
        <v>14071.004226562502</v>
      </c>
      <c r="CW18" s="140">
        <f t="shared" si="13"/>
        <v>14071.004226562502</v>
      </c>
      <c r="CX18" s="140">
        <f t="shared" si="13"/>
        <v>14071.004226562502</v>
      </c>
      <c r="CY18" s="140">
        <f t="shared" si="13"/>
        <v>14071.004226562502</v>
      </c>
      <c r="CZ18" s="140">
        <f t="shared" si="13"/>
        <v>14221.764986132814</v>
      </c>
      <c r="DA18" s="140">
        <f t="shared" si="13"/>
        <v>14221.764986132814</v>
      </c>
      <c r="DB18" s="140">
        <f t="shared" si="13"/>
        <v>14221.764986132814</v>
      </c>
      <c r="DC18" s="140">
        <f t="shared" si="13"/>
        <v>14372.525745703126</v>
      </c>
      <c r="DD18" s="140">
        <f t="shared" si="13"/>
        <v>14372.525745703126</v>
      </c>
      <c r="DE18" s="140">
        <f t="shared" si="13"/>
        <v>14372.525745703126</v>
      </c>
      <c r="DF18" s="140">
        <f t="shared" si="13"/>
        <v>14473.032918750001</v>
      </c>
      <c r="DG18" s="140">
        <f t="shared" si="13"/>
        <v>14774.554437890627</v>
      </c>
      <c r="DH18" s="140">
        <f t="shared" si="13"/>
        <v>14774.554437890627</v>
      </c>
      <c r="DI18" s="140">
        <f t="shared" si="13"/>
        <v>14774.554437890627</v>
      </c>
      <c r="DJ18" s="140">
        <f t="shared" si="13"/>
        <v>14774.554437890627</v>
      </c>
      <c r="DK18" s="140">
        <f t="shared" si="13"/>
        <v>14774.554437890627</v>
      </c>
      <c r="DL18" s="140">
        <f t="shared" si="13"/>
        <v>14932.853235439456</v>
      </c>
      <c r="DM18" s="140">
        <f t="shared" si="13"/>
        <v>14932.853235439456</v>
      </c>
      <c r="DN18" s="140">
        <f t="shared" si="13"/>
        <v>14932.853235439456</v>
      </c>
      <c r="DO18" s="140">
        <f t="shared" si="13"/>
        <v>15091.152032988284</v>
      </c>
      <c r="DP18" s="140">
        <f t="shared" si="13"/>
        <v>15091.152032988284</v>
      </c>
      <c r="DQ18" s="140">
        <f t="shared" si="13"/>
        <v>15091.152032988284</v>
      </c>
      <c r="DR18" s="140">
        <f t="shared" si="13"/>
        <v>15196.684564687503</v>
      </c>
      <c r="DS18" s="140">
        <f t="shared" si="13"/>
        <v>15513.282159785158</v>
      </c>
      <c r="DT18" s="140">
        <f t="shared" si="13"/>
        <v>15513.282159785158</v>
      </c>
      <c r="DU18" s="140">
        <f t="shared" ref="DU18" si="14">SUM(DU6:DU17)</f>
        <v>15513.282159785158</v>
      </c>
      <c r="DV18" s="141"/>
    </row>
    <row r="19" spans="1:126" x14ac:dyDescent="0.2">
      <c r="A19" s="88"/>
      <c r="B19" s="81"/>
      <c r="C19" s="44"/>
      <c r="D19" s="132"/>
      <c r="E19" s="14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135"/>
    </row>
    <row r="20" spans="1:126" x14ac:dyDescent="0.2">
      <c r="A20" s="88"/>
      <c r="B20" s="92" t="s">
        <v>4</v>
      </c>
      <c r="C20" s="93"/>
      <c r="D20" s="143"/>
      <c r="E20" s="144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>
        <v>0</v>
      </c>
      <c r="X20" s="145">
        <v>0</v>
      </c>
      <c r="Y20" s="145">
        <v>0</v>
      </c>
      <c r="Z20" s="145">
        <v>0</v>
      </c>
      <c r="AA20" s="145">
        <v>0</v>
      </c>
      <c r="AB20" s="145">
        <v>0</v>
      </c>
      <c r="AC20" s="145">
        <v>0</v>
      </c>
      <c r="AD20" s="145">
        <v>0</v>
      </c>
      <c r="AE20" s="145">
        <v>0</v>
      </c>
      <c r="AF20" s="145">
        <v>0</v>
      </c>
      <c r="AG20" s="145">
        <v>0</v>
      </c>
      <c r="AH20" s="145">
        <v>0</v>
      </c>
      <c r="AI20" s="145">
        <v>0</v>
      </c>
      <c r="AJ20" s="145">
        <v>0</v>
      </c>
      <c r="AK20" s="145">
        <v>0</v>
      </c>
      <c r="AL20" s="145">
        <v>0</v>
      </c>
      <c r="AM20" s="145">
        <v>0</v>
      </c>
      <c r="AN20" s="145">
        <v>0</v>
      </c>
      <c r="AO20" s="145">
        <v>0</v>
      </c>
      <c r="AP20" s="145">
        <v>0</v>
      </c>
      <c r="AQ20" s="145">
        <v>0</v>
      </c>
      <c r="AR20" s="145">
        <v>0</v>
      </c>
      <c r="AS20" s="145">
        <v>0</v>
      </c>
      <c r="AT20" s="145">
        <v>0</v>
      </c>
      <c r="AU20" s="145">
        <v>0</v>
      </c>
      <c r="AV20" s="145">
        <v>0</v>
      </c>
      <c r="AW20" s="145">
        <v>0</v>
      </c>
      <c r="AX20" s="145">
        <v>0</v>
      </c>
      <c r="AY20" s="145">
        <v>0</v>
      </c>
      <c r="AZ20" s="145">
        <v>0</v>
      </c>
      <c r="BA20" s="145">
        <v>0</v>
      </c>
      <c r="BB20" s="145">
        <v>0</v>
      </c>
      <c r="BC20" s="145">
        <v>0</v>
      </c>
      <c r="BD20" s="145">
        <v>0</v>
      </c>
      <c r="BE20" s="145">
        <v>0</v>
      </c>
      <c r="BF20" s="145">
        <v>0</v>
      </c>
      <c r="BG20" s="145">
        <v>0</v>
      </c>
      <c r="BH20" s="145">
        <v>0</v>
      </c>
      <c r="BI20" s="145">
        <v>0</v>
      </c>
      <c r="BJ20" s="145">
        <v>0</v>
      </c>
      <c r="BK20" s="145">
        <v>0</v>
      </c>
      <c r="BL20" s="145">
        <v>0</v>
      </c>
      <c r="BM20" s="145">
        <v>0</v>
      </c>
      <c r="BN20" s="145">
        <v>0</v>
      </c>
      <c r="BO20" s="145">
        <v>0</v>
      </c>
      <c r="BP20" s="145">
        <v>0</v>
      </c>
      <c r="BQ20" s="145">
        <v>0</v>
      </c>
      <c r="BR20" s="145">
        <v>0</v>
      </c>
      <c r="BS20" s="145">
        <v>0</v>
      </c>
      <c r="BT20" s="145">
        <v>0</v>
      </c>
      <c r="BU20" s="145">
        <v>0</v>
      </c>
      <c r="BV20" s="145">
        <v>0</v>
      </c>
      <c r="BW20" s="145">
        <v>0</v>
      </c>
      <c r="BX20" s="145">
        <v>0</v>
      </c>
      <c r="BY20" s="145">
        <v>0</v>
      </c>
      <c r="BZ20" s="145">
        <v>0</v>
      </c>
      <c r="CA20" s="145">
        <v>0</v>
      </c>
      <c r="CB20" s="145">
        <v>0</v>
      </c>
      <c r="CC20" s="145">
        <v>0</v>
      </c>
      <c r="CD20" s="145">
        <v>0</v>
      </c>
      <c r="CE20" s="145">
        <v>0</v>
      </c>
      <c r="CF20" s="145">
        <v>0</v>
      </c>
      <c r="CG20" s="145">
        <v>0</v>
      </c>
      <c r="CH20" s="145">
        <v>0</v>
      </c>
      <c r="CI20" s="145">
        <v>0</v>
      </c>
      <c r="CJ20" s="145">
        <v>0</v>
      </c>
      <c r="CK20" s="145">
        <v>0</v>
      </c>
      <c r="CL20" s="145">
        <v>0</v>
      </c>
      <c r="CM20" s="145">
        <v>0</v>
      </c>
      <c r="CN20" s="145">
        <v>0</v>
      </c>
      <c r="CO20" s="145">
        <v>0</v>
      </c>
      <c r="CP20" s="145">
        <v>0</v>
      </c>
      <c r="CQ20" s="145">
        <v>0</v>
      </c>
      <c r="CR20" s="145">
        <v>0</v>
      </c>
      <c r="CS20" s="145">
        <v>0</v>
      </c>
      <c r="CT20" s="145">
        <v>0</v>
      </c>
      <c r="CU20" s="145">
        <v>0</v>
      </c>
      <c r="CV20" s="145">
        <v>0</v>
      </c>
      <c r="CW20" s="145">
        <v>0</v>
      </c>
      <c r="CX20" s="145">
        <v>0</v>
      </c>
      <c r="CY20" s="145">
        <v>0</v>
      </c>
      <c r="CZ20" s="145">
        <v>0</v>
      </c>
      <c r="DA20" s="145">
        <v>0</v>
      </c>
      <c r="DB20" s="145">
        <v>0</v>
      </c>
      <c r="DC20" s="145">
        <v>0</v>
      </c>
      <c r="DD20" s="145">
        <v>0</v>
      </c>
      <c r="DE20" s="145">
        <v>0</v>
      </c>
      <c r="DF20" s="145">
        <v>0</v>
      </c>
      <c r="DG20" s="145">
        <v>0</v>
      </c>
      <c r="DH20" s="145">
        <v>0</v>
      </c>
      <c r="DI20" s="145">
        <v>0</v>
      </c>
      <c r="DJ20" s="145">
        <v>0</v>
      </c>
      <c r="DK20" s="145">
        <v>0</v>
      </c>
      <c r="DL20" s="145">
        <v>0</v>
      </c>
      <c r="DM20" s="145">
        <v>0</v>
      </c>
      <c r="DN20" s="145">
        <v>0</v>
      </c>
      <c r="DO20" s="145">
        <v>0</v>
      </c>
      <c r="DP20" s="145">
        <v>0</v>
      </c>
      <c r="DQ20" s="145">
        <v>0</v>
      </c>
      <c r="DR20" s="145">
        <v>0</v>
      </c>
      <c r="DS20" s="145">
        <v>0</v>
      </c>
      <c r="DT20" s="145">
        <v>0</v>
      </c>
      <c r="DU20" s="145">
        <v>0</v>
      </c>
      <c r="DV20" s="146"/>
    </row>
    <row r="21" spans="1:126" x14ac:dyDescent="0.2">
      <c r="A21" s="88"/>
      <c r="B21" s="90" t="s">
        <v>5</v>
      </c>
      <c r="C21" s="91"/>
      <c r="D21" s="138">
        <f>SUM(E21:DU21)</f>
        <v>1299760.7702272567</v>
      </c>
      <c r="E21" s="139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>
        <f t="shared" ref="W21:BR21" si="15">W18+W20</f>
        <v>9000</v>
      </c>
      <c r="X21" s="140">
        <f t="shared" si="15"/>
        <v>9000</v>
      </c>
      <c r="Y21" s="140">
        <f t="shared" si="15"/>
        <v>9000</v>
      </c>
      <c r="Z21" s="140">
        <f t="shared" si="15"/>
        <v>10500</v>
      </c>
      <c r="AA21" s="140">
        <f t="shared" si="15"/>
        <v>10500</v>
      </c>
      <c r="AB21" s="140">
        <f t="shared" si="15"/>
        <v>10500</v>
      </c>
      <c r="AC21" s="140">
        <f t="shared" si="15"/>
        <v>10500</v>
      </c>
      <c r="AD21" s="140">
        <f t="shared" si="15"/>
        <v>10500</v>
      </c>
      <c r="AE21" s="140">
        <f t="shared" si="15"/>
        <v>10500</v>
      </c>
      <c r="AF21" s="140">
        <f t="shared" si="15"/>
        <v>10612.5</v>
      </c>
      <c r="AG21" s="140">
        <f t="shared" si="15"/>
        <v>10612.5</v>
      </c>
      <c r="AH21" s="140">
        <f t="shared" si="15"/>
        <v>10612.5</v>
      </c>
      <c r="AI21" s="140">
        <f>AI18+AI20</f>
        <v>10725</v>
      </c>
      <c r="AJ21" s="140">
        <f t="shared" si="15"/>
        <v>10725</v>
      </c>
      <c r="AK21" s="140">
        <f t="shared" si="15"/>
        <v>10725</v>
      </c>
      <c r="AL21" s="140">
        <f t="shared" si="15"/>
        <v>10800</v>
      </c>
      <c r="AM21" s="140">
        <f t="shared" si="15"/>
        <v>11025</v>
      </c>
      <c r="AN21" s="140">
        <f t="shared" si="15"/>
        <v>11025</v>
      </c>
      <c r="AO21" s="140">
        <f t="shared" si="15"/>
        <v>11025</v>
      </c>
      <c r="AP21" s="140">
        <f t="shared" si="15"/>
        <v>11025</v>
      </c>
      <c r="AQ21" s="140">
        <f t="shared" si="15"/>
        <v>11025</v>
      </c>
      <c r="AR21" s="140">
        <f t="shared" si="15"/>
        <v>11143.125</v>
      </c>
      <c r="AS21" s="140">
        <f t="shared" si="15"/>
        <v>11143.125</v>
      </c>
      <c r="AT21" s="140">
        <f t="shared" si="15"/>
        <v>11143.125</v>
      </c>
      <c r="AU21" s="140">
        <f t="shared" si="15"/>
        <v>11261.25</v>
      </c>
      <c r="AV21" s="140">
        <f t="shared" si="15"/>
        <v>11261.25</v>
      </c>
      <c r="AW21" s="140">
        <f t="shared" si="15"/>
        <v>11261.25</v>
      </c>
      <c r="AX21" s="140">
        <f t="shared" si="15"/>
        <v>11340</v>
      </c>
      <c r="AY21" s="140">
        <f t="shared" si="15"/>
        <v>11576.25</v>
      </c>
      <c r="AZ21" s="140">
        <f t="shared" si="15"/>
        <v>11576.25</v>
      </c>
      <c r="BA21" s="140">
        <f t="shared" si="15"/>
        <v>11576.25</v>
      </c>
      <c r="BB21" s="140">
        <f t="shared" si="15"/>
        <v>11576.25</v>
      </c>
      <c r="BC21" s="140">
        <f t="shared" si="15"/>
        <v>11576.25</v>
      </c>
      <c r="BD21" s="140">
        <f t="shared" si="15"/>
        <v>11700.28125</v>
      </c>
      <c r="BE21" s="140">
        <f t="shared" si="15"/>
        <v>11700.28125</v>
      </c>
      <c r="BF21" s="140">
        <f t="shared" si="15"/>
        <v>11700.28125</v>
      </c>
      <c r="BG21" s="140">
        <f t="shared" si="15"/>
        <v>11824.3125</v>
      </c>
      <c r="BH21" s="140">
        <f t="shared" si="15"/>
        <v>11824.3125</v>
      </c>
      <c r="BI21" s="140">
        <f t="shared" si="15"/>
        <v>11824.3125</v>
      </c>
      <c r="BJ21" s="140">
        <f t="shared" si="15"/>
        <v>11907</v>
      </c>
      <c r="BK21" s="140">
        <f t="shared" si="15"/>
        <v>12155.062500000002</v>
      </c>
      <c r="BL21" s="140">
        <f t="shared" si="15"/>
        <v>12155.062500000002</v>
      </c>
      <c r="BM21" s="140">
        <f t="shared" si="15"/>
        <v>12155.062500000002</v>
      </c>
      <c r="BN21" s="140">
        <f t="shared" si="15"/>
        <v>12155.062500000002</v>
      </c>
      <c r="BO21" s="140">
        <f t="shared" si="15"/>
        <v>12155.062500000002</v>
      </c>
      <c r="BP21" s="140">
        <f t="shared" si="15"/>
        <v>12285.2953125</v>
      </c>
      <c r="BQ21" s="140">
        <f t="shared" si="15"/>
        <v>12285.2953125</v>
      </c>
      <c r="BR21" s="140">
        <f t="shared" si="15"/>
        <v>12285.2953125</v>
      </c>
      <c r="BS21" s="140">
        <f t="shared" ref="BS21:DU21" si="16">BS18+BS20</f>
        <v>12415.528125000001</v>
      </c>
      <c r="BT21" s="140">
        <f t="shared" si="16"/>
        <v>12415.528125000001</v>
      </c>
      <c r="BU21" s="140">
        <f t="shared" si="16"/>
        <v>12415.528125000001</v>
      </c>
      <c r="BV21" s="140">
        <f t="shared" si="16"/>
        <v>12502.350000000002</v>
      </c>
      <c r="BW21" s="140">
        <f t="shared" si="16"/>
        <v>12762.815625000001</v>
      </c>
      <c r="BX21" s="140">
        <f t="shared" si="16"/>
        <v>12762.815625000001</v>
      </c>
      <c r="BY21" s="140">
        <f t="shared" si="16"/>
        <v>12762.815625000001</v>
      </c>
      <c r="BZ21" s="140">
        <f t="shared" si="16"/>
        <v>12762.815625000001</v>
      </c>
      <c r="CA21" s="140">
        <f t="shared" si="16"/>
        <v>12762.815625000001</v>
      </c>
      <c r="CB21" s="140">
        <f t="shared" si="16"/>
        <v>12899.560078125001</v>
      </c>
      <c r="CC21" s="140">
        <f t="shared" si="16"/>
        <v>12899.560078125001</v>
      </c>
      <c r="CD21" s="140">
        <f t="shared" si="16"/>
        <v>12899.560078125001</v>
      </c>
      <c r="CE21" s="140">
        <f t="shared" si="16"/>
        <v>13036.304531250002</v>
      </c>
      <c r="CF21" s="140">
        <f t="shared" si="16"/>
        <v>13036.304531250002</v>
      </c>
      <c r="CG21" s="140">
        <f t="shared" si="16"/>
        <v>13036.304531250002</v>
      </c>
      <c r="CH21" s="140">
        <f t="shared" si="16"/>
        <v>13127.467500000001</v>
      </c>
      <c r="CI21" s="140">
        <f t="shared" si="16"/>
        <v>13400.956406250001</v>
      </c>
      <c r="CJ21" s="140">
        <f t="shared" si="16"/>
        <v>13400.956406250001</v>
      </c>
      <c r="CK21" s="140">
        <f t="shared" si="16"/>
        <v>13400.956406250001</v>
      </c>
      <c r="CL21" s="140">
        <f t="shared" si="16"/>
        <v>13400.956406250001</v>
      </c>
      <c r="CM21" s="140">
        <f t="shared" si="16"/>
        <v>13400.956406250001</v>
      </c>
      <c r="CN21" s="140">
        <f t="shared" si="16"/>
        <v>13544.538082031251</v>
      </c>
      <c r="CO21" s="140">
        <f t="shared" si="16"/>
        <v>13544.538082031251</v>
      </c>
      <c r="CP21" s="140">
        <f t="shared" si="16"/>
        <v>13544.538082031251</v>
      </c>
      <c r="CQ21" s="140">
        <f t="shared" si="16"/>
        <v>13688.119757812501</v>
      </c>
      <c r="CR21" s="140">
        <f t="shared" si="16"/>
        <v>13688.119757812501</v>
      </c>
      <c r="CS21" s="140">
        <f t="shared" si="16"/>
        <v>13688.119757812501</v>
      </c>
      <c r="CT21" s="140">
        <f t="shared" si="16"/>
        <v>13783.840875000002</v>
      </c>
      <c r="CU21" s="140">
        <f t="shared" si="16"/>
        <v>14071.004226562502</v>
      </c>
      <c r="CV21" s="140">
        <f t="shared" si="16"/>
        <v>14071.004226562502</v>
      </c>
      <c r="CW21" s="140">
        <f t="shared" si="16"/>
        <v>14071.004226562502</v>
      </c>
      <c r="CX21" s="140">
        <f t="shared" si="16"/>
        <v>14071.004226562502</v>
      </c>
      <c r="CY21" s="140">
        <f t="shared" si="16"/>
        <v>14071.004226562502</v>
      </c>
      <c r="CZ21" s="140">
        <f t="shared" si="16"/>
        <v>14221.764986132814</v>
      </c>
      <c r="DA21" s="140">
        <f t="shared" si="16"/>
        <v>14221.764986132814</v>
      </c>
      <c r="DB21" s="140">
        <f t="shared" si="16"/>
        <v>14221.764986132814</v>
      </c>
      <c r="DC21" s="140">
        <f t="shared" si="16"/>
        <v>14372.525745703126</v>
      </c>
      <c r="DD21" s="140">
        <f t="shared" si="16"/>
        <v>14372.525745703126</v>
      </c>
      <c r="DE21" s="140">
        <f t="shared" si="16"/>
        <v>14372.525745703126</v>
      </c>
      <c r="DF21" s="140">
        <f t="shared" si="16"/>
        <v>14473.032918750001</v>
      </c>
      <c r="DG21" s="140">
        <f t="shared" si="16"/>
        <v>14774.554437890627</v>
      </c>
      <c r="DH21" s="140">
        <f t="shared" si="16"/>
        <v>14774.554437890627</v>
      </c>
      <c r="DI21" s="140">
        <f t="shared" si="16"/>
        <v>14774.554437890627</v>
      </c>
      <c r="DJ21" s="140">
        <f t="shared" si="16"/>
        <v>14774.554437890627</v>
      </c>
      <c r="DK21" s="140">
        <f t="shared" si="16"/>
        <v>14774.554437890627</v>
      </c>
      <c r="DL21" s="140">
        <f t="shared" si="16"/>
        <v>14932.853235439456</v>
      </c>
      <c r="DM21" s="140">
        <f t="shared" si="16"/>
        <v>14932.853235439456</v>
      </c>
      <c r="DN21" s="140">
        <f t="shared" si="16"/>
        <v>14932.853235439456</v>
      </c>
      <c r="DO21" s="140">
        <f t="shared" si="16"/>
        <v>15091.152032988284</v>
      </c>
      <c r="DP21" s="140">
        <f t="shared" si="16"/>
        <v>15091.152032988284</v>
      </c>
      <c r="DQ21" s="140">
        <f t="shared" si="16"/>
        <v>15091.152032988284</v>
      </c>
      <c r="DR21" s="140">
        <f t="shared" si="16"/>
        <v>15196.684564687503</v>
      </c>
      <c r="DS21" s="140">
        <f t="shared" si="16"/>
        <v>15513.282159785158</v>
      </c>
      <c r="DT21" s="140">
        <f t="shared" si="16"/>
        <v>15513.282159785158</v>
      </c>
      <c r="DU21" s="140">
        <f t="shared" si="16"/>
        <v>15513.282159785158</v>
      </c>
      <c r="DV21" s="141"/>
    </row>
    <row r="22" spans="1:126" x14ac:dyDescent="0.2">
      <c r="A22" s="88"/>
      <c r="B22" s="81"/>
      <c r="C22" s="44"/>
      <c r="D22" s="132"/>
      <c r="E22" s="134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135"/>
    </row>
    <row r="23" spans="1:126" x14ac:dyDescent="0.2">
      <c r="A23" s="88"/>
      <c r="B23" s="75" t="s">
        <v>6</v>
      </c>
      <c r="C23" s="79"/>
      <c r="D23" s="128"/>
      <c r="E23" s="129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1"/>
    </row>
    <row r="24" spans="1:126" x14ac:dyDescent="0.2">
      <c r="A24" s="81"/>
      <c r="B24" s="81" t="str">
        <f>Summary!J22</f>
        <v>Super</v>
      </c>
      <c r="C24" s="44"/>
      <c r="D24" s="132">
        <f>SUM(E24:DU24)</f>
        <v>61607.023357763566</v>
      </c>
      <c r="E24" s="134" t="b">
        <f>IF(AND(Summary!$N22&lt;='Cash Flow Statement'!E$2,'Cash Flow Statement'!E$2&lt;=Summary!$O22),IF((E$2-Summary!$N22)&lt;12,Summary!$P22,IF(MOD(E$2,12)=MOD(Summary!$N22,12),(Summary!$P22*((1+Summary!$K$20)^((E$2-12-MOD(Summary!$N22,12))/12))),HLOOKUP(D$3,$E$3:$DV32,22,FALSE))))</f>
        <v>0</v>
      </c>
      <c r="F24" s="46" t="b">
        <f>IF(AND(Summary!$N22&lt;='Cash Flow Statement'!F$2,'Cash Flow Statement'!F$2&lt;=Summary!$O22),IF((F$2-Summary!$N22)&lt;12,Summary!$P22,IF(MOD(F$2,12)=MOD(Summary!$N22,12),(Summary!$P22*((1+Summary!$K$20)^((F$2-12-MOD(Summary!$N22,12))/12))),HLOOKUP(E$3,$E$3:$DV32,22,FALSE))))</f>
        <v>0</v>
      </c>
      <c r="G24" s="46" t="b">
        <f>IF(AND(Summary!$N22&lt;='Cash Flow Statement'!G$2,'Cash Flow Statement'!G$2&lt;=Summary!$O22),IF((G$2-Summary!$N22)&lt;12,Summary!$P22,IF(MOD(G$2,12)=MOD(Summary!$N22,12),(Summary!$P22*((1+Summary!$K$20)^((G$2-12-MOD(Summary!$N22,12))/12))),HLOOKUP(F$3,$E$3:$DV32,22,FALSE))))</f>
        <v>0</v>
      </c>
      <c r="H24" s="46" t="b">
        <f>IF(AND(Summary!$N22&lt;='Cash Flow Statement'!H$2,'Cash Flow Statement'!H$2&lt;=Summary!$O22),IF((H$2-Summary!$N22)&lt;12,Summary!$P22,IF(MOD(H$2,12)=MOD(Summary!$N22,12),(Summary!$P22*((1+Summary!$K$20)^((H$2-12-MOD(Summary!$N22,12))/12))),HLOOKUP(G$3,$E$3:$DV32,22,FALSE))))</f>
        <v>0</v>
      </c>
      <c r="I24" s="46" t="b">
        <f>IF(AND(Summary!$N22&lt;='Cash Flow Statement'!I$2,'Cash Flow Statement'!I$2&lt;=Summary!$O22),IF((I$2-Summary!$N22)&lt;12,Summary!$P22,IF(MOD(I$2,12)=MOD(Summary!$N22,12),(Summary!$P22*((1+Summary!$K$20)^((I$2-12-MOD(Summary!$N22,12))/12))),HLOOKUP(H$3,$E$3:$DV32,22,FALSE))))</f>
        <v>0</v>
      </c>
      <c r="J24" s="46" t="b">
        <f>IF(AND(Summary!$N22&lt;='Cash Flow Statement'!J$2,'Cash Flow Statement'!J$2&lt;=Summary!$O22),IF((J$2-Summary!$N22)&lt;12,Summary!$P22,IF(MOD(J$2,12)=MOD(Summary!$N22,12),(Summary!$P22*((1+Summary!$K$20)^((J$2-12-MOD(Summary!$N22,12))/12))),HLOOKUP(I$3,$E$3:$DV32,22,FALSE))))</f>
        <v>0</v>
      </c>
      <c r="K24" s="46" t="b">
        <f>IF(AND(Summary!$N22&lt;='Cash Flow Statement'!K$2,'Cash Flow Statement'!K$2&lt;=Summary!$O22),IF((K$2-Summary!$N22)&lt;12,Summary!$P22,IF(MOD(K$2,12)=MOD(Summary!$N22,12),(Summary!$P22*((1+Summary!$K$20)^((K$2-12-MOD(Summary!$N22,12))/12))),HLOOKUP(J$3,$E$3:$DV32,22,FALSE))))</f>
        <v>0</v>
      </c>
      <c r="L24" s="46" t="b">
        <f>IF(AND(Summary!$N22&lt;='Cash Flow Statement'!L$2,'Cash Flow Statement'!L$2&lt;=Summary!$O22),IF((L$2-Summary!$N22)&lt;12,Summary!$P22,IF(MOD(L$2,12)=MOD(Summary!$N22,12),(Summary!$P22*((1+Summary!$K$20)^((L$2-12-MOD(Summary!$N22,12))/12))),HLOOKUP(K$3,$E$3:$DV32,22,FALSE))))</f>
        <v>0</v>
      </c>
      <c r="M24" s="46" t="b">
        <f>IF(AND(Summary!$N22&lt;='Cash Flow Statement'!M$2,'Cash Flow Statement'!M$2&lt;=Summary!$O22),IF((M$2-Summary!$N22)&lt;12,Summary!$P22,IF(MOD(M$2,12)=MOD(Summary!$N22,12),(Summary!$P22*((1+Summary!$K$20)^((M$2-12-MOD(Summary!$N22,12))/12))),HLOOKUP(L$3,$E$3:$DV32,22,FALSE))))</f>
        <v>0</v>
      </c>
      <c r="N24" s="46" t="b">
        <f>IF(AND(Summary!$N22&lt;='Cash Flow Statement'!N$2,'Cash Flow Statement'!N$2&lt;=Summary!$O22),IF((N$2-Summary!$N22)&lt;12,Summary!$P22,IF(MOD(N$2,12)=MOD(Summary!$N22,12),(Summary!$P22*((1+Summary!$K$20)^((N$2-12-MOD(Summary!$N22,12))/12))),HLOOKUP(M$3,$E$3:$DV32,22,FALSE))))</f>
        <v>0</v>
      </c>
      <c r="O24" s="46" t="b">
        <f>IF(AND(Summary!$N22&lt;='Cash Flow Statement'!O$2,'Cash Flow Statement'!O$2&lt;=Summary!$O22),IF((O$2-Summary!$N22)&lt;12,Summary!$P22,IF(MOD(O$2,12)=MOD(Summary!$N22,12),(Summary!$P22*((1+Summary!$K$20)^((O$2-12-MOD(Summary!$N22,12))/12))),HLOOKUP(N$3,$E$3:$DV32,22,FALSE))))</f>
        <v>0</v>
      </c>
      <c r="P24" s="46" t="b">
        <f>IF(AND(Summary!$N22&lt;='Cash Flow Statement'!P$2,'Cash Flow Statement'!P$2&lt;=Summary!$O22),IF((P$2-Summary!$N22)&lt;12,Summary!$P22,IF(MOD(P$2,12)=MOD(Summary!$N22,12),(Summary!$P22*((1+Summary!$K$20)^((P$2-12-MOD(Summary!$N22,12))/12))),HLOOKUP(O$3,$E$3:$DV32,22,FALSE))))</f>
        <v>0</v>
      </c>
      <c r="Q24" s="46">
        <f>IF(AND(Summary!$N22&lt;='Cash Flow Statement'!Q$2,'Cash Flow Statement'!Q$2&lt;=Summary!$O22),IF((Q$2-Summary!$N22)&lt;12,Summary!$P22,IF(MOD(Q$2,12)=MOD(Summary!$N22,12),(Summary!$P22*((1+Summary!$K$20)^((Q$2-12-MOD(Summary!$N22,12))/12))),HLOOKUP(P$3,$E$3:$DV32,22,FALSE))))</f>
        <v>500</v>
      </c>
      <c r="R24" s="46">
        <f>IF(AND(Summary!$N22&lt;='Cash Flow Statement'!R$2,'Cash Flow Statement'!R$2&lt;=Summary!$O22),IF((R$2-Summary!$N22)&lt;12,Summary!$P22,IF(MOD(R$2,12)=MOD(Summary!$N22,12),(Summary!$P22*((1+Summary!$K$20)^((R$2-12-MOD(Summary!$N22,12))/12))),HLOOKUP(Q$3,$E$3:$DV32,22,FALSE))))</f>
        <v>500</v>
      </c>
      <c r="S24" s="46">
        <f>IF(AND(Summary!$N22&lt;='Cash Flow Statement'!S$2,'Cash Flow Statement'!S$2&lt;=Summary!$O22),IF((S$2-Summary!$N22)&lt;12,Summary!$P22,IF(MOD(S$2,12)=MOD(Summary!$N22,12),(Summary!$P22*((1+Summary!$K$20)^((S$2-12-MOD(Summary!$N22,12))/12))),HLOOKUP(R$3,$E$3:$DV32,22,FALSE))))</f>
        <v>500</v>
      </c>
      <c r="T24" s="46">
        <f>IF(AND(Summary!$N22&lt;='Cash Flow Statement'!T$2,'Cash Flow Statement'!T$2&lt;=Summary!$O22),IF((T$2-Summary!$N22)&lt;12,Summary!$P22,IF(MOD(T$2,12)=MOD(Summary!$N22,12),(Summary!$P22*((1+Summary!$K$20)^((T$2-12-MOD(Summary!$N22,12))/12))),HLOOKUP(S$3,$E$3:$DV32,22,FALSE))))</f>
        <v>500</v>
      </c>
      <c r="U24" s="46">
        <f>IF(AND(Summary!$N22&lt;='Cash Flow Statement'!U$2,'Cash Flow Statement'!U$2&lt;=Summary!$O22),IF((U$2-Summary!$N22)&lt;12,Summary!$P22,IF(MOD(U$2,12)=MOD(Summary!$N22,12),(Summary!$P22*((1+Summary!$K$20)^((U$2-12-MOD(Summary!$N22,12))/12))),HLOOKUP(T$3,$E$3:$DV32,22,FALSE))))</f>
        <v>500</v>
      </c>
      <c r="V24" s="46">
        <f>IF(AND(Summary!$N22&lt;='Cash Flow Statement'!V$2,'Cash Flow Statement'!V$2&lt;=Summary!$O22),IF((V$2-Summary!$N22)&lt;12,Summary!$P22,IF(MOD(V$2,12)=MOD(Summary!$N22,12),(Summary!$P22*((1+Summary!$K$20)^((V$2-12-MOD(Summary!$N22,12))/12))),HLOOKUP(U$3,$E$3:$DV32,22,FALSE))))</f>
        <v>500</v>
      </c>
      <c r="W24" s="46">
        <f>IF(AND(Summary!$N22&lt;='Cash Flow Statement'!W$2,'Cash Flow Statement'!W$2&lt;=Summary!$O22),IF((W$2-Summary!$N22)&lt;12,Summary!$P22,IF(MOD(W$2,12)=MOD(Summary!$N22,12),(Summary!$P22*((1+Summary!$K$20)^((W$2-12-MOD(Summary!$N22,12))/12))),HLOOKUP(V$3,$E$3:$DV32,22,FALSE))))</f>
        <v>500</v>
      </c>
      <c r="X24" s="46">
        <f>IF(AND(Summary!$N22&lt;='Cash Flow Statement'!X$2,'Cash Flow Statement'!X$2&lt;=Summary!$O22),IF((X$2-Summary!$N22)&lt;12,Summary!$P22,IF(MOD(X$2,12)=MOD(Summary!$N22,12),(Summary!$P22*((1+Summary!$K$20)^((X$2-12-MOD(Summary!$N22,12))/12))),HLOOKUP(W$3,$E$3:$DV32,22,FALSE))))</f>
        <v>500</v>
      </c>
      <c r="Y24" s="46">
        <f>IF(AND(Summary!$N22&lt;='Cash Flow Statement'!Y$2,'Cash Flow Statement'!Y$2&lt;=Summary!$O22),IF((Y$2-Summary!$N22)&lt;12,Summary!$P22,IF(MOD(Y$2,12)=MOD(Summary!$N22,12),(Summary!$P22*((1+Summary!$K$20)^((Y$2-12-MOD(Summary!$N22,12))/12))),HLOOKUP(X$3,$E$3:$DV32,22,FALSE))))</f>
        <v>500</v>
      </c>
      <c r="Z24" s="46">
        <f>IF(AND(Summary!$N22&lt;='Cash Flow Statement'!Z$2,'Cash Flow Statement'!Z$2&lt;=Summary!$O22),IF((Z$2-Summary!$N22)&lt;12,Summary!$P22,IF(MOD(Z$2,12)=MOD(Summary!$N22,12),(Summary!$P22*((1+Summary!$K$20)^((Z$2-12-MOD(Summary!$N22,12))/12))),HLOOKUP(Y$3,$E$3:$DV32,22,FALSE))))</f>
        <v>500</v>
      </c>
      <c r="AA24" s="46">
        <f>IF(AND(Summary!$N22&lt;='Cash Flow Statement'!AA$2,'Cash Flow Statement'!AA$2&lt;=Summary!$O22),IF((AA$2-Summary!$N22)&lt;12,Summary!$P22,IF(MOD(AA$2,12)=MOD(Summary!$N22,12),(Summary!$P22*((1+Summary!$K$20)^((AA$2-12-MOD(Summary!$N22,12))/12))),HLOOKUP(Z$3,$E$3:$DV32,22,FALSE))))</f>
        <v>500</v>
      </c>
      <c r="AB24" s="46">
        <f>IF(AND(Summary!$N22&lt;='Cash Flow Statement'!AB$2,'Cash Flow Statement'!AB$2&lt;=Summary!$O22),IF((AB$2-Summary!$N22)&lt;12,Summary!$P22,IF(MOD(AB$2,12)=MOD(Summary!$N22,12),(Summary!$P22*((1+Summary!$K$20)^((AB$2-12-MOD(Summary!$N22,12))/12))),HLOOKUP(AA$3,$E$3:$DV32,22,FALSE))))</f>
        <v>500</v>
      </c>
      <c r="AC24" s="46">
        <f>IF(AND(Summary!$N22&lt;='Cash Flow Statement'!AC$2,'Cash Flow Statement'!AC$2&lt;=Summary!$O22),IF((AC$2-Summary!$N22)&lt;12,Summary!$P22,IF(MOD(AC$2,12)=MOD(Summary!$N22,12),(Summary!$P22*((1+Summary!$K$20)^((AC$2-12-MOD(Summary!$N22,12))/12))),HLOOKUP(AB$3,$E$3:$DV32,22,FALSE))))</f>
        <v>515</v>
      </c>
      <c r="AD24" s="46">
        <f>IF(AND(Summary!$N22&lt;='Cash Flow Statement'!AD$2,'Cash Flow Statement'!AD$2&lt;=Summary!$O22),IF((AD$2-Summary!$N22)&lt;12,Summary!$P22,IF(MOD(AD$2,12)=MOD(Summary!$N22,12),(Summary!$P22*((1+Summary!$K$20)^((AD$2-12-MOD(Summary!$N22,12))/12))),HLOOKUP(AC$3,$E$3:$DV32,22,FALSE))))</f>
        <v>515</v>
      </c>
      <c r="AE24" s="46">
        <f>IF(AND(Summary!$N22&lt;='Cash Flow Statement'!AE$2,'Cash Flow Statement'!AE$2&lt;=Summary!$O22),IF((AE$2-Summary!$N22)&lt;12,Summary!$P22,IF(MOD(AE$2,12)=MOD(Summary!$N22,12),(Summary!$P22*((1+Summary!$K$20)^((AE$2-12-MOD(Summary!$N22,12))/12))),HLOOKUP(AD$3,$E$3:$DV32,22,FALSE))))</f>
        <v>515</v>
      </c>
      <c r="AF24" s="46">
        <f>IF(AND(Summary!$N22&lt;='Cash Flow Statement'!AF$2,'Cash Flow Statement'!AF$2&lt;=Summary!$O22),IF((AF$2-Summary!$N22)&lt;12,Summary!$P22,IF(MOD(AF$2,12)=MOD(Summary!$N22,12),(Summary!$P22*((1+Summary!$K$20)^((AF$2-12-MOD(Summary!$N22,12))/12))),HLOOKUP(AE$3,$E$3:$DV32,22,FALSE))))</f>
        <v>515</v>
      </c>
      <c r="AG24" s="46">
        <f>IF(AND(Summary!$N22&lt;='Cash Flow Statement'!AG$2,'Cash Flow Statement'!AG$2&lt;=Summary!$O22),IF((AG$2-Summary!$N22)&lt;12,Summary!$P22,IF(MOD(AG$2,12)=MOD(Summary!$N22,12),(Summary!$P22*((1+Summary!$K$20)^((AG$2-12-MOD(Summary!$N22,12))/12))),HLOOKUP(AF$3,$E$3:$DV32,22,FALSE))))</f>
        <v>515</v>
      </c>
      <c r="AH24" s="46">
        <f>IF(AND(Summary!$N22&lt;='Cash Flow Statement'!AH$2,'Cash Flow Statement'!AH$2&lt;=Summary!$O22),IF((AH$2-Summary!$N22)&lt;12,Summary!$P22,IF(MOD(AH$2,12)=MOD(Summary!$N22,12),(Summary!$P22*((1+Summary!$K$20)^((AH$2-12-MOD(Summary!$N22,12))/12))),HLOOKUP(AG$3,$E$3:$DV32,22,FALSE))))</f>
        <v>515</v>
      </c>
      <c r="AI24" s="46">
        <f>IF(AND(Summary!$N22&lt;='Cash Flow Statement'!AI$2,'Cash Flow Statement'!AI$2&lt;=Summary!$O22),IF((AI$2-Summary!$N22)&lt;12,Summary!$P22,IF(MOD(AI$2,12)=MOD(Summary!$N22,12),(Summary!$P22*((1+Summary!$K$20)^((AI$2-12-MOD(Summary!$N22,12))/12))),HLOOKUP(AH$3,$E$3:$DV32,22,FALSE))))</f>
        <v>515</v>
      </c>
      <c r="AJ24" s="46">
        <f>IF(AND(Summary!$N22&lt;='Cash Flow Statement'!AJ$2,'Cash Flow Statement'!AJ$2&lt;=Summary!$O22),IF((AJ$2-Summary!$N22)&lt;12,Summary!$P22,IF(MOD(AJ$2,12)=MOD(Summary!$N22,12),(Summary!$P22*((1+Summary!$K$20)^((AJ$2-12-MOD(Summary!$N22,12))/12))),HLOOKUP(AI$3,$E$3:$DV32,22,FALSE))))</f>
        <v>515</v>
      </c>
      <c r="AK24" s="46">
        <f>IF(AND(Summary!$N22&lt;='Cash Flow Statement'!AK$2,'Cash Flow Statement'!AK$2&lt;=Summary!$O22),IF((AK$2-Summary!$N22)&lt;12,Summary!$P22,IF(MOD(AK$2,12)=MOD(Summary!$N22,12),(Summary!$P22*((1+Summary!$K$20)^((AK$2-12-MOD(Summary!$N22,12))/12))),HLOOKUP(AJ$3,$E$3:$DV32,22,FALSE))))</f>
        <v>515</v>
      </c>
      <c r="AL24" s="46">
        <f>IF(AND(Summary!$N22&lt;='Cash Flow Statement'!AL$2,'Cash Flow Statement'!AL$2&lt;=Summary!$O22),IF((AL$2-Summary!$N22)&lt;12,Summary!$P22,IF(MOD(AL$2,12)=MOD(Summary!$N22,12),(Summary!$P22*((1+Summary!$K$20)^((AL$2-12-MOD(Summary!$N22,12))/12))),HLOOKUP(AK$3,$E$3:$DV32,22,FALSE))))</f>
        <v>515</v>
      </c>
      <c r="AM24" s="46">
        <f>IF(AND(Summary!$N22&lt;='Cash Flow Statement'!AM$2,'Cash Flow Statement'!AM$2&lt;=Summary!$O22),IF((AM$2-Summary!$N22)&lt;12,Summary!$P22,IF(MOD(AM$2,12)=MOD(Summary!$N22,12),(Summary!$P22*((1+Summary!$K$20)^((AM$2-12-MOD(Summary!$N22,12))/12))),HLOOKUP(AL$3,$E$3:$DV32,22,FALSE))))</f>
        <v>515</v>
      </c>
      <c r="AN24" s="46">
        <f>IF(AND(Summary!$N22&lt;='Cash Flow Statement'!AN$2,'Cash Flow Statement'!AN$2&lt;=Summary!$O22),IF((AN$2-Summary!$N22)&lt;12,Summary!$P22,IF(MOD(AN$2,12)=MOD(Summary!$N22,12),(Summary!$P22*((1+Summary!$K$20)^((AN$2-12-MOD(Summary!$N22,12))/12))),HLOOKUP(AM$3,$E$3:$DV32,22,FALSE))))</f>
        <v>515</v>
      </c>
      <c r="AO24" s="46">
        <f>IF(AND(Summary!$N22&lt;='Cash Flow Statement'!AO$2,'Cash Flow Statement'!AO$2&lt;=Summary!$O22),IF((AO$2-Summary!$N22)&lt;12,Summary!$P22,IF(MOD(AO$2,12)=MOD(Summary!$N22,12),(Summary!$P22*((1+Summary!$K$20)^((AO$2-12-MOD(Summary!$N22,12))/12))),HLOOKUP(AN$3,$E$3:$DV32,22,FALSE))))</f>
        <v>530.44999999999993</v>
      </c>
      <c r="AP24" s="46">
        <f>IF(AND(Summary!$N22&lt;='Cash Flow Statement'!AP$2,'Cash Flow Statement'!AP$2&lt;=Summary!$O22),IF((AP$2-Summary!$N22)&lt;12,Summary!$P22,IF(MOD(AP$2,12)=MOD(Summary!$N22,12),(Summary!$P22*((1+Summary!$K$20)^((AP$2-12-MOD(Summary!$N22,12))/12))),HLOOKUP(AO$3,$E$3:$DV32,22,FALSE))))</f>
        <v>530.44999999999993</v>
      </c>
      <c r="AQ24" s="46">
        <f>IF(AND(Summary!$N22&lt;='Cash Flow Statement'!AQ$2,'Cash Flow Statement'!AQ$2&lt;=Summary!$O22),IF((AQ$2-Summary!$N22)&lt;12,Summary!$P22,IF(MOD(AQ$2,12)=MOD(Summary!$N22,12),(Summary!$P22*((1+Summary!$K$20)^((AQ$2-12-MOD(Summary!$N22,12))/12))),HLOOKUP(AP$3,$E$3:$DV32,22,FALSE))))</f>
        <v>530.44999999999993</v>
      </c>
      <c r="AR24" s="46">
        <f>IF(AND(Summary!$N22&lt;='Cash Flow Statement'!AR$2,'Cash Flow Statement'!AR$2&lt;=Summary!$O22),IF((AR$2-Summary!$N22)&lt;12,Summary!$P22,IF(MOD(AR$2,12)=MOD(Summary!$N22,12),(Summary!$P22*((1+Summary!$K$20)^((AR$2-12-MOD(Summary!$N22,12))/12))),HLOOKUP(AQ$3,$E$3:$DV32,22,FALSE))))</f>
        <v>530.44999999999993</v>
      </c>
      <c r="AS24" s="46">
        <f>IF(AND(Summary!$N22&lt;='Cash Flow Statement'!AS$2,'Cash Flow Statement'!AS$2&lt;=Summary!$O22),IF((AS$2-Summary!$N22)&lt;12,Summary!$P22,IF(MOD(AS$2,12)=MOD(Summary!$N22,12),(Summary!$P22*((1+Summary!$K$20)^((AS$2-12-MOD(Summary!$N22,12))/12))),HLOOKUP(AR$3,$E$3:$DV32,22,FALSE))))</f>
        <v>530.44999999999993</v>
      </c>
      <c r="AT24" s="46">
        <f>IF(AND(Summary!$N22&lt;='Cash Flow Statement'!AT$2,'Cash Flow Statement'!AT$2&lt;=Summary!$O22),IF((AT$2-Summary!$N22)&lt;12,Summary!$P22,IF(MOD(AT$2,12)=MOD(Summary!$N22,12),(Summary!$P22*((1+Summary!$K$20)^((AT$2-12-MOD(Summary!$N22,12))/12))),HLOOKUP(AS$3,$E$3:$DV32,22,FALSE))))</f>
        <v>530.44999999999993</v>
      </c>
      <c r="AU24" s="46">
        <f>IF(AND(Summary!$N22&lt;='Cash Flow Statement'!AU$2,'Cash Flow Statement'!AU$2&lt;=Summary!$O22),IF((AU$2-Summary!$N22)&lt;12,Summary!$P22,IF(MOD(AU$2,12)=MOD(Summary!$N22,12),(Summary!$P22*((1+Summary!$K$20)^((AU$2-12-MOD(Summary!$N22,12))/12))),HLOOKUP(AT$3,$E$3:$DV32,22,FALSE))))</f>
        <v>530.44999999999993</v>
      </c>
      <c r="AV24" s="46">
        <f>IF(AND(Summary!$N22&lt;='Cash Flow Statement'!AV$2,'Cash Flow Statement'!AV$2&lt;=Summary!$O22),IF((AV$2-Summary!$N22)&lt;12,Summary!$P22,IF(MOD(AV$2,12)=MOD(Summary!$N22,12),(Summary!$P22*((1+Summary!$K$20)^((AV$2-12-MOD(Summary!$N22,12))/12))),HLOOKUP(AU$3,$E$3:$DV32,22,FALSE))))</f>
        <v>530.44999999999993</v>
      </c>
      <c r="AW24" s="46">
        <f>IF(AND(Summary!$N22&lt;='Cash Flow Statement'!AW$2,'Cash Flow Statement'!AW$2&lt;=Summary!$O22),IF((AW$2-Summary!$N22)&lt;12,Summary!$P22,IF(MOD(AW$2,12)=MOD(Summary!$N22,12),(Summary!$P22*((1+Summary!$K$20)^((AW$2-12-MOD(Summary!$N22,12))/12))),HLOOKUP(AV$3,$E$3:$DV32,22,FALSE))))</f>
        <v>530.44999999999993</v>
      </c>
      <c r="AX24" s="46">
        <f>IF(AND(Summary!$N22&lt;='Cash Flow Statement'!AX$2,'Cash Flow Statement'!AX$2&lt;=Summary!$O22),IF((AX$2-Summary!$N22)&lt;12,Summary!$P22,IF(MOD(AX$2,12)=MOD(Summary!$N22,12),(Summary!$P22*((1+Summary!$K$20)^((AX$2-12-MOD(Summary!$N22,12))/12))),HLOOKUP(AW$3,$E$3:$DV32,22,FALSE))))</f>
        <v>530.44999999999993</v>
      </c>
      <c r="AY24" s="46">
        <f>IF(AND(Summary!$N22&lt;='Cash Flow Statement'!AY$2,'Cash Flow Statement'!AY$2&lt;=Summary!$O22),IF((AY$2-Summary!$N22)&lt;12,Summary!$P22,IF(MOD(AY$2,12)=MOD(Summary!$N22,12),(Summary!$P22*((1+Summary!$K$20)^((AY$2-12-MOD(Summary!$N22,12))/12))),HLOOKUP(AX$3,$E$3:$DV32,22,FALSE))))</f>
        <v>530.44999999999993</v>
      </c>
      <c r="AZ24" s="46">
        <f>IF(AND(Summary!$N22&lt;='Cash Flow Statement'!AZ$2,'Cash Flow Statement'!AZ$2&lt;=Summary!$O22),IF((AZ$2-Summary!$N22)&lt;12,Summary!$P22,IF(MOD(AZ$2,12)=MOD(Summary!$N22,12),(Summary!$P22*((1+Summary!$K$20)^((AZ$2-12-MOD(Summary!$N22,12))/12))),HLOOKUP(AY$3,$E$3:$DV32,22,FALSE))))</f>
        <v>530.44999999999993</v>
      </c>
      <c r="BA24" s="46">
        <f>IF(AND(Summary!$N22&lt;='Cash Flow Statement'!BA$2,'Cash Flow Statement'!BA$2&lt;=Summary!$O22),IF((BA$2-Summary!$N22)&lt;12,Summary!$P22,IF(MOD(BA$2,12)=MOD(Summary!$N22,12),(Summary!$P22*((1+Summary!$K$20)^((BA$2-12-MOD(Summary!$N22,12))/12))),HLOOKUP(AZ$3,$E$3:$DV32,22,FALSE))))</f>
        <v>546.36350000000004</v>
      </c>
      <c r="BB24" s="46">
        <f>IF(AND(Summary!$N22&lt;='Cash Flow Statement'!BB$2,'Cash Flow Statement'!BB$2&lt;=Summary!$O22),IF((BB$2-Summary!$N22)&lt;12,Summary!$P22,IF(MOD(BB$2,12)=MOD(Summary!$N22,12),(Summary!$P22*((1+Summary!$K$20)^((BB$2-12-MOD(Summary!$N22,12))/12))),HLOOKUP(BA$3,$E$3:$DV32,22,FALSE))))</f>
        <v>546.36350000000004</v>
      </c>
      <c r="BC24" s="46">
        <f>IF(AND(Summary!$N22&lt;='Cash Flow Statement'!BC$2,'Cash Flow Statement'!BC$2&lt;=Summary!$O22),IF((BC$2-Summary!$N22)&lt;12,Summary!$P22,IF(MOD(BC$2,12)=MOD(Summary!$N22,12),(Summary!$P22*((1+Summary!$K$20)^((BC$2-12-MOD(Summary!$N22,12))/12))),HLOOKUP(BB$3,$E$3:$DV32,22,FALSE))))</f>
        <v>546.36350000000004</v>
      </c>
      <c r="BD24" s="46">
        <f>IF(AND(Summary!$N22&lt;='Cash Flow Statement'!BD$2,'Cash Flow Statement'!BD$2&lt;=Summary!$O22),IF((BD$2-Summary!$N22)&lt;12,Summary!$P22,IF(MOD(BD$2,12)=MOD(Summary!$N22,12),(Summary!$P22*((1+Summary!$K$20)^((BD$2-12-MOD(Summary!$N22,12))/12))),HLOOKUP(BC$3,$E$3:$DV32,22,FALSE))))</f>
        <v>546.36350000000004</v>
      </c>
      <c r="BE24" s="46">
        <f>IF(AND(Summary!$N22&lt;='Cash Flow Statement'!BE$2,'Cash Flow Statement'!BE$2&lt;=Summary!$O22),IF((BE$2-Summary!$N22)&lt;12,Summary!$P22,IF(MOD(BE$2,12)=MOD(Summary!$N22,12),(Summary!$P22*((1+Summary!$K$20)^((BE$2-12-MOD(Summary!$N22,12))/12))),HLOOKUP(BD$3,$E$3:$DV32,22,FALSE))))</f>
        <v>546.36350000000004</v>
      </c>
      <c r="BF24" s="46">
        <f>IF(AND(Summary!$N22&lt;='Cash Flow Statement'!BF$2,'Cash Flow Statement'!BF$2&lt;=Summary!$O22),IF((BF$2-Summary!$N22)&lt;12,Summary!$P22,IF(MOD(BF$2,12)=MOD(Summary!$N22,12),(Summary!$P22*((1+Summary!$K$20)^((BF$2-12-MOD(Summary!$N22,12))/12))),HLOOKUP(BE$3,$E$3:$DV32,22,FALSE))))</f>
        <v>546.36350000000004</v>
      </c>
      <c r="BG24" s="46">
        <f>IF(AND(Summary!$N22&lt;='Cash Flow Statement'!BG$2,'Cash Flow Statement'!BG$2&lt;=Summary!$O22),IF((BG$2-Summary!$N22)&lt;12,Summary!$P22,IF(MOD(BG$2,12)=MOD(Summary!$N22,12),(Summary!$P22*((1+Summary!$K$20)^((BG$2-12-MOD(Summary!$N22,12))/12))),HLOOKUP(BF$3,$E$3:$DV32,22,FALSE))))</f>
        <v>546.36350000000004</v>
      </c>
      <c r="BH24" s="46">
        <f>IF(AND(Summary!$N22&lt;='Cash Flow Statement'!BH$2,'Cash Flow Statement'!BH$2&lt;=Summary!$O22),IF((BH$2-Summary!$N22)&lt;12,Summary!$P22,IF(MOD(BH$2,12)=MOD(Summary!$N22,12),(Summary!$P22*((1+Summary!$K$20)^((BH$2-12-MOD(Summary!$N22,12))/12))),HLOOKUP(BG$3,$E$3:$DV32,22,FALSE))))</f>
        <v>546.36350000000004</v>
      </c>
      <c r="BI24" s="46">
        <f>IF(AND(Summary!$N22&lt;='Cash Flow Statement'!BI$2,'Cash Flow Statement'!BI$2&lt;=Summary!$O22),IF((BI$2-Summary!$N22)&lt;12,Summary!$P22,IF(MOD(BI$2,12)=MOD(Summary!$N22,12),(Summary!$P22*((1+Summary!$K$20)^((BI$2-12-MOD(Summary!$N22,12))/12))),HLOOKUP(BH$3,$E$3:$DV32,22,FALSE))))</f>
        <v>546.36350000000004</v>
      </c>
      <c r="BJ24" s="46">
        <f>IF(AND(Summary!$N22&lt;='Cash Flow Statement'!BJ$2,'Cash Flow Statement'!BJ$2&lt;=Summary!$O22),IF((BJ$2-Summary!$N22)&lt;12,Summary!$P22,IF(MOD(BJ$2,12)=MOD(Summary!$N22,12),(Summary!$P22*((1+Summary!$K$20)^((BJ$2-12-MOD(Summary!$N22,12))/12))),HLOOKUP(BI$3,$E$3:$DV32,22,FALSE))))</f>
        <v>546.36350000000004</v>
      </c>
      <c r="BK24" s="46">
        <f>IF(AND(Summary!$N22&lt;='Cash Flow Statement'!BK$2,'Cash Flow Statement'!BK$2&lt;=Summary!$O22),IF((BK$2-Summary!$N22)&lt;12,Summary!$P22,IF(MOD(BK$2,12)=MOD(Summary!$N22,12),(Summary!$P22*((1+Summary!$K$20)^((BK$2-12-MOD(Summary!$N22,12))/12))),HLOOKUP(BJ$3,$E$3:$DV32,22,FALSE))))</f>
        <v>546.36350000000004</v>
      </c>
      <c r="BL24" s="46">
        <f>IF(AND(Summary!$N22&lt;='Cash Flow Statement'!BL$2,'Cash Flow Statement'!BL$2&lt;=Summary!$O22),IF((BL$2-Summary!$N22)&lt;12,Summary!$P22,IF(MOD(BL$2,12)=MOD(Summary!$N22,12),(Summary!$P22*((1+Summary!$K$20)^((BL$2-12-MOD(Summary!$N22,12))/12))),HLOOKUP(BK$3,$E$3:$DV32,22,FALSE))))</f>
        <v>546.36350000000004</v>
      </c>
      <c r="BM24" s="46">
        <f>IF(AND(Summary!$N22&lt;='Cash Flow Statement'!BM$2,'Cash Flow Statement'!BM$2&lt;=Summary!$O22),IF((BM$2-Summary!$N22)&lt;12,Summary!$P22,IF(MOD(BM$2,12)=MOD(Summary!$N22,12),(Summary!$P22*((1+Summary!$K$20)^((BM$2-12-MOD(Summary!$N22,12))/12))),HLOOKUP(BL$3,$E$3:$DV32,22,FALSE))))</f>
        <v>562.75440499999991</v>
      </c>
      <c r="BN24" s="46">
        <f>IF(AND(Summary!$N22&lt;='Cash Flow Statement'!BN$2,'Cash Flow Statement'!BN$2&lt;=Summary!$O22),IF((BN$2-Summary!$N22)&lt;12,Summary!$P22,IF(MOD(BN$2,12)=MOD(Summary!$N22,12),(Summary!$P22*((1+Summary!$K$20)^((BN$2-12-MOD(Summary!$N22,12))/12))),HLOOKUP(BM$3,$E$3:$DV32,22,FALSE))))</f>
        <v>562.75440499999991</v>
      </c>
      <c r="BO24" s="46">
        <f>IF(AND(Summary!$N22&lt;='Cash Flow Statement'!BO$2,'Cash Flow Statement'!BO$2&lt;=Summary!$O22),IF((BO$2-Summary!$N22)&lt;12,Summary!$P22,IF(MOD(BO$2,12)=MOD(Summary!$N22,12),(Summary!$P22*((1+Summary!$K$20)^((BO$2-12-MOD(Summary!$N22,12))/12))),HLOOKUP(BN$3,$E$3:$DV32,22,FALSE))))</f>
        <v>562.75440499999991</v>
      </c>
      <c r="BP24" s="46">
        <f>IF(AND(Summary!$N22&lt;='Cash Flow Statement'!BP$2,'Cash Flow Statement'!BP$2&lt;=Summary!$O22),IF((BP$2-Summary!$N22)&lt;12,Summary!$P22,IF(MOD(BP$2,12)=MOD(Summary!$N22,12),(Summary!$P22*((1+Summary!$K$20)^((BP$2-12-MOD(Summary!$N22,12))/12))),HLOOKUP(BO$3,$E$3:$DV32,22,FALSE))))</f>
        <v>562.75440499999991</v>
      </c>
      <c r="BQ24" s="46">
        <f>IF(AND(Summary!$N22&lt;='Cash Flow Statement'!BQ$2,'Cash Flow Statement'!BQ$2&lt;=Summary!$O22),IF((BQ$2-Summary!$N22)&lt;12,Summary!$P22,IF(MOD(BQ$2,12)=MOD(Summary!$N22,12),(Summary!$P22*((1+Summary!$K$20)^((BQ$2-12-MOD(Summary!$N22,12))/12))),HLOOKUP(BP$3,$E$3:$DV32,22,FALSE))))</f>
        <v>562.75440499999991</v>
      </c>
      <c r="BR24" s="46">
        <f>IF(AND(Summary!$N22&lt;='Cash Flow Statement'!BR$2,'Cash Flow Statement'!BR$2&lt;=Summary!$O22),IF((BR$2-Summary!$N22)&lt;12,Summary!$P22,IF(MOD(BR$2,12)=MOD(Summary!$N22,12),(Summary!$P22*((1+Summary!$K$20)^((BR$2-12-MOD(Summary!$N22,12))/12))),HLOOKUP(BQ$3,$E$3:$DV32,22,FALSE))))</f>
        <v>562.75440499999991</v>
      </c>
      <c r="BS24" s="46">
        <f>IF(AND(Summary!$N22&lt;='Cash Flow Statement'!BS$2,'Cash Flow Statement'!BS$2&lt;=Summary!$O22),IF((BS$2-Summary!$N22)&lt;12,Summary!$P22,IF(MOD(BS$2,12)=MOD(Summary!$N22,12),(Summary!$P22*((1+Summary!$K$20)^((BS$2-12-MOD(Summary!$N22,12))/12))),HLOOKUP(BR$3,$E$3:$DV32,22,FALSE))))</f>
        <v>562.75440499999991</v>
      </c>
      <c r="BT24" s="46">
        <f>IF(AND(Summary!$N22&lt;='Cash Flow Statement'!BT$2,'Cash Flow Statement'!BT$2&lt;=Summary!$O22),IF((BT$2-Summary!$N22)&lt;12,Summary!$P22,IF(MOD(BT$2,12)=MOD(Summary!$N22,12),(Summary!$P22*((1+Summary!$K$20)^((BT$2-12-MOD(Summary!$N22,12))/12))),HLOOKUP(BS$3,$E$3:$DV32,22,FALSE))))</f>
        <v>562.75440499999991</v>
      </c>
      <c r="BU24" s="46">
        <f>IF(AND(Summary!$N22&lt;='Cash Flow Statement'!BU$2,'Cash Flow Statement'!BU$2&lt;=Summary!$O22),IF((BU$2-Summary!$N22)&lt;12,Summary!$P22,IF(MOD(BU$2,12)=MOD(Summary!$N22,12),(Summary!$P22*((1+Summary!$K$20)^((BU$2-12-MOD(Summary!$N22,12))/12))),HLOOKUP(BT$3,$E$3:$DV32,22,FALSE))))</f>
        <v>562.75440499999991</v>
      </c>
      <c r="BV24" s="46">
        <f>IF(AND(Summary!$N22&lt;='Cash Flow Statement'!BV$2,'Cash Flow Statement'!BV$2&lt;=Summary!$O22),IF((BV$2-Summary!$N22)&lt;12,Summary!$P22,IF(MOD(BV$2,12)=MOD(Summary!$N22,12),(Summary!$P22*((1+Summary!$K$20)^((BV$2-12-MOD(Summary!$N22,12))/12))),HLOOKUP(BU$3,$E$3:$DV32,22,FALSE))))</f>
        <v>562.75440499999991</v>
      </c>
      <c r="BW24" s="46">
        <f>IF(AND(Summary!$N22&lt;='Cash Flow Statement'!BW$2,'Cash Flow Statement'!BW$2&lt;=Summary!$O22),IF((BW$2-Summary!$N22)&lt;12,Summary!$P22,IF(MOD(BW$2,12)=MOD(Summary!$N22,12),(Summary!$P22*((1+Summary!$K$20)^((BW$2-12-MOD(Summary!$N22,12))/12))),HLOOKUP(BV$3,$E$3:$DV32,22,FALSE))))</f>
        <v>562.75440499999991</v>
      </c>
      <c r="BX24" s="46">
        <f>IF(AND(Summary!$N22&lt;='Cash Flow Statement'!BX$2,'Cash Flow Statement'!BX$2&lt;=Summary!$O22),IF((BX$2-Summary!$N22)&lt;12,Summary!$P22,IF(MOD(BX$2,12)=MOD(Summary!$N22,12),(Summary!$P22*((1+Summary!$K$20)^((BX$2-12-MOD(Summary!$N22,12))/12))),HLOOKUP(BW$3,$E$3:$DV32,22,FALSE))))</f>
        <v>562.75440499999991</v>
      </c>
      <c r="BY24" s="46">
        <f>IF(AND(Summary!$N22&lt;='Cash Flow Statement'!BY$2,'Cash Flow Statement'!BY$2&lt;=Summary!$O22),IF((BY$2-Summary!$N22)&lt;12,Summary!$P22,IF(MOD(BY$2,12)=MOD(Summary!$N22,12),(Summary!$P22*((1+Summary!$K$20)^((BY$2-12-MOD(Summary!$N22,12))/12))),HLOOKUP(BX$3,$E$3:$DV32,22,FALSE))))</f>
        <v>579.63703714999997</v>
      </c>
      <c r="BZ24" s="46">
        <f>IF(AND(Summary!$N22&lt;='Cash Flow Statement'!BZ$2,'Cash Flow Statement'!BZ$2&lt;=Summary!$O22),IF((BZ$2-Summary!$N22)&lt;12,Summary!$P22,IF(MOD(BZ$2,12)=MOD(Summary!$N22,12),(Summary!$P22*((1+Summary!$K$20)^((BZ$2-12-MOD(Summary!$N22,12))/12))),HLOOKUP(BY$3,$E$3:$DV32,22,FALSE))))</f>
        <v>579.63703714999997</v>
      </c>
      <c r="CA24" s="46">
        <f>IF(AND(Summary!$N22&lt;='Cash Flow Statement'!CA$2,'Cash Flow Statement'!CA$2&lt;=Summary!$O22),IF((CA$2-Summary!$N22)&lt;12,Summary!$P22,IF(MOD(CA$2,12)=MOD(Summary!$N22,12),(Summary!$P22*((1+Summary!$K$20)^((CA$2-12-MOD(Summary!$N22,12))/12))),HLOOKUP(BZ$3,$E$3:$DV32,22,FALSE))))</f>
        <v>579.63703714999997</v>
      </c>
      <c r="CB24" s="46">
        <f>IF(AND(Summary!$N22&lt;='Cash Flow Statement'!CB$2,'Cash Flow Statement'!CB$2&lt;=Summary!$O22),IF((CB$2-Summary!$N22)&lt;12,Summary!$P22,IF(MOD(CB$2,12)=MOD(Summary!$N22,12),(Summary!$P22*((1+Summary!$K$20)^((CB$2-12-MOD(Summary!$N22,12))/12))),HLOOKUP(CA$3,$E$3:$DV32,22,FALSE))))</f>
        <v>579.63703714999997</v>
      </c>
      <c r="CC24" s="46">
        <f>IF(AND(Summary!$N22&lt;='Cash Flow Statement'!CC$2,'Cash Flow Statement'!CC$2&lt;=Summary!$O22),IF((CC$2-Summary!$N22)&lt;12,Summary!$P22,IF(MOD(CC$2,12)=MOD(Summary!$N22,12),(Summary!$P22*((1+Summary!$K$20)^((CC$2-12-MOD(Summary!$N22,12))/12))),HLOOKUP(CB$3,$E$3:$DV32,22,FALSE))))</f>
        <v>579.63703714999997</v>
      </c>
      <c r="CD24" s="46">
        <f>IF(AND(Summary!$N22&lt;='Cash Flow Statement'!CD$2,'Cash Flow Statement'!CD$2&lt;=Summary!$O22),IF((CD$2-Summary!$N22)&lt;12,Summary!$P22,IF(MOD(CD$2,12)=MOD(Summary!$N22,12),(Summary!$P22*((1+Summary!$K$20)^((CD$2-12-MOD(Summary!$N22,12))/12))),HLOOKUP(CC$3,$E$3:$DV32,22,FALSE))))</f>
        <v>579.63703714999997</v>
      </c>
      <c r="CE24" s="46">
        <f>IF(AND(Summary!$N22&lt;='Cash Flow Statement'!CE$2,'Cash Flow Statement'!CE$2&lt;=Summary!$O22),IF((CE$2-Summary!$N22)&lt;12,Summary!$P22,IF(MOD(CE$2,12)=MOD(Summary!$N22,12),(Summary!$P22*((1+Summary!$K$20)^((CE$2-12-MOD(Summary!$N22,12))/12))),HLOOKUP(CD$3,$E$3:$DV32,22,FALSE))))</f>
        <v>579.63703714999997</v>
      </c>
      <c r="CF24" s="46">
        <f>IF(AND(Summary!$N22&lt;='Cash Flow Statement'!CF$2,'Cash Flow Statement'!CF$2&lt;=Summary!$O22),IF((CF$2-Summary!$N22)&lt;12,Summary!$P22,IF(MOD(CF$2,12)=MOD(Summary!$N22,12),(Summary!$P22*((1+Summary!$K$20)^((CF$2-12-MOD(Summary!$N22,12))/12))),HLOOKUP(CE$3,$E$3:$DV32,22,FALSE))))</f>
        <v>579.63703714999997</v>
      </c>
      <c r="CG24" s="46">
        <f>IF(AND(Summary!$N22&lt;='Cash Flow Statement'!CG$2,'Cash Flow Statement'!CG$2&lt;=Summary!$O22),IF((CG$2-Summary!$N22)&lt;12,Summary!$P22,IF(MOD(CG$2,12)=MOD(Summary!$N22,12),(Summary!$P22*((1+Summary!$K$20)^((CG$2-12-MOD(Summary!$N22,12))/12))),HLOOKUP(CF$3,$E$3:$DV32,22,FALSE))))</f>
        <v>579.63703714999997</v>
      </c>
      <c r="CH24" s="46">
        <f>IF(AND(Summary!$N22&lt;='Cash Flow Statement'!CH$2,'Cash Flow Statement'!CH$2&lt;=Summary!$O22),IF((CH$2-Summary!$N22)&lt;12,Summary!$P22,IF(MOD(CH$2,12)=MOD(Summary!$N22,12),(Summary!$P22*((1+Summary!$K$20)^((CH$2-12-MOD(Summary!$N22,12))/12))),HLOOKUP(CG$3,$E$3:$DV32,22,FALSE))))</f>
        <v>579.63703714999997</v>
      </c>
      <c r="CI24" s="46">
        <f>IF(AND(Summary!$N22&lt;='Cash Flow Statement'!CI$2,'Cash Flow Statement'!CI$2&lt;=Summary!$O22),IF((CI$2-Summary!$N22)&lt;12,Summary!$P22,IF(MOD(CI$2,12)=MOD(Summary!$N22,12),(Summary!$P22*((1+Summary!$K$20)^((CI$2-12-MOD(Summary!$N22,12))/12))),HLOOKUP(CH$3,$E$3:$DV32,22,FALSE))))</f>
        <v>579.63703714999997</v>
      </c>
      <c r="CJ24" s="46">
        <f>IF(AND(Summary!$N22&lt;='Cash Flow Statement'!CJ$2,'Cash Flow Statement'!CJ$2&lt;=Summary!$O22),IF((CJ$2-Summary!$N22)&lt;12,Summary!$P22,IF(MOD(CJ$2,12)=MOD(Summary!$N22,12),(Summary!$P22*((1+Summary!$K$20)^((CJ$2-12-MOD(Summary!$N22,12))/12))),HLOOKUP(CI$3,$E$3:$DV32,22,FALSE))))</f>
        <v>579.63703714999997</v>
      </c>
      <c r="CK24" s="46">
        <f>IF(AND(Summary!$N22&lt;='Cash Flow Statement'!CK$2,'Cash Flow Statement'!CK$2&lt;=Summary!$O22),IF((CK$2-Summary!$N22)&lt;12,Summary!$P22,IF(MOD(CK$2,12)=MOD(Summary!$N22,12),(Summary!$P22*((1+Summary!$K$20)^((CK$2-12-MOD(Summary!$N22,12))/12))),HLOOKUP(CJ$3,$E$3:$DV32,22,FALSE))))</f>
        <v>597.02614826449997</v>
      </c>
      <c r="CL24" s="46">
        <f>IF(AND(Summary!$N22&lt;='Cash Flow Statement'!CL$2,'Cash Flow Statement'!CL$2&lt;=Summary!$O22),IF((CL$2-Summary!$N22)&lt;12,Summary!$P22,IF(MOD(CL$2,12)=MOD(Summary!$N22,12),(Summary!$P22*((1+Summary!$K$20)^((CL$2-12-MOD(Summary!$N22,12))/12))),HLOOKUP(CK$3,$E$3:$DV32,22,FALSE))))</f>
        <v>597.02614826449997</v>
      </c>
      <c r="CM24" s="46">
        <f>IF(AND(Summary!$N22&lt;='Cash Flow Statement'!CM$2,'Cash Flow Statement'!CM$2&lt;=Summary!$O22),IF((CM$2-Summary!$N22)&lt;12,Summary!$P22,IF(MOD(CM$2,12)=MOD(Summary!$N22,12),(Summary!$P22*((1+Summary!$K$20)^((CM$2-12-MOD(Summary!$N22,12))/12))),HLOOKUP(CL$3,$E$3:$DV32,22,FALSE))))</f>
        <v>597.02614826449997</v>
      </c>
      <c r="CN24" s="46">
        <f>IF(AND(Summary!$N22&lt;='Cash Flow Statement'!CN$2,'Cash Flow Statement'!CN$2&lt;=Summary!$O22),IF((CN$2-Summary!$N22)&lt;12,Summary!$P22,IF(MOD(CN$2,12)=MOD(Summary!$N22,12),(Summary!$P22*((1+Summary!$K$20)^((CN$2-12-MOD(Summary!$N22,12))/12))),HLOOKUP(CM$3,$E$3:$DV32,22,FALSE))))</f>
        <v>597.02614826449997</v>
      </c>
      <c r="CO24" s="46">
        <f>IF(AND(Summary!$N22&lt;='Cash Flow Statement'!CO$2,'Cash Flow Statement'!CO$2&lt;=Summary!$O22),IF((CO$2-Summary!$N22)&lt;12,Summary!$P22,IF(MOD(CO$2,12)=MOD(Summary!$N22,12),(Summary!$P22*((1+Summary!$K$20)^((CO$2-12-MOD(Summary!$N22,12))/12))),HLOOKUP(CN$3,$E$3:$DV32,22,FALSE))))</f>
        <v>597.02614826449997</v>
      </c>
      <c r="CP24" s="46">
        <f>IF(AND(Summary!$N22&lt;='Cash Flow Statement'!CP$2,'Cash Flow Statement'!CP$2&lt;=Summary!$O22),IF((CP$2-Summary!$N22)&lt;12,Summary!$P22,IF(MOD(CP$2,12)=MOD(Summary!$N22,12),(Summary!$P22*((1+Summary!$K$20)^((CP$2-12-MOD(Summary!$N22,12))/12))),HLOOKUP(CO$3,$E$3:$DV32,22,FALSE))))</f>
        <v>597.02614826449997</v>
      </c>
      <c r="CQ24" s="46">
        <f>IF(AND(Summary!$N22&lt;='Cash Flow Statement'!CQ$2,'Cash Flow Statement'!CQ$2&lt;=Summary!$O22),IF((CQ$2-Summary!$N22)&lt;12,Summary!$P22,IF(MOD(CQ$2,12)=MOD(Summary!$N22,12),(Summary!$P22*((1+Summary!$K$20)^((CQ$2-12-MOD(Summary!$N22,12))/12))),HLOOKUP(CP$3,$E$3:$DV32,22,FALSE))))</f>
        <v>597.02614826449997</v>
      </c>
      <c r="CR24" s="46">
        <f>IF(AND(Summary!$N22&lt;='Cash Flow Statement'!CR$2,'Cash Flow Statement'!CR$2&lt;=Summary!$O22),IF((CR$2-Summary!$N22)&lt;12,Summary!$P22,IF(MOD(CR$2,12)=MOD(Summary!$N22,12),(Summary!$P22*((1+Summary!$K$20)^((CR$2-12-MOD(Summary!$N22,12))/12))),HLOOKUP(CQ$3,$E$3:$DV32,22,FALSE))))</f>
        <v>597.02614826449997</v>
      </c>
      <c r="CS24" s="46">
        <f>IF(AND(Summary!$N22&lt;='Cash Flow Statement'!CS$2,'Cash Flow Statement'!CS$2&lt;=Summary!$O22),IF((CS$2-Summary!$N22)&lt;12,Summary!$P22,IF(MOD(CS$2,12)=MOD(Summary!$N22,12),(Summary!$P22*((1+Summary!$K$20)^((CS$2-12-MOD(Summary!$N22,12))/12))),HLOOKUP(CR$3,$E$3:$DV32,22,FALSE))))</f>
        <v>597.02614826449997</v>
      </c>
      <c r="CT24" s="46">
        <f>IF(AND(Summary!$N22&lt;='Cash Flow Statement'!CT$2,'Cash Flow Statement'!CT$2&lt;=Summary!$O22),IF((CT$2-Summary!$N22)&lt;12,Summary!$P22,IF(MOD(CT$2,12)=MOD(Summary!$N22,12),(Summary!$P22*((1+Summary!$K$20)^((CT$2-12-MOD(Summary!$N22,12))/12))),HLOOKUP(CS$3,$E$3:$DV32,22,FALSE))))</f>
        <v>597.02614826449997</v>
      </c>
      <c r="CU24" s="46">
        <f>IF(AND(Summary!$N22&lt;='Cash Flow Statement'!CU$2,'Cash Flow Statement'!CU$2&lt;=Summary!$O22),IF((CU$2-Summary!$N22)&lt;12,Summary!$P22,IF(MOD(CU$2,12)=MOD(Summary!$N22,12),(Summary!$P22*((1+Summary!$K$20)^((CU$2-12-MOD(Summary!$N22,12))/12))),HLOOKUP(CT$3,$E$3:$DV32,22,FALSE))))</f>
        <v>597.02614826449997</v>
      </c>
      <c r="CV24" s="46">
        <f>IF(AND(Summary!$N22&lt;='Cash Flow Statement'!CV$2,'Cash Flow Statement'!CV$2&lt;=Summary!$O22),IF((CV$2-Summary!$N22)&lt;12,Summary!$P22,IF(MOD(CV$2,12)=MOD(Summary!$N22,12),(Summary!$P22*((1+Summary!$K$20)^((CV$2-12-MOD(Summary!$N22,12))/12))),HLOOKUP(CU$3,$E$3:$DV32,22,FALSE))))</f>
        <v>597.02614826449997</v>
      </c>
      <c r="CW24" s="46">
        <f>IF(AND(Summary!$N22&lt;='Cash Flow Statement'!CW$2,'Cash Flow Statement'!CW$2&lt;=Summary!$O22),IF((CW$2-Summary!$N22)&lt;12,Summary!$P22,IF(MOD(CW$2,12)=MOD(Summary!$N22,12),(Summary!$P22*((1+Summary!$K$20)^((CW$2-12-MOD(Summary!$N22,12))/12))),HLOOKUP(CV$3,$E$3:$DV32,22,FALSE))))</f>
        <v>614.93693271243501</v>
      </c>
      <c r="CX24" s="46">
        <f>IF(AND(Summary!$N22&lt;='Cash Flow Statement'!CX$2,'Cash Flow Statement'!CX$2&lt;=Summary!$O22),IF((CX$2-Summary!$N22)&lt;12,Summary!$P22,IF(MOD(CX$2,12)=MOD(Summary!$N22,12),(Summary!$P22*((1+Summary!$K$20)^((CX$2-12-MOD(Summary!$N22,12))/12))),HLOOKUP(CW$3,$E$3:$DV32,22,FALSE))))</f>
        <v>614.93693271243501</v>
      </c>
      <c r="CY24" s="46">
        <f>IF(AND(Summary!$N22&lt;='Cash Flow Statement'!CY$2,'Cash Flow Statement'!CY$2&lt;=Summary!$O22),IF((CY$2-Summary!$N22)&lt;12,Summary!$P22,IF(MOD(CY$2,12)=MOD(Summary!$N22,12),(Summary!$P22*((1+Summary!$K$20)^((CY$2-12-MOD(Summary!$N22,12))/12))),HLOOKUP(CX$3,$E$3:$DV32,22,FALSE))))</f>
        <v>614.93693271243501</v>
      </c>
      <c r="CZ24" s="46">
        <f>IF(AND(Summary!$N22&lt;='Cash Flow Statement'!CZ$2,'Cash Flow Statement'!CZ$2&lt;=Summary!$O22),IF((CZ$2-Summary!$N22)&lt;12,Summary!$P22,IF(MOD(CZ$2,12)=MOD(Summary!$N22,12),(Summary!$P22*((1+Summary!$K$20)^((CZ$2-12-MOD(Summary!$N22,12))/12))),HLOOKUP(CY$3,$E$3:$DV32,22,FALSE))))</f>
        <v>614.93693271243501</v>
      </c>
      <c r="DA24" s="46">
        <f>IF(AND(Summary!$N22&lt;='Cash Flow Statement'!DA$2,'Cash Flow Statement'!DA$2&lt;=Summary!$O22),IF((DA$2-Summary!$N22)&lt;12,Summary!$P22,IF(MOD(DA$2,12)=MOD(Summary!$N22,12),(Summary!$P22*((1+Summary!$K$20)^((DA$2-12-MOD(Summary!$N22,12))/12))),HLOOKUP(CZ$3,$E$3:$DV32,22,FALSE))))</f>
        <v>614.93693271243501</v>
      </c>
      <c r="DB24" s="46">
        <f>IF(AND(Summary!$N22&lt;='Cash Flow Statement'!DB$2,'Cash Flow Statement'!DB$2&lt;=Summary!$O22),IF((DB$2-Summary!$N22)&lt;12,Summary!$P22,IF(MOD(DB$2,12)=MOD(Summary!$N22,12),(Summary!$P22*((1+Summary!$K$20)^((DB$2-12-MOD(Summary!$N22,12))/12))),HLOOKUP(DA$3,$E$3:$DV32,22,FALSE))))</f>
        <v>614.93693271243501</v>
      </c>
      <c r="DC24" s="46">
        <f>IF(AND(Summary!$N22&lt;='Cash Flow Statement'!DC$2,'Cash Flow Statement'!DC$2&lt;=Summary!$O22),IF((DC$2-Summary!$N22)&lt;12,Summary!$P22,IF(MOD(DC$2,12)=MOD(Summary!$N22,12),(Summary!$P22*((1+Summary!$K$20)^((DC$2-12-MOD(Summary!$N22,12))/12))),HLOOKUP(DB$3,$E$3:$DV32,22,FALSE))))</f>
        <v>614.93693271243501</v>
      </c>
      <c r="DD24" s="46">
        <f>IF(AND(Summary!$N22&lt;='Cash Flow Statement'!DD$2,'Cash Flow Statement'!DD$2&lt;=Summary!$O22),IF((DD$2-Summary!$N22)&lt;12,Summary!$P22,IF(MOD(DD$2,12)=MOD(Summary!$N22,12),(Summary!$P22*((1+Summary!$K$20)^((DD$2-12-MOD(Summary!$N22,12))/12))),HLOOKUP(DC$3,$E$3:$DV32,22,FALSE))))</f>
        <v>614.93693271243501</v>
      </c>
      <c r="DE24" s="46">
        <f>IF(AND(Summary!$N22&lt;='Cash Flow Statement'!DE$2,'Cash Flow Statement'!DE$2&lt;=Summary!$O22),IF((DE$2-Summary!$N22)&lt;12,Summary!$P22,IF(MOD(DE$2,12)=MOD(Summary!$N22,12),(Summary!$P22*((1+Summary!$K$20)^((DE$2-12-MOD(Summary!$N22,12))/12))),HLOOKUP(DD$3,$E$3:$DV32,22,FALSE))))</f>
        <v>614.93693271243501</v>
      </c>
      <c r="DF24" s="46">
        <f>IF(AND(Summary!$N22&lt;='Cash Flow Statement'!DF$2,'Cash Flow Statement'!DF$2&lt;=Summary!$O22),IF((DF$2-Summary!$N22)&lt;12,Summary!$P22,IF(MOD(DF$2,12)=MOD(Summary!$N22,12),(Summary!$P22*((1+Summary!$K$20)^((DF$2-12-MOD(Summary!$N22,12))/12))),HLOOKUP(DE$3,$E$3:$DV32,22,FALSE))))</f>
        <v>614.93693271243501</v>
      </c>
      <c r="DG24" s="46">
        <f>IF(AND(Summary!$N22&lt;='Cash Flow Statement'!DG$2,'Cash Flow Statement'!DG$2&lt;=Summary!$O22),IF((DG$2-Summary!$N22)&lt;12,Summary!$P22,IF(MOD(DG$2,12)=MOD(Summary!$N22,12),(Summary!$P22*((1+Summary!$K$20)^((DG$2-12-MOD(Summary!$N22,12))/12))),HLOOKUP(DF$3,$E$3:$DV32,22,FALSE))))</f>
        <v>614.93693271243501</v>
      </c>
      <c r="DH24" s="46">
        <f>IF(AND(Summary!$N22&lt;='Cash Flow Statement'!DH$2,'Cash Flow Statement'!DH$2&lt;=Summary!$O22),IF((DH$2-Summary!$N22)&lt;12,Summary!$P22,IF(MOD(DH$2,12)=MOD(Summary!$N22,12),(Summary!$P22*((1+Summary!$K$20)^((DH$2-12-MOD(Summary!$N22,12))/12))),HLOOKUP(DG$3,$E$3:$DV32,22,FALSE))))</f>
        <v>614.93693271243501</v>
      </c>
      <c r="DI24" s="46">
        <f>IF(AND(Summary!$N22&lt;='Cash Flow Statement'!DI$2,'Cash Flow Statement'!DI$2&lt;=Summary!$O22),IF((DI$2-Summary!$N22)&lt;12,Summary!$P22,IF(MOD(DI$2,12)=MOD(Summary!$N22,12),(Summary!$P22*((1+Summary!$K$20)^((DI$2-12-MOD(Summary!$N22,12))/12))),HLOOKUP(DH$3,$E$3:$DV32,22,FALSE))))</f>
        <v>633.38504069380792</v>
      </c>
      <c r="DJ24" s="46">
        <f>IF(AND(Summary!$N22&lt;='Cash Flow Statement'!DJ$2,'Cash Flow Statement'!DJ$2&lt;=Summary!$O22),IF((DJ$2-Summary!$N22)&lt;12,Summary!$P22,IF(MOD(DJ$2,12)=MOD(Summary!$N22,12),(Summary!$P22*((1+Summary!$K$20)^((DJ$2-12-MOD(Summary!$N22,12))/12))),HLOOKUP(DI$3,$E$3:$DV32,22,FALSE))))</f>
        <v>633.38504069380792</v>
      </c>
      <c r="DK24" s="46">
        <f>IF(AND(Summary!$N22&lt;='Cash Flow Statement'!DK$2,'Cash Flow Statement'!DK$2&lt;=Summary!$O22),IF((DK$2-Summary!$N22)&lt;12,Summary!$P22,IF(MOD(DK$2,12)=MOD(Summary!$N22,12),(Summary!$P22*((1+Summary!$K$20)^((DK$2-12-MOD(Summary!$N22,12))/12))),HLOOKUP(DJ$3,$E$3:$DV32,22,FALSE))))</f>
        <v>633.38504069380792</v>
      </c>
      <c r="DL24" s="46">
        <f>IF(AND(Summary!$N22&lt;='Cash Flow Statement'!DL$2,'Cash Flow Statement'!DL$2&lt;=Summary!$O22),IF((DL$2-Summary!$N22)&lt;12,Summary!$P22,IF(MOD(DL$2,12)=MOD(Summary!$N22,12),(Summary!$P22*((1+Summary!$K$20)^((DL$2-12-MOD(Summary!$N22,12))/12))),HLOOKUP(DK$3,$E$3:$DV32,22,FALSE))))</f>
        <v>633.38504069380792</v>
      </c>
      <c r="DM24" s="46">
        <f>IF(AND(Summary!$N22&lt;='Cash Flow Statement'!DM$2,'Cash Flow Statement'!DM$2&lt;=Summary!$O22),IF((DM$2-Summary!$N22)&lt;12,Summary!$P22,IF(MOD(DM$2,12)=MOD(Summary!$N22,12),(Summary!$P22*((1+Summary!$K$20)^((DM$2-12-MOD(Summary!$N22,12))/12))),HLOOKUP(DL$3,$E$3:$DV32,22,FALSE))))</f>
        <v>633.38504069380792</v>
      </c>
      <c r="DN24" s="46">
        <f>IF(AND(Summary!$N22&lt;='Cash Flow Statement'!DN$2,'Cash Flow Statement'!DN$2&lt;=Summary!$O22),IF((DN$2-Summary!$N22)&lt;12,Summary!$P22,IF(MOD(DN$2,12)=MOD(Summary!$N22,12),(Summary!$P22*((1+Summary!$K$20)^((DN$2-12-MOD(Summary!$N22,12))/12))),HLOOKUP(DM$3,$E$3:$DV32,22,FALSE))))</f>
        <v>633.38504069380792</v>
      </c>
      <c r="DO24" s="46">
        <f>IF(AND(Summary!$N22&lt;='Cash Flow Statement'!DO$2,'Cash Flow Statement'!DO$2&lt;=Summary!$O22),IF((DO$2-Summary!$N22)&lt;12,Summary!$P22,IF(MOD(DO$2,12)=MOD(Summary!$N22,12),(Summary!$P22*((1+Summary!$K$20)^((DO$2-12-MOD(Summary!$N22,12))/12))),HLOOKUP(DN$3,$E$3:$DV32,22,FALSE))))</f>
        <v>633.38504069380792</v>
      </c>
      <c r="DP24" s="46">
        <f>IF(AND(Summary!$N22&lt;='Cash Flow Statement'!DP$2,'Cash Flow Statement'!DP$2&lt;=Summary!$O22),IF((DP$2-Summary!$N22)&lt;12,Summary!$P22,IF(MOD(DP$2,12)=MOD(Summary!$N22,12),(Summary!$P22*((1+Summary!$K$20)^((DP$2-12-MOD(Summary!$N22,12))/12))),HLOOKUP(DO$3,$E$3:$DV32,22,FALSE))))</f>
        <v>633.38504069380792</v>
      </c>
      <c r="DQ24" s="46">
        <f>IF(AND(Summary!$N22&lt;='Cash Flow Statement'!DQ$2,'Cash Flow Statement'!DQ$2&lt;=Summary!$O22),IF((DQ$2-Summary!$N22)&lt;12,Summary!$P22,IF(MOD(DQ$2,12)=MOD(Summary!$N22,12),(Summary!$P22*((1+Summary!$K$20)^((DQ$2-12-MOD(Summary!$N22,12))/12))),HLOOKUP(DP$3,$E$3:$DV32,22,FALSE))))</f>
        <v>633.38504069380792</v>
      </c>
      <c r="DR24" s="46">
        <f>IF(AND(Summary!$N22&lt;='Cash Flow Statement'!DR$2,'Cash Flow Statement'!DR$2&lt;=Summary!$O22),IF((DR$2-Summary!$N22)&lt;12,Summary!$P22,IF(MOD(DR$2,12)=MOD(Summary!$N22,12),(Summary!$P22*((1+Summary!$K$20)^((DR$2-12-MOD(Summary!$N22,12))/12))),HLOOKUP(DQ$3,$E$3:$DV32,22,FALSE))))</f>
        <v>633.38504069380792</v>
      </c>
      <c r="DS24" s="46">
        <f>IF(AND(Summary!$N22&lt;='Cash Flow Statement'!DS$2,'Cash Flow Statement'!DS$2&lt;=Summary!$O22),IF((DS$2-Summary!$N22)&lt;12,Summary!$P22,IF(MOD(DS$2,12)=MOD(Summary!$N22,12),(Summary!$P22*((1+Summary!$K$20)^((DS$2-12-MOD(Summary!$N22,12))/12))),HLOOKUP(DR$3,$E$3:$DV32,22,FALSE))))</f>
        <v>633.38504069380792</v>
      </c>
      <c r="DT24" s="46">
        <f>IF(AND(Summary!$N22&lt;='Cash Flow Statement'!DT$2,'Cash Flow Statement'!DT$2&lt;=Summary!$O22),IF((DT$2-Summary!$N22)&lt;12,Summary!$P22,IF(MOD(DT$2,12)=MOD(Summary!$N22,12),(Summary!$P22*((1+Summary!$K$20)^((DT$2-12-MOD(Summary!$N22,12))/12))),HLOOKUP(DS$3,$E$3:$DV32,22,FALSE))))</f>
        <v>633.38504069380792</v>
      </c>
      <c r="DU24" s="46">
        <f>IF(AND(Summary!$N22&lt;='Cash Flow Statement'!DU$2,'Cash Flow Statement'!DU$2&lt;=Summary!$O22),IF((DU$2-Summary!$N22)&lt;12,Summary!$P22,IF(MOD(DU$2,12)=MOD(Summary!$N22,12),(Summary!$P22*((1+Summary!$K$20)^((DU$2-12-MOD(Summary!$N22,12))/12))),HLOOKUP(DT$3,$E$3:$DV32,22,FALSE))))</f>
        <v>652.38659191462227</v>
      </c>
      <c r="DV24" s="135"/>
    </row>
    <row r="25" spans="1:126" x14ac:dyDescent="0.2">
      <c r="A25" s="81"/>
      <c r="B25" s="81" t="str">
        <f>Summary!J23</f>
        <v>Repairs, Maintenance &amp; Turnover</v>
      </c>
      <c r="C25" s="44"/>
      <c r="D25" s="132">
        <f t="shared" ref="D25:D31" si="17">SUM(E25:DU25)</f>
        <v>28893.855781189955</v>
      </c>
      <c r="E25" s="134" t="b">
        <f>IF(AND(Summary!$N23&lt;='Cash Flow Statement'!E$2,'Cash Flow Statement'!E$2&lt;=Summary!$O23),IF((E$2-Summary!$N23)&lt;12,Summary!$P23,IF(MOD(E$2,12)=MOD(Summary!$N23,12),(Summary!$P23*((1+Summary!$K$20)^((E$2-12-MOD(Summary!$N23,12))/12))),HLOOKUP(D$3,$E$3:$DV32,23,FALSE))))</f>
        <v>0</v>
      </c>
      <c r="F25" s="46" t="b">
        <f>IF(AND(Summary!$N23&lt;='Cash Flow Statement'!F$2,'Cash Flow Statement'!F$2&lt;=Summary!$O23),IF((F$2-Summary!$N23)&lt;12,Summary!$P23,IF(MOD(F$2,12)=MOD(Summary!$N23,12),(Summary!$P23*((1+Summary!$K$20)^((F$2-12-MOD(Summary!$N23,12))/12))),HLOOKUP(E$3,$E$3:$DV32,23,FALSE))))</f>
        <v>0</v>
      </c>
      <c r="G25" s="46" t="b">
        <f>IF(AND(Summary!$N23&lt;='Cash Flow Statement'!G$2,'Cash Flow Statement'!G$2&lt;=Summary!$O23),IF((G$2-Summary!$N23)&lt;12,Summary!$P23,IF(MOD(G$2,12)=MOD(Summary!$N23,12),(Summary!$P23*((1+Summary!$K$20)^((G$2-12-MOD(Summary!$N23,12))/12))),HLOOKUP(F$3,$E$3:$DV32,23,FALSE))))</f>
        <v>0</v>
      </c>
      <c r="H25" s="46" t="b">
        <f>IF(AND(Summary!$N23&lt;='Cash Flow Statement'!H$2,'Cash Flow Statement'!H$2&lt;=Summary!$O23),IF((H$2-Summary!$N23)&lt;12,Summary!$P23,IF(MOD(H$2,12)=MOD(Summary!$N23,12),(Summary!$P23*((1+Summary!$K$20)^((H$2-12-MOD(Summary!$N23,12))/12))),HLOOKUP(G$3,$E$3:$DV32,23,FALSE))))</f>
        <v>0</v>
      </c>
      <c r="I25" s="46" t="b">
        <f>IF(AND(Summary!$N23&lt;='Cash Flow Statement'!I$2,'Cash Flow Statement'!I$2&lt;=Summary!$O23),IF((I$2-Summary!$N23)&lt;12,Summary!$P23,IF(MOD(I$2,12)=MOD(Summary!$N23,12),(Summary!$P23*((1+Summary!$K$20)^((I$2-12-MOD(Summary!$N23,12))/12))),HLOOKUP(H$3,$E$3:$DV32,23,FALSE))))</f>
        <v>0</v>
      </c>
      <c r="J25" s="46" t="b">
        <f>IF(AND(Summary!$N23&lt;='Cash Flow Statement'!J$2,'Cash Flow Statement'!J$2&lt;=Summary!$O23),IF((J$2-Summary!$N23)&lt;12,Summary!$P23,IF(MOD(J$2,12)=MOD(Summary!$N23,12),(Summary!$P23*((1+Summary!$K$20)^((J$2-12-MOD(Summary!$N23,12))/12))),HLOOKUP(I$3,$E$3:$DV32,23,FALSE))))</f>
        <v>0</v>
      </c>
      <c r="K25" s="46" t="b">
        <f>IF(AND(Summary!$N23&lt;='Cash Flow Statement'!K$2,'Cash Flow Statement'!K$2&lt;=Summary!$O23),IF((K$2-Summary!$N23)&lt;12,Summary!$P23,IF(MOD(K$2,12)=MOD(Summary!$N23,12),(Summary!$P23*((1+Summary!$K$20)^((K$2-12-MOD(Summary!$N23,12))/12))),HLOOKUP(J$3,$E$3:$DV32,23,FALSE))))</f>
        <v>0</v>
      </c>
      <c r="L25" s="46" t="b">
        <f>IF(AND(Summary!$N23&lt;='Cash Flow Statement'!L$2,'Cash Flow Statement'!L$2&lt;=Summary!$O23),IF((L$2-Summary!$N23)&lt;12,Summary!$P23,IF(MOD(L$2,12)=MOD(Summary!$N23,12),(Summary!$P23*((1+Summary!$K$20)^((L$2-12-MOD(Summary!$N23,12))/12))),HLOOKUP(K$3,$E$3:$DV32,23,FALSE))))</f>
        <v>0</v>
      </c>
      <c r="M25" s="46" t="b">
        <f>IF(AND(Summary!$N23&lt;='Cash Flow Statement'!M$2,'Cash Flow Statement'!M$2&lt;=Summary!$O23),IF((M$2-Summary!$N23)&lt;12,Summary!$P23,IF(MOD(M$2,12)=MOD(Summary!$N23,12),(Summary!$P23*((1+Summary!$K$20)^((M$2-12-MOD(Summary!$N23,12))/12))),HLOOKUP(L$3,$E$3:$DV32,23,FALSE))))</f>
        <v>0</v>
      </c>
      <c r="N25" s="46" t="b">
        <f>IF(AND(Summary!$N23&lt;='Cash Flow Statement'!N$2,'Cash Flow Statement'!N$2&lt;=Summary!$O23),IF((N$2-Summary!$N23)&lt;12,Summary!$P23,IF(MOD(N$2,12)=MOD(Summary!$N23,12),(Summary!$P23*((1+Summary!$K$20)^((N$2-12-MOD(Summary!$N23,12))/12))),HLOOKUP(M$3,$E$3:$DV32,23,FALSE))))</f>
        <v>0</v>
      </c>
      <c r="O25" s="46" t="b">
        <f>IF(AND(Summary!$N23&lt;='Cash Flow Statement'!O$2,'Cash Flow Statement'!O$2&lt;=Summary!$O23),IF((O$2-Summary!$N23)&lt;12,Summary!$P23,IF(MOD(O$2,12)=MOD(Summary!$N23,12),(Summary!$P23*((1+Summary!$K$20)^((O$2-12-MOD(Summary!$N23,12))/12))),HLOOKUP(N$3,$E$3:$DV32,23,FALSE))))</f>
        <v>0</v>
      </c>
      <c r="P25" s="46" t="b">
        <f>IF(AND(Summary!$N23&lt;='Cash Flow Statement'!P$2,'Cash Flow Statement'!P$2&lt;=Summary!$O23),IF((P$2-Summary!$N23)&lt;12,Summary!$P23,IF(MOD(P$2,12)=MOD(Summary!$N23,12),(Summary!$P23*((1+Summary!$K$20)^((P$2-12-MOD(Summary!$N23,12))/12))),HLOOKUP(O$3,$E$3:$DV32,23,FALSE))))</f>
        <v>0</v>
      </c>
      <c r="Q25" s="46" t="b">
        <f>IF(AND(Summary!$N23&lt;='Cash Flow Statement'!Q$2,'Cash Flow Statement'!Q$2&lt;=Summary!$O23),IF((Q$2-Summary!$N23)&lt;12,Summary!$P23,IF(MOD(Q$2,12)=MOD(Summary!$N23,12),(Summary!$P23*((1+Summary!$K$20)^((Q$2-12-MOD(Summary!$N23,12))/12))),HLOOKUP(P$3,$E$3:$DV32,23,FALSE))))</f>
        <v>0</v>
      </c>
      <c r="R25" s="46" t="b">
        <f>IF(AND(Summary!$N23&lt;='Cash Flow Statement'!R$2,'Cash Flow Statement'!R$2&lt;=Summary!$O23),IF((R$2-Summary!$N23)&lt;12,Summary!$P23,IF(MOD(R$2,12)=MOD(Summary!$N23,12),(Summary!$P23*((1+Summary!$K$20)^((R$2-12-MOD(Summary!$N23,12))/12))),HLOOKUP(Q$3,$E$3:$DV32,23,FALSE))))</f>
        <v>0</v>
      </c>
      <c r="S25" s="46" t="b">
        <f>IF(AND(Summary!$N23&lt;='Cash Flow Statement'!S$2,'Cash Flow Statement'!S$2&lt;=Summary!$O23),IF((S$2-Summary!$N23)&lt;12,Summary!$P23,IF(MOD(S$2,12)=MOD(Summary!$N23,12),(Summary!$P23*((1+Summary!$K$20)^((S$2-12-MOD(Summary!$N23,12))/12))),HLOOKUP(R$3,$E$3:$DV32,23,FALSE))))</f>
        <v>0</v>
      </c>
      <c r="T25" s="46" t="b">
        <f>IF(AND(Summary!$N23&lt;='Cash Flow Statement'!T$2,'Cash Flow Statement'!T$2&lt;=Summary!$O23),IF((T$2-Summary!$N23)&lt;12,Summary!$P23,IF(MOD(T$2,12)=MOD(Summary!$N23,12),(Summary!$P23*((1+Summary!$K$20)^((T$2-12-MOD(Summary!$N23,12))/12))),HLOOKUP(S$3,$E$3:$DV32,23,FALSE))))</f>
        <v>0</v>
      </c>
      <c r="U25" s="46" t="b">
        <f>IF(AND(Summary!$N23&lt;='Cash Flow Statement'!U$2,'Cash Flow Statement'!U$2&lt;=Summary!$O23),IF((U$2-Summary!$N23)&lt;12,Summary!$P23,IF(MOD(U$2,12)=MOD(Summary!$N23,12),(Summary!$P23*((1+Summary!$K$20)^((U$2-12-MOD(Summary!$N23,12))/12))),HLOOKUP(T$3,$E$3:$DV32,23,FALSE))))</f>
        <v>0</v>
      </c>
      <c r="V25" s="46" t="b">
        <f>IF(AND(Summary!$N23&lt;='Cash Flow Statement'!V$2,'Cash Flow Statement'!V$2&lt;=Summary!$O23),IF((V$2-Summary!$N23)&lt;12,Summary!$P23,IF(MOD(V$2,12)=MOD(Summary!$N23,12),(Summary!$P23*((1+Summary!$K$20)^((V$2-12-MOD(Summary!$N23,12))/12))),HLOOKUP(U$3,$E$3:$DV32,23,FALSE))))</f>
        <v>0</v>
      </c>
      <c r="W25" s="46">
        <f>IF(AND(Summary!$N23&lt;='Cash Flow Statement'!W$2,'Cash Flow Statement'!W$2&lt;=Summary!$O23),IF((W$2-Summary!$N23)&lt;12,Summary!$P23,IF(MOD(W$2,12)=MOD(Summary!$N23,12),(Summary!$P23*((1+Summary!$K$20)^((W$2-12-MOD(Summary!$N23,12))/12))),HLOOKUP(V$3,$E$3:$DV32,23,FALSE))))</f>
        <v>250</v>
      </c>
      <c r="X25" s="46">
        <f>IF(AND(Summary!$N23&lt;='Cash Flow Statement'!X$2,'Cash Flow Statement'!X$2&lt;=Summary!$O23),IF((X$2-Summary!$N23)&lt;12,Summary!$P23,IF(MOD(X$2,12)=MOD(Summary!$N23,12),(Summary!$P23*((1+Summary!$K$20)^((X$2-12-MOD(Summary!$N23,12))/12))),HLOOKUP(W$3,$E$3:$DV32,23,FALSE))))</f>
        <v>250</v>
      </c>
      <c r="Y25" s="46">
        <f>IF(AND(Summary!$N23&lt;='Cash Flow Statement'!Y$2,'Cash Flow Statement'!Y$2&lt;=Summary!$O23),IF((Y$2-Summary!$N23)&lt;12,Summary!$P23,IF(MOD(Y$2,12)=MOD(Summary!$N23,12),(Summary!$P23*((1+Summary!$K$20)^((Y$2-12-MOD(Summary!$N23,12))/12))),HLOOKUP(X$3,$E$3:$DV32,23,FALSE))))</f>
        <v>250</v>
      </c>
      <c r="Z25" s="46">
        <f>IF(AND(Summary!$N23&lt;='Cash Flow Statement'!Z$2,'Cash Flow Statement'!Z$2&lt;=Summary!$O23),IF((Z$2-Summary!$N23)&lt;12,Summary!$P23,IF(MOD(Z$2,12)=MOD(Summary!$N23,12),(Summary!$P23*((1+Summary!$K$20)^((Z$2-12-MOD(Summary!$N23,12))/12))),HLOOKUP(Y$3,$E$3:$DV32,23,FALSE))))</f>
        <v>250</v>
      </c>
      <c r="AA25" s="46">
        <f>IF(AND(Summary!$N23&lt;='Cash Flow Statement'!AA$2,'Cash Flow Statement'!AA$2&lt;=Summary!$O23),IF((AA$2-Summary!$N23)&lt;12,Summary!$P23,IF(MOD(AA$2,12)=MOD(Summary!$N23,12),(Summary!$P23*((1+Summary!$K$20)^((AA$2-12-MOD(Summary!$N23,12))/12))),HLOOKUP(Z$3,$E$3:$DV32,23,FALSE))))</f>
        <v>250</v>
      </c>
      <c r="AB25" s="46">
        <f>IF(AND(Summary!$N23&lt;='Cash Flow Statement'!AB$2,'Cash Flow Statement'!AB$2&lt;=Summary!$O23),IF((AB$2-Summary!$N23)&lt;12,Summary!$P23,IF(MOD(AB$2,12)=MOD(Summary!$N23,12),(Summary!$P23*((1+Summary!$K$20)^((AB$2-12-MOD(Summary!$N23,12))/12))),HLOOKUP(AA$3,$E$3:$DV32,23,FALSE))))</f>
        <v>250</v>
      </c>
      <c r="AC25" s="46">
        <f>IF(AND(Summary!$N23&lt;='Cash Flow Statement'!AC$2,'Cash Flow Statement'!AC$2&lt;=Summary!$O23),IF((AC$2-Summary!$N23)&lt;12,Summary!$P23,IF(MOD(AC$2,12)=MOD(Summary!$N23,12),(Summary!$P23*((1+Summary!$K$20)^((AC$2-12-MOD(Summary!$N23,12))/12))),HLOOKUP(AB$3,$E$3:$DV32,23,FALSE))))</f>
        <v>250</v>
      </c>
      <c r="AD25" s="46">
        <f>IF(AND(Summary!$N23&lt;='Cash Flow Statement'!AD$2,'Cash Flow Statement'!AD$2&lt;=Summary!$O23),IF((AD$2-Summary!$N23)&lt;12,Summary!$P23,IF(MOD(AD$2,12)=MOD(Summary!$N23,12),(Summary!$P23*((1+Summary!$K$20)^((AD$2-12-MOD(Summary!$N23,12))/12))),HLOOKUP(AC$3,$E$3:$DV32,23,FALSE))))</f>
        <v>250</v>
      </c>
      <c r="AE25" s="46">
        <f>IF(AND(Summary!$N23&lt;='Cash Flow Statement'!AE$2,'Cash Flow Statement'!AE$2&lt;=Summary!$O23),IF((AE$2-Summary!$N23)&lt;12,Summary!$P23,IF(MOD(AE$2,12)=MOD(Summary!$N23,12),(Summary!$P23*((1+Summary!$K$20)^((AE$2-12-MOD(Summary!$N23,12))/12))),HLOOKUP(AD$3,$E$3:$DV32,23,FALSE))))</f>
        <v>250</v>
      </c>
      <c r="AF25" s="46">
        <f>IF(AND(Summary!$N23&lt;='Cash Flow Statement'!AF$2,'Cash Flow Statement'!AF$2&lt;=Summary!$O23),IF((AF$2-Summary!$N23)&lt;12,Summary!$P23,IF(MOD(AF$2,12)=MOD(Summary!$N23,12),(Summary!$P23*((1+Summary!$K$20)^((AF$2-12-MOD(Summary!$N23,12))/12))),HLOOKUP(AE$3,$E$3:$DV32,23,FALSE))))</f>
        <v>250</v>
      </c>
      <c r="AG25" s="46">
        <f>IF(AND(Summary!$N23&lt;='Cash Flow Statement'!AG$2,'Cash Flow Statement'!AG$2&lt;=Summary!$O23),IF((AG$2-Summary!$N23)&lt;12,Summary!$P23,IF(MOD(AG$2,12)=MOD(Summary!$N23,12),(Summary!$P23*((1+Summary!$K$20)^((AG$2-12-MOD(Summary!$N23,12))/12))),HLOOKUP(AF$3,$E$3:$DV32,23,FALSE))))</f>
        <v>250</v>
      </c>
      <c r="AH25" s="46">
        <f>IF(AND(Summary!$N23&lt;='Cash Flow Statement'!AH$2,'Cash Flow Statement'!AH$2&lt;=Summary!$O23),IF((AH$2-Summary!$N23)&lt;12,Summary!$P23,IF(MOD(AH$2,12)=MOD(Summary!$N23,12),(Summary!$P23*((1+Summary!$K$20)^((AH$2-12-MOD(Summary!$N23,12))/12))),HLOOKUP(AG$3,$E$3:$DV32,23,FALSE))))</f>
        <v>250</v>
      </c>
      <c r="AI25" s="46">
        <f>IF(AND(Summary!$N23&lt;='Cash Flow Statement'!AI$2,'Cash Flow Statement'!AI$2&lt;=Summary!$O23),IF((AI$2-Summary!$N23)&lt;12,Summary!$P23,IF(MOD(AI$2,12)=MOD(Summary!$N23,12),(Summary!$P23*((1+Summary!$K$20)^((AI$2-12-MOD(Summary!$N23,12))/12))),HLOOKUP(AH$3,$E$3:$DV32,23,FALSE))))</f>
        <v>257.5</v>
      </c>
      <c r="AJ25" s="46">
        <f>IF(AND(Summary!$N23&lt;='Cash Flow Statement'!AJ$2,'Cash Flow Statement'!AJ$2&lt;=Summary!$O23),IF((AJ$2-Summary!$N23)&lt;12,Summary!$P23,IF(MOD(AJ$2,12)=MOD(Summary!$N23,12),(Summary!$P23*((1+Summary!$K$20)^((AJ$2-12-MOD(Summary!$N23,12))/12))),HLOOKUP(AI$3,$E$3:$DV32,23,FALSE))))</f>
        <v>257.5</v>
      </c>
      <c r="AK25" s="46">
        <f>IF(AND(Summary!$N23&lt;='Cash Flow Statement'!AK$2,'Cash Flow Statement'!AK$2&lt;=Summary!$O23),IF((AK$2-Summary!$N23)&lt;12,Summary!$P23,IF(MOD(AK$2,12)=MOD(Summary!$N23,12),(Summary!$P23*((1+Summary!$K$20)^((AK$2-12-MOD(Summary!$N23,12))/12))),HLOOKUP(AJ$3,$E$3:$DV32,23,FALSE))))</f>
        <v>257.5</v>
      </c>
      <c r="AL25" s="46">
        <f>IF(AND(Summary!$N23&lt;='Cash Flow Statement'!AL$2,'Cash Flow Statement'!AL$2&lt;=Summary!$O23),IF((AL$2-Summary!$N23)&lt;12,Summary!$P23,IF(MOD(AL$2,12)=MOD(Summary!$N23,12),(Summary!$P23*((1+Summary!$K$20)^((AL$2-12-MOD(Summary!$N23,12))/12))),HLOOKUP(AK$3,$E$3:$DV32,23,FALSE))))</f>
        <v>257.5</v>
      </c>
      <c r="AM25" s="46">
        <f>IF(AND(Summary!$N23&lt;='Cash Flow Statement'!AM$2,'Cash Flow Statement'!AM$2&lt;=Summary!$O23),IF((AM$2-Summary!$N23)&lt;12,Summary!$P23,IF(MOD(AM$2,12)=MOD(Summary!$N23,12),(Summary!$P23*((1+Summary!$K$20)^((AM$2-12-MOD(Summary!$N23,12))/12))),HLOOKUP(AL$3,$E$3:$DV32,23,FALSE))))</f>
        <v>257.5</v>
      </c>
      <c r="AN25" s="46">
        <f>IF(AND(Summary!$N23&lt;='Cash Flow Statement'!AN$2,'Cash Flow Statement'!AN$2&lt;=Summary!$O23),IF((AN$2-Summary!$N23)&lt;12,Summary!$P23,IF(MOD(AN$2,12)=MOD(Summary!$N23,12),(Summary!$P23*((1+Summary!$K$20)^((AN$2-12-MOD(Summary!$N23,12))/12))),HLOOKUP(AM$3,$E$3:$DV32,23,FALSE))))</f>
        <v>257.5</v>
      </c>
      <c r="AO25" s="46">
        <f>IF(AND(Summary!$N23&lt;='Cash Flow Statement'!AO$2,'Cash Flow Statement'!AO$2&lt;=Summary!$O23),IF((AO$2-Summary!$N23)&lt;12,Summary!$P23,IF(MOD(AO$2,12)=MOD(Summary!$N23,12),(Summary!$P23*((1+Summary!$K$20)^((AO$2-12-MOD(Summary!$N23,12))/12))),HLOOKUP(AN$3,$E$3:$DV32,23,FALSE))))</f>
        <v>257.5</v>
      </c>
      <c r="AP25" s="46">
        <f>IF(AND(Summary!$N23&lt;='Cash Flow Statement'!AP$2,'Cash Flow Statement'!AP$2&lt;=Summary!$O23),IF((AP$2-Summary!$N23)&lt;12,Summary!$P23,IF(MOD(AP$2,12)=MOD(Summary!$N23,12),(Summary!$P23*((1+Summary!$K$20)^((AP$2-12-MOD(Summary!$N23,12))/12))),HLOOKUP(AO$3,$E$3:$DV32,23,FALSE))))</f>
        <v>257.5</v>
      </c>
      <c r="AQ25" s="46">
        <f>IF(AND(Summary!$N23&lt;='Cash Flow Statement'!AQ$2,'Cash Flow Statement'!AQ$2&lt;=Summary!$O23),IF((AQ$2-Summary!$N23)&lt;12,Summary!$P23,IF(MOD(AQ$2,12)=MOD(Summary!$N23,12),(Summary!$P23*((1+Summary!$K$20)^((AQ$2-12-MOD(Summary!$N23,12))/12))),HLOOKUP(AP$3,$E$3:$DV32,23,FALSE))))</f>
        <v>257.5</v>
      </c>
      <c r="AR25" s="46">
        <f>IF(AND(Summary!$N23&lt;='Cash Flow Statement'!AR$2,'Cash Flow Statement'!AR$2&lt;=Summary!$O23),IF((AR$2-Summary!$N23)&lt;12,Summary!$P23,IF(MOD(AR$2,12)=MOD(Summary!$N23,12),(Summary!$P23*((1+Summary!$K$20)^((AR$2-12-MOD(Summary!$N23,12))/12))),HLOOKUP(AQ$3,$E$3:$DV32,23,FALSE))))</f>
        <v>257.5</v>
      </c>
      <c r="AS25" s="46">
        <f>IF(AND(Summary!$N23&lt;='Cash Flow Statement'!AS$2,'Cash Flow Statement'!AS$2&lt;=Summary!$O23),IF((AS$2-Summary!$N23)&lt;12,Summary!$P23,IF(MOD(AS$2,12)=MOD(Summary!$N23,12),(Summary!$P23*((1+Summary!$K$20)^((AS$2-12-MOD(Summary!$N23,12))/12))),HLOOKUP(AR$3,$E$3:$DV32,23,FALSE))))</f>
        <v>257.5</v>
      </c>
      <c r="AT25" s="46">
        <f>IF(AND(Summary!$N23&lt;='Cash Flow Statement'!AT$2,'Cash Flow Statement'!AT$2&lt;=Summary!$O23),IF((AT$2-Summary!$N23)&lt;12,Summary!$P23,IF(MOD(AT$2,12)=MOD(Summary!$N23,12),(Summary!$P23*((1+Summary!$K$20)^((AT$2-12-MOD(Summary!$N23,12))/12))),HLOOKUP(AS$3,$E$3:$DV32,23,FALSE))))</f>
        <v>257.5</v>
      </c>
      <c r="AU25" s="46">
        <f>IF(AND(Summary!$N23&lt;='Cash Flow Statement'!AU$2,'Cash Flow Statement'!AU$2&lt;=Summary!$O23),IF((AU$2-Summary!$N23)&lt;12,Summary!$P23,IF(MOD(AU$2,12)=MOD(Summary!$N23,12),(Summary!$P23*((1+Summary!$K$20)^((AU$2-12-MOD(Summary!$N23,12))/12))),HLOOKUP(AT$3,$E$3:$DV32,23,FALSE))))</f>
        <v>265.22499999999997</v>
      </c>
      <c r="AV25" s="46">
        <f>IF(AND(Summary!$N23&lt;='Cash Flow Statement'!AV$2,'Cash Flow Statement'!AV$2&lt;=Summary!$O23),IF((AV$2-Summary!$N23)&lt;12,Summary!$P23,IF(MOD(AV$2,12)=MOD(Summary!$N23,12),(Summary!$P23*((1+Summary!$K$20)^((AV$2-12-MOD(Summary!$N23,12))/12))),HLOOKUP(AU$3,$E$3:$DV32,23,FALSE))))</f>
        <v>265.22499999999997</v>
      </c>
      <c r="AW25" s="46">
        <f>IF(AND(Summary!$N23&lt;='Cash Flow Statement'!AW$2,'Cash Flow Statement'!AW$2&lt;=Summary!$O23),IF((AW$2-Summary!$N23)&lt;12,Summary!$P23,IF(MOD(AW$2,12)=MOD(Summary!$N23,12),(Summary!$P23*((1+Summary!$K$20)^((AW$2-12-MOD(Summary!$N23,12))/12))),HLOOKUP(AV$3,$E$3:$DV32,23,FALSE))))</f>
        <v>265.22499999999997</v>
      </c>
      <c r="AX25" s="46">
        <f>IF(AND(Summary!$N23&lt;='Cash Flow Statement'!AX$2,'Cash Flow Statement'!AX$2&lt;=Summary!$O23),IF((AX$2-Summary!$N23)&lt;12,Summary!$P23,IF(MOD(AX$2,12)=MOD(Summary!$N23,12),(Summary!$P23*((1+Summary!$K$20)^((AX$2-12-MOD(Summary!$N23,12))/12))),HLOOKUP(AW$3,$E$3:$DV32,23,FALSE))))</f>
        <v>265.22499999999997</v>
      </c>
      <c r="AY25" s="46">
        <f>IF(AND(Summary!$N23&lt;='Cash Flow Statement'!AY$2,'Cash Flow Statement'!AY$2&lt;=Summary!$O23),IF((AY$2-Summary!$N23)&lt;12,Summary!$P23,IF(MOD(AY$2,12)=MOD(Summary!$N23,12),(Summary!$P23*((1+Summary!$K$20)^((AY$2-12-MOD(Summary!$N23,12))/12))),HLOOKUP(AX$3,$E$3:$DV32,23,FALSE))))</f>
        <v>265.22499999999997</v>
      </c>
      <c r="AZ25" s="46">
        <f>IF(AND(Summary!$N23&lt;='Cash Flow Statement'!AZ$2,'Cash Flow Statement'!AZ$2&lt;=Summary!$O23),IF((AZ$2-Summary!$N23)&lt;12,Summary!$P23,IF(MOD(AZ$2,12)=MOD(Summary!$N23,12),(Summary!$P23*((1+Summary!$K$20)^((AZ$2-12-MOD(Summary!$N23,12))/12))),HLOOKUP(AY$3,$E$3:$DV32,23,FALSE))))</f>
        <v>265.22499999999997</v>
      </c>
      <c r="BA25" s="46">
        <f>IF(AND(Summary!$N23&lt;='Cash Flow Statement'!BA$2,'Cash Flow Statement'!BA$2&lt;=Summary!$O23),IF((BA$2-Summary!$N23)&lt;12,Summary!$P23,IF(MOD(BA$2,12)=MOD(Summary!$N23,12),(Summary!$P23*((1+Summary!$K$20)^((BA$2-12-MOD(Summary!$N23,12))/12))),HLOOKUP(AZ$3,$E$3:$DV32,23,FALSE))))</f>
        <v>265.22499999999997</v>
      </c>
      <c r="BB25" s="46">
        <f>IF(AND(Summary!$N23&lt;='Cash Flow Statement'!BB$2,'Cash Flow Statement'!BB$2&lt;=Summary!$O23),IF((BB$2-Summary!$N23)&lt;12,Summary!$P23,IF(MOD(BB$2,12)=MOD(Summary!$N23,12),(Summary!$P23*((1+Summary!$K$20)^((BB$2-12-MOD(Summary!$N23,12))/12))),HLOOKUP(BA$3,$E$3:$DV32,23,FALSE))))</f>
        <v>265.22499999999997</v>
      </c>
      <c r="BC25" s="46">
        <f>IF(AND(Summary!$N23&lt;='Cash Flow Statement'!BC$2,'Cash Flow Statement'!BC$2&lt;=Summary!$O23),IF((BC$2-Summary!$N23)&lt;12,Summary!$P23,IF(MOD(BC$2,12)=MOD(Summary!$N23,12),(Summary!$P23*((1+Summary!$K$20)^((BC$2-12-MOD(Summary!$N23,12))/12))),HLOOKUP(BB$3,$E$3:$DV32,23,FALSE))))</f>
        <v>265.22499999999997</v>
      </c>
      <c r="BD25" s="46">
        <f>IF(AND(Summary!$N23&lt;='Cash Flow Statement'!BD$2,'Cash Flow Statement'!BD$2&lt;=Summary!$O23),IF((BD$2-Summary!$N23)&lt;12,Summary!$P23,IF(MOD(BD$2,12)=MOD(Summary!$N23,12),(Summary!$P23*((1+Summary!$K$20)^((BD$2-12-MOD(Summary!$N23,12))/12))),HLOOKUP(BC$3,$E$3:$DV32,23,FALSE))))</f>
        <v>265.22499999999997</v>
      </c>
      <c r="BE25" s="46">
        <f>IF(AND(Summary!$N23&lt;='Cash Flow Statement'!BE$2,'Cash Flow Statement'!BE$2&lt;=Summary!$O23),IF((BE$2-Summary!$N23)&lt;12,Summary!$P23,IF(MOD(BE$2,12)=MOD(Summary!$N23,12),(Summary!$P23*((1+Summary!$K$20)^((BE$2-12-MOD(Summary!$N23,12))/12))),HLOOKUP(BD$3,$E$3:$DV32,23,FALSE))))</f>
        <v>265.22499999999997</v>
      </c>
      <c r="BF25" s="46">
        <f>IF(AND(Summary!$N23&lt;='Cash Flow Statement'!BF$2,'Cash Flow Statement'!BF$2&lt;=Summary!$O23),IF((BF$2-Summary!$N23)&lt;12,Summary!$P23,IF(MOD(BF$2,12)=MOD(Summary!$N23,12),(Summary!$P23*((1+Summary!$K$20)^((BF$2-12-MOD(Summary!$N23,12))/12))),HLOOKUP(BE$3,$E$3:$DV32,23,FALSE))))</f>
        <v>265.22499999999997</v>
      </c>
      <c r="BG25" s="46">
        <f>IF(AND(Summary!$N23&lt;='Cash Flow Statement'!BG$2,'Cash Flow Statement'!BG$2&lt;=Summary!$O23),IF((BG$2-Summary!$N23)&lt;12,Summary!$P23,IF(MOD(BG$2,12)=MOD(Summary!$N23,12),(Summary!$P23*((1+Summary!$K$20)^((BG$2-12-MOD(Summary!$N23,12))/12))),HLOOKUP(BF$3,$E$3:$DV32,23,FALSE))))</f>
        <v>273.18175000000002</v>
      </c>
      <c r="BH25" s="46">
        <f>IF(AND(Summary!$N23&lt;='Cash Flow Statement'!BH$2,'Cash Flow Statement'!BH$2&lt;=Summary!$O23),IF((BH$2-Summary!$N23)&lt;12,Summary!$P23,IF(MOD(BH$2,12)=MOD(Summary!$N23,12),(Summary!$P23*((1+Summary!$K$20)^((BH$2-12-MOD(Summary!$N23,12))/12))),HLOOKUP(BG$3,$E$3:$DV32,23,FALSE))))</f>
        <v>273.18175000000002</v>
      </c>
      <c r="BI25" s="46">
        <f>IF(AND(Summary!$N23&lt;='Cash Flow Statement'!BI$2,'Cash Flow Statement'!BI$2&lt;=Summary!$O23),IF((BI$2-Summary!$N23)&lt;12,Summary!$P23,IF(MOD(BI$2,12)=MOD(Summary!$N23,12),(Summary!$P23*((1+Summary!$K$20)^((BI$2-12-MOD(Summary!$N23,12))/12))),HLOOKUP(BH$3,$E$3:$DV32,23,FALSE))))</f>
        <v>273.18175000000002</v>
      </c>
      <c r="BJ25" s="46">
        <f>IF(AND(Summary!$N23&lt;='Cash Flow Statement'!BJ$2,'Cash Flow Statement'!BJ$2&lt;=Summary!$O23),IF((BJ$2-Summary!$N23)&lt;12,Summary!$P23,IF(MOD(BJ$2,12)=MOD(Summary!$N23,12),(Summary!$P23*((1+Summary!$K$20)^((BJ$2-12-MOD(Summary!$N23,12))/12))),HLOOKUP(BI$3,$E$3:$DV32,23,FALSE))))</f>
        <v>273.18175000000002</v>
      </c>
      <c r="BK25" s="46">
        <f>IF(AND(Summary!$N23&lt;='Cash Flow Statement'!BK$2,'Cash Flow Statement'!BK$2&lt;=Summary!$O23),IF((BK$2-Summary!$N23)&lt;12,Summary!$P23,IF(MOD(BK$2,12)=MOD(Summary!$N23,12),(Summary!$P23*((1+Summary!$K$20)^((BK$2-12-MOD(Summary!$N23,12))/12))),HLOOKUP(BJ$3,$E$3:$DV32,23,FALSE))))</f>
        <v>273.18175000000002</v>
      </c>
      <c r="BL25" s="46">
        <f>IF(AND(Summary!$N23&lt;='Cash Flow Statement'!BL$2,'Cash Flow Statement'!BL$2&lt;=Summary!$O23),IF((BL$2-Summary!$N23)&lt;12,Summary!$P23,IF(MOD(BL$2,12)=MOD(Summary!$N23,12),(Summary!$P23*((1+Summary!$K$20)^((BL$2-12-MOD(Summary!$N23,12))/12))),HLOOKUP(BK$3,$E$3:$DV32,23,FALSE))))</f>
        <v>273.18175000000002</v>
      </c>
      <c r="BM25" s="46">
        <f>IF(AND(Summary!$N23&lt;='Cash Flow Statement'!BM$2,'Cash Flow Statement'!BM$2&lt;=Summary!$O23),IF((BM$2-Summary!$N23)&lt;12,Summary!$P23,IF(MOD(BM$2,12)=MOD(Summary!$N23,12),(Summary!$P23*((1+Summary!$K$20)^((BM$2-12-MOD(Summary!$N23,12))/12))),HLOOKUP(BL$3,$E$3:$DV32,23,FALSE))))</f>
        <v>273.18175000000002</v>
      </c>
      <c r="BN25" s="46">
        <f>IF(AND(Summary!$N23&lt;='Cash Flow Statement'!BN$2,'Cash Flow Statement'!BN$2&lt;=Summary!$O23),IF((BN$2-Summary!$N23)&lt;12,Summary!$P23,IF(MOD(BN$2,12)=MOD(Summary!$N23,12),(Summary!$P23*((1+Summary!$K$20)^((BN$2-12-MOD(Summary!$N23,12))/12))),HLOOKUP(BM$3,$E$3:$DV32,23,FALSE))))</f>
        <v>273.18175000000002</v>
      </c>
      <c r="BO25" s="46">
        <f>IF(AND(Summary!$N23&lt;='Cash Flow Statement'!BO$2,'Cash Flow Statement'!BO$2&lt;=Summary!$O23),IF((BO$2-Summary!$N23)&lt;12,Summary!$P23,IF(MOD(BO$2,12)=MOD(Summary!$N23,12),(Summary!$P23*((1+Summary!$K$20)^((BO$2-12-MOD(Summary!$N23,12))/12))),HLOOKUP(BN$3,$E$3:$DV32,23,FALSE))))</f>
        <v>273.18175000000002</v>
      </c>
      <c r="BP25" s="46">
        <f>IF(AND(Summary!$N23&lt;='Cash Flow Statement'!BP$2,'Cash Flow Statement'!BP$2&lt;=Summary!$O23),IF((BP$2-Summary!$N23)&lt;12,Summary!$P23,IF(MOD(BP$2,12)=MOD(Summary!$N23,12),(Summary!$P23*((1+Summary!$K$20)^((BP$2-12-MOD(Summary!$N23,12))/12))),HLOOKUP(BO$3,$E$3:$DV32,23,FALSE))))</f>
        <v>273.18175000000002</v>
      </c>
      <c r="BQ25" s="46">
        <f>IF(AND(Summary!$N23&lt;='Cash Flow Statement'!BQ$2,'Cash Flow Statement'!BQ$2&lt;=Summary!$O23),IF((BQ$2-Summary!$N23)&lt;12,Summary!$P23,IF(MOD(BQ$2,12)=MOD(Summary!$N23,12),(Summary!$P23*((1+Summary!$K$20)^((BQ$2-12-MOD(Summary!$N23,12))/12))),HLOOKUP(BP$3,$E$3:$DV32,23,FALSE))))</f>
        <v>273.18175000000002</v>
      </c>
      <c r="BR25" s="46">
        <f>IF(AND(Summary!$N23&lt;='Cash Flow Statement'!BR$2,'Cash Flow Statement'!BR$2&lt;=Summary!$O23),IF((BR$2-Summary!$N23)&lt;12,Summary!$P23,IF(MOD(BR$2,12)=MOD(Summary!$N23,12),(Summary!$P23*((1+Summary!$K$20)^((BR$2-12-MOD(Summary!$N23,12))/12))),HLOOKUP(BQ$3,$E$3:$DV32,23,FALSE))))</f>
        <v>273.18175000000002</v>
      </c>
      <c r="BS25" s="46">
        <f>IF(AND(Summary!$N23&lt;='Cash Flow Statement'!BS$2,'Cash Flow Statement'!BS$2&lt;=Summary!$O23),IF((BS$2-Summary!$N23)&lt;12,Summary!$P23,IF(MOD(BS$2,12)=MOD(Summary!$N23,12),(Summary!$P23*((1+Summary!$K$20)^((BS$2-12-MOD(Summary!$N23,12))/12))),HLOOKUP(BR$3,$E$3:$DV32,23,FALSE))))</f>
        <v>281.37720249999995</v>
      </c>
      <c r="BT25" s="46">
        <f>IF(AND(Summary!$N23&lt;='Cash Flow Statement'!BT$2,'Cash Flow Statement'!BT$2&lt;=Summary!$O23),IF((BT$2-Summary!$N23)&lt;12,Summary!$P23,IF(MOD(BT$2,12)=MOD(Summary!$N23,12),(Summary!$P23*((1+Summary!$K$20)^((BT$2-12-MOD(Summary!$N23,12))/12))),HLOOKUP(BS$3,$E$3:$DV32,23,FALSE))))</f>
        <v>281.37720249999995</v>
      </c>
      <c r="BU25" s="46">
        <f>IF(AND(Summary!$N23&lt;='Cash Flow Statement'!BU$2,'Cash Flow Statement'!BU$2&lt;=Summary!$O23),IF((BU$2-Summary!$N23)&lt;12,Summary!$P23,IF(MOD(BU$2,12)=MOD(Summary!$N23,12),(Summary!$P23*((1+Summary!$K$20)^((BU$2-12-MOD(Summary!$N23,12))/12))),HLOOKUP(BT$3,$E$3:$DV32,23,FALSE))))</f>
        <v>281.37720249999995</v>
      </c>
      <c r="BV25" s="46">
        <f>IF(AND(Summary!$N23&lt;='Cash Flow Statement'!BV$2,'Cash Flow Statement'!BV$2&lt;=Summary!$O23),IF((BV$2-Summary!$N23)&lt;12,Summary!$P23,IF(MOD(BV$2,12)=MOD(Summary!$N23,12),(Summary!$P23*((1+Summary!$K$20)^((BV$2-12-MOD(Summary!$N23,12))/12))),HLOOKUP(BU$3,$E$3:$DV32,23,FALSE))))</f>
        <v>281.37720249999995</v>
      </c>
      <c r="BW25" s="46">
        <f>IF(AND(Summary!$N23&lt;='Cash Flow Statement'!BW$2,'Cash Flow Statement'!BW$2&lt;=Summary!$O23),IF((BW$2-Summary!$N23)&lt;12,Summary!$P23,IF(MOD(BW$2,12)=MOD(Summary!$N23,12),(Summary!$P23*((1+Summary!$K$20)^((BW$2-12-MOD(Summary!$N23,12))/12))),HLOOKUP(BV$3,$E$3:$DV32,23,FALSE))))</f>
        <v>281.37720249999995</v>
      </c>
      <c r="BX25" s="46">
        <f>IF(AND(Summary!$N23&lt;='Cash Flow Statement'!BX$2,'Cash Flow Statement'!BX$2&lt;=Summary!$O23),IF((BX$2-Summary!$N23)&lt;12,Summary!$P23,IF(MOD(BX$2,12)=MOD(Summary!$N23,12),(Summary!$P23*((1+Summary!$K$20)^((BX$2-12-MOD(Summary!$N23,12))/12))),HLOOKUP(BW$3,$E$3:$DV32,23,FALSE))))</f>
        <v>281.37720249999995</v>
      </c>
      <c r="BY25" s="46">
        <f>IF(AND(Summary!$N23&lt;='Cash Flow Statement'!BY$2,'Cash Flow Statement'!BY$2&lt;=Summary!$O23),IF((BY$2-Summary!$N23)&lt;12,Summary!$P23,IF(MOD(BY$2,12)=MOD(Summary!$N23,12),(Summary!$P23*((1+Summary!$K$20)^((BY$2-12-MOD(Summary!$N23,12))/12))),HLOOKUP(BX$3,$E$3:$DV32,23,FALSE))))</f>
        <v>281.37720249999995</v>
      </c>
      <c r="BZ25" s="46">
        <f>IF(AND(Summary!$N23&lt;='Cash Flow Statement'!BZ$2,'Cash Flow Statement'!BZ$2&lt;=Summary!$O23),IF((BZ$2-Summary!$N23)&lt;12,Summary!$P23,IF(MOD(BZ$2,12)=MOD(Summary!$N23,12),(Summary!$P23*((1+Summary!$K$20)^((BZ$2-12-MOD(Summary!$N23,12))/12))),HLOOKUP(BY$3,$E$3:$DV32,23,FALSE))))</f>
        <v>281.37720249999995</v>
      </c>
      <c r="CA25" s="46">
        <f>IF(AND(Summary!$N23&lt;='Cash Flow Statement'!CA$2,'Cash Flow Statement'!CA$2&lt;=Summary!$O23),IF((CA$2-Summary!$N23)&lt;12,Summary!$P23,IF(MOD(CA$2,12)=MOD(Summary!$N23,12),(Summary!$P23*((1+Summary!$K$20)^((CA$2-12-MOD(Summary!$N23,12))/12))),HLOOKUP(BZ$3,$E$3:$DV32,23,FALSE))))</f>
        <v>281.37720249999995</v>
      </c>
      <c r="CB25" s="46">
        <f>IF(AND(Summary!$N23&lt;='Cash Flow Statement'!CB$2,'Cash Flow Statement'!CB$2&lt;=Summary!$O23),IF((CB$2-Summary!$N23)&lt;12,Summary!$P23,IF(MOD(CB$2,12)=MOD(Summary!$N23,12),(Summary!$P23*((1+Summary!$K$20)^((CB$2-12-MOD(Summary!$N23,12))/12))),HLOOKUP(CA$3,$E$3:$DV32,23,FALSE))))</f>
        <v>281.37720249999995</v>
      </c>
      <c r="CC25" s="46">
        <f>IF(AND(Summary!$N23&lt;='Cash Flow Statement'!CC$2,'Cash Flow Statement'!CC$2&lt;=Summary!$O23),IF((CC$2-Summary!$N23)&lt;12,Summary!$P23,IF(MOD(CC$2,12)=MOD(Summary!$N23,12),(Summary!$P23*((1+Summary!$K$20)^((CC$2-12-MOD(Summary!$N23,12))/12))),HLOOKUP(CB$3,$E$3:$DV32,23,FALSE))))</f>
        <v>281.37720249999995</v>
      </c>
      <c r="CD25" s="46">
        <f>IF(AND(Summary!$N23&lt;='Cash Flow Statement'!CD$2,'Cash Flow Statement'!CD$2&lt;=Summary!$O23),IF((CD$2-Summary!$N23)&lt;12,Summary!$P23,IF(MOD(CD$2,12)=MOD(Summary!$N23,12),(Summary!$P23*((1+Summary!$K$20)^((CD$2-12-MOD(Summary!$N23,12))/12))),HLOOKUP(CC$3,$E$3:$DV32,23,FALSE))))</f>
        <v>281.37720249999995</v>
      </c>
      <c r="CE25" s="46">
        <f>IF(AND(Summary!$N23&lt;='Cash Flow Statement'!CE$2,'Cash Flow Statement'!CE$2&lt;=Summary!$O23),IF((CE$2-Summary!$N23)&lt;12,Summary!$P23,IF(MOD(CE$2,12)=MOD(Summary!$N23,12),(Summary!$P23*((1+Summary!$K$20)^((CE$2-12-MOD(Summary!$N23,12))/12))),HLOOKUP(CD$3,$E$3:$DV32,23,FALSE))))</f>
        <v>289.81851857499998</v>
      </c>
      <c r="CF25" s="46">
        <f>IF(AND(Summary!$N23&lt;='Cash Flow Statement'!CF$2,'Cash Flow Statement'!CF$2&lt;=Summary!$O23),IF((CF$2-Summary!$N23)&lt;12,Summary!$P23,IF(MOD(CF$2,12)=MOD(Summary!$N23,12),(Summary!$P23*((1+Summary!$K$20)^((CF$2-12-MOD(Summary!$N23,12))/12))),HLOOKUP(CE$3,$E$3:$DV32,23,FALSE))))</f>
        <v>289.81851857499998</v>
      </c>
      <c r="CG25" s="46">
        <f>IF(AND(Summary!$N23&lt;='Cash Flow Statement'!CG$2,'Cash Flow Statement'!CG$2&lt;=Summary!$O23),IF((CG$2-Summary!$N23)&lt;12,Summary!$P23,IF(MOD(CG$2,12)=MOD(Summary!$N23,12),(Summary!$P23*((1+Summary!$K$20)^((CG$2-12-MOD(Summary!$N23,12))/12))),HLOOKUP(CF$3,$E$3:$DV32,23,FALSE))))</f>
        <v>289.81851857499998</v>
      </c>
      <c r="CH25" s="46">
        <f>IF(AND(Summary!$N23&lt;='Cash Flow Statement'!CH$2,'Cash Flow Statement'!CH$2&lt;=Summary!$O23),IF((CH$2-Summary!$N23)&lt;12,Summary!$P23,IF(MOD(CH$2,12)=MOD(Summary!$N23,12),(Summary!$P23*((1+Summary!$K$20)^((CH$2-12-MOD(Summary!$N23,12))/12))),HLOOKUP(CG$3,$E$3:$DV32,23,FALSE))))</f>
        <v>289.81851857499998</v>
      </c>
      <c r="CI25" s="46">
        <f>IF(AND(Summary!$N23&lt;='Cash Flow Statement'!CI$2,'Cash Flow Statement'!CI$2&lt;=Summary!$O23),IF((CI$2-Summary!$N23)&lt;12,Summary!$P23,IF(MOD(CI$2,12)=MOD(Summary!$N23,12),(Summary!$P23*((1+Summary!$K$20)^((CI$2-12-MOD(Summary!$N23,12))/12))),HLOOKUP(CH$3,$E$3:$DV32,23,FALSE))))</f>
        <v>289.81851857499998</v>
      </c>
      <c r="CJ25" s="46">
        <f>IF(AND(Summary!$N23&lt;='Cash Flow Statement'!CJ$2,'Cash Flow Statement'!CJ$2&lt;=Summary!$O23),IF((CJ$2-Summary!$N23)&lt;12,Summary!$P23,IF(MOD(CJ$2,12)=MOD(Summary!$N23,12),(Summary!$P23*((1+Summary!$K$20)^((CJ$2-12-MOD(Summary!$N23,12))/12))),HLOOKUP(CI$3,$E$3:$DV32,23,FALSE))))</f>
        <v>289.81851857499998</v>
      </c>
      <c r="CK25" s="46">
        <f>IF(AND(Summary!$N23&lt;='Cash Flow Statement'!CK$2,'Cash Flow Statement'!CK$2&lt;=Summary!$O23),IF((CK$2-Summary!$N23)&lt;12,Summary!$P23,IF(MOD(CK$2,12)=MOD(Summary!$N23,12),(Summary!$P23*((1+Summary!$K$20)^((CK$2-12-MOD(Summary!$N23,12))/12))),HLOOKUP(CJ$3,$E$3:$DV32,23,FALSE))))</f>
        <v>289.81851857499998</v>
      </c>
      <c r="CL25" s="46">
        <f>IF(AND(Summary!$N23&lt;='Cash Flow Statement'!CL$2,'Cash Flow Statement'!CL$2&lt;=Summary!$O23),IF((CL$2-Summary!$N23)&lt;12,Summary!$P23,IF(MOD(CL$2,12)=MOD(Summary!$N23,12),(Summary!$P23*((1+Summary!$K$20)^((CL$2-12-MOD(Summary!$N23,12))/12))),HLOOKUP(CK$3,$E$3:$DV32,23,FALSE))))</f>
        <v>289.81851857499998</v>
      </c>
      <c r="CM25" s="46">
        <f>IF(AND(Summary!$N23&lt;='Cash Flow Statement'!CM$2,'Cash Flow Statement'!CM$2&lt;=Summary!$O23),IF((CM$2-Summary!$N23)&lt;12,Summary!$P23,IF(MOD(CM$2,12)=MOD(Summary!$N23,12),(Summary!$P23*((1+Summary!$K$20)^((CM$2-12-MOD(Summary!$N23,12))/12))),HLOOKUP(CL$3,$E$3:$DV32,23,FALSE))))</f>
        <v>289.81851857499998</v>
      </c>
      <c r="CN25" s="46">
        <f>IF(AND(Summary!$N23&lt;='Cash Flow Statement'!CN$2,'Cash Flow Statement'!CN$2&lt;=Summary!$O23),IF((CN$2-Summary!$N23)&lt;12,Summary!$P23,IF(MOD(CN$2,12)=MOD(Summary!$N23,12),(Summary!$P23*((1+Summary!$K$20)^((CN$2-12-MOD(Summary!$N23,12))/12))),HLOOKUP(CM$3,$E$3:$DV32,23,FALSE))))</f>
        <v>289.81851857499998</v>
      </c>
      <c r="CO25" s="46">
        <f>IF(AND(Summary!$N23&lt;='Cash Flow Statement'!CO$2,'Cash Flow Statement'!CO$2&lt;=Summary!$O23),IF((CO$2-Summary!$N23)&lt;12,Summary!$P23,IF(MOD(CO$2,12)=MOD(Summary!$N23,12),(Summary!$P23*((1+Summary!$K$20)^((CO$2-12-MOD(Summary!$N23,12))/12))),HLOOKUP(CN$3,$E$3:$DV32,23,FALSE))))</f>
        <v>289.81851857499998</v>
      </c>
      <c r="CP25" s="46">
        <f>IF(AND(Summary!$N23&lt;='Cash Flow Statement'!CP$2,'Cash Flow Statement'!CP$2&lt;=Summary!$O23),IF((CP$2-Summary!$N23)&lt;12,Summary!$P23,IF(MOD(CP$2,12)=MOD(Summary!$N23,12),(Summary!$P23*((1+Summary!$K$20)^((CP$2-12-MOD(Summary!$N23,12))/12))),HLOOKUP(CO$3,$E$3:$DV32,23,FALSE))))</f>
        <v>289.81851857499998</v>
      </c>
      <c r="CQ25" s="46">
        <f>IF(AND(Summary!$N23&lt;='Cash Flow Statement'!CQ$2,'Cash Flow Statement'!CQ$2&lt;=Summary!$O23),IF((CQ$2-Summary!$N23)&lt;12,Summary!$P23,IF(MOD(CQ$2,12)=MOD(Summary!$N23,12),(Summary!$P23*((1+Summary!$K$20)^((CQ$2-12-MOD(Summary!$N23,12))/12))),HLOOKUP(CP$3,$E$3:$DV32,23,FALSE))))</f>
        <v>298.51307413224998</v>
      </c>
      <c r="CR25" s="46">
        <f>IF(AND(Summary!$N23&lt;='Cash Flow Statement'!CR$2,'Cash Flow Statement'!CR$2&lt;=Summary!$O23),IF((CR$2-Summary!$N23)&lt;12,Summary!$P23,IF(MOD(CR$2,12)=MOD(Summary!$N23,12),(Summary!$P23*((1+Summary!$K$20)^((CR$2-12-MOD(Summary!$N23,12))/12))),HLOOKUP(CQ$3,$E$3:$DV32,23,FALSE))))</f>
        <v>298.51307413224998</v>
      </c>
      <c r="CS25" s="46">
        <f>IF(AND(Summary!$N23&lt;='Cash Flow Statement'!CS$2,'Cash Flow Statement'!CS$2&lt;=Summary!$O23),IF((CS$2-Summary!$N23)&lt;12,Summary!$P23,IF(MOD(CS$2,12)=MOD(Summary!$N23,12),(Summary!$P23*((1+Summary!$K$20)^((CS$2-12-MOD(Summary!$N23,12))/12))),HLOOKUP(CR$3,$E$3:$DV32,23,FALSE))))</f>
        <v>298.51307413224998</v>
      </c>
      <c r="CT25" s="46">
        <f>IF(AND(Summary!$N23&lt;='Cash Flow Statement'!CT$2,'Cash Flow Statement'!CT$2&lt;=Summary!$O23),IF((CT$2-Summary!$N23)&lt;12,Summary!$P23,IF(MOD(CT$2,12)=MOD(Summary!$N23,12),(Summary!$P23*((1+Summary!$K$20)^((CT$2-12-MOD(Summary!$N23,12))/12))),HLOOKUP(CS$3,$E$3:$DV32,23,FALSE))))</f>
        <v>298.51307413224998</v>
      </c>
      <c r="CU25" s="46">
        <f>IF(AND(Summary!$N23&lt;='Cash Flow Statement'!CU$2,'Cash Flow Statement'!CU$2&lt;=Summary!$O23),IF((CU$2-Summary!$N23)&lt;12,Summary!$P23,IF(MOD(CU$2,12)=MOD(Summary!$N23,12),(Summary!$P23*((1+Summary!$K$20)^((CU$2-12-MOD(Summary!$N23,12))/12))),HLOOKUP(CT$3,$E$3:$DV32,23,FALSE))))</f>
        <v>298.51307413224998</v>
      </c>
      <c r="CV25" s="46">
        <f>IF(AND(Summary!$N23&lt;='Cash Flow Statement'!CV$2,'Cash Flow Statement'!CV$2&lt;=Summary!$O23),IF((CV$2-Summary!$N23)&lt;12,Summary!$P23,IF(MOD(CV$2,12)=MOD(Summary!$N23,12),(Summary!$P23*((1+Summary!$K$20)^((CV$2-12-MOD(Summary!$N23,12))/12))),HLOOKUP(CU$3,$E$3:$DV32,23,FALSE))))</f>
        <v>298.51307413224998</v>
      </c>
      <c r="CW25" s="46">
        <f>IF(AND(Summary!$N23&lt;='Cash Flow Statement'!CW$2,'Cash Flow Statement'!CW$2&lt;=Summary!$O23),IF((CW$2-Summary!$N23)&lt;12,Summary!$P23,IF(MOD(CW$2,12)=MOD(Summary!$N23,12),(Summary!$P23*((1+Summary!$K$20)^((CW$2-12-MOD(Summary!$N23,12))/12))),HLOOKUP(CV$3,$E$3:$DV32,23,FALSE))))</f>
        <v>298.51307413224998</v>
      </c>
      <c r="CX25" s="46">
        <f>IF(AND(Summary!$N23&lt;='Cash Flow Statement'!CX$2,'Cash Flow Statement'!CX$2&lt;=Summary!$O23),IF((CX$2-Summary!$N23)&lt;12,Summary!$P23,IF(MOD(CX$2,12)=MOD(Summary!$N23,12),(Summary!$P23*((1+Summary!$K$20)^((CX$2-12-MOD(Summary!$N23,12))/12))),HLOOKUP(CW$3,$E$3:$DV32,23,FALSE))))</f>
        <v>298.51307413224998</v>
      </c>
      <c r="CY25" s="46">
        <f>IF(AND(Summary!$N23&lt;='Cash Flow Statement'!CY$2,'Cash Flow Statement'!CY$2&lt;=Summary!$O23),IF((CY$2-Summary!$N23)&lt;12,Summary!$P23,IF(MOD(CY$2,12)=MOD(Summary!$N23,12),(Summary!$P23*((1+Summary!$K$20)^((CY$2-12-MOD(Summary!$N23,12))/12))),HLOOKUP(CX$3,$E$3:$DV32,23,FALSE))))</f>
        <v>298.51307413224998</v>
      </c>
      <c r="CZ25" s="46">
        <f>IF(AND(Summary!$N23&lt;='Cash Flow Statement'!CZ$2,'Cash Flow Statement'!CZ$2&lt;=Summary!$O23),IF((CZ$2-Summary!$N23)&lt;12,Summary!$P23,IF(MOD(CZ$2,12)=MOD(Summary!$N23,12),(Summary!$P23*((1+Summary!$K$20)^((CZ$2-12-MOD(Summary!$N23,12))/12))),HLOOKUP(CY$3,$E$3:$DV32,23,FALSE))))</f>
        <v>298.51307413224998</v>
      </c>
      <c r="DA25" s="46">
        <f>IF(AND(Summary!$N23&lt;='Cash Flow Statement'!DA$2,'Cash Flow Statement'!DA$2&lt;=Summary!$O23),IF((DA$2-Summary!$N23)&lt;12,Summary!$P23,IF(MOD(DA$2,12)=MOD(Summary!$N23,12),(Summary!$P23*((1+Summary!$K$20)^((DA$2-12-MOD(Summary!$N23,12))/12))),HLOOKUP(CZ$3,$E$3:$DV32,23,FALSE))))</f>
        <v>298.51307413224998</v>
      </c>
      <c r="DB25" s="46">
        <f>IF(AND(Summary!$N23&lt;='Cash Flow Statement'!DB$2,'Cash Flow Statement'!DB$2&lt;=Summary!$O23),IF((DB$2-Summary!$N23)&lt;12,Summary!$P23,IF(MOD(DB$2,12)=MOD(Summary!$N23,12),(Summary!$P23*((1+Summary!$K$20)^((DB$2-12-MOD(Summary!$N23,12))/12))),HLOOKUP(DA$3,$E$3:$DV32,23,FALSE))))</f>
        <v>298.51307413224998</v>
      </c>
      <c r="DC25" s="46">
        <f>IF(AND(Summary!$N23&lt;='Cash Flow Statement'!DC$2,'Cash Flow Statement'!DC$2&lt;=Summary!$O23),IF((DC$2-Summary!$N23)&lt;12,Summary!$P23,IF(MOD(DC$2,12)=MOD(Summary!$N23,12),(Summary!$P23*((1+Summary!$K$20)^((DC$2-12-MOD(Summary!$N23,12))/12))),HLOOKUP(DB$3,$E$3:$DV32,23,FALSE))))</f>
        <v>307.4684663562175</v>
      </c>
      <c r="DD25" s="46">
        <f>IF(AND(Summary!$N23&lt;='Cash Flow Statement'!DD$2,'Cash Flow Statement'!DD$2&lt;=Summary!$O23),IF((DD$2-Summary!$N23)&lt;12,Summary!$P23,IF(MOD(DD$2,12)=MOD(Summary!$N23,12),(Summary!$P23*((1+Summary!$K$20)^((DD$2-12-MOD(Summary!$N23,12))/12))),HLOOKUP(DC$3,$E$3:$DV32,23,FALSE))))</f>
        <v>307.4684663562175</v>
      </c>
      <c r="DE25" s="46">
        <f>IF(AND(Summary!$N23&lt;='Cash Flow Statement'!DE$2,'Cash Flow Statement'!DE$2&lt;=Summary!$O23),IF((DE$2-Summary!$N23)&lt;12,Summary!$P23,IF(MOD(DE$2,12)=MOD(Summary!$N23,12),(Summary!$P23*((1+Summary!$K$20)^((DE$2-12-MOD(Summary!$N23,12))/12))),HLOOKUP(DD$3,$E$3:$DV32,23,FALSE))))</f>
        <v>307.4684663562175</v>
      </c>
      <c r="DF25" s="46">
        <f>IF(AND(Summary!$N23&lt;='Cash Flow Statement'!DF$2,'Cash Flow Statement'!DF$2&lt;=Summary!$O23),IF((DF$2-Summary!$N23)&lt;12,Summary!$P23,IF(MOD(DF$2,12)=MOD(Summary!$N23,12),(Summary!$P23*((1+Summary!$K$20)^((DF$2-12-MOD(Summary!$N23,12))/12))),HLOOKUP(DE$3,$E$3:$DV32,23,FALSE))))</f>
        <v>307.4684663562175</v>
      </c>
      <c r="DG25" s="46">
        <f>IF(AND(Summary!$N23&lt;='Cash Flow Statement'!DG$2,'Cash Flow Statement'!DG$2&lt;=Summary!$O23),IF((DG$2-Summary!$N23)&lt;12,Summary!$P23,IF(MOD(DG$2,12)=MOD(Summary!$N23,12),(Summary!$P23*((1+Summary!$K$20)^((DG$2-12-MOD(Summary!$N23,12))/12))),HLOOKUP(DF$3,$E$3:$DV32,23,FALSE))))</f>
        <v>307.4684663562175</v>
      </c>
      <c r="DH25" s="46">
        <f>IF(AND(Summary!$N23&lt;='Cash Flow Statement'!DH$2,'Cash Flow Statement'!DH$2&lt;=Summary!$O23),IF((DH$2-Summary!$N23)&lt;12,Summary!$P23,IF(MOD(DH$2,12)=MOD(Summary!$N23,12),(Summary!$P23*((1+Summary!$K$20)^((DH$2-12-MOD(Summary!$N23,12))/12))),HLOOKUP(DG$3,$E$3:$DV32,23,FALSE))))</f>
        <v>307.4684663562175</v>
      </c>
      <c r="DI25" s="46">
        <f>IF(AND(Summary!$N23&lt;='Cash Flow Statement'!DI$2,'Cash Flow Statement'!DI$2&lt;=Summary!$O23),IF((DI$2-Summary!$N23)&lt;12,Summary!$P23,IF(MOD(DI$2,12)=MOD(Summary!$N23,12),(Summary!$P23*((1+Summary!$K$20)^((DI$2-12-MOD(Summary!$N23,12))/12))),HLOOKUP(DH$3,$E$3:$DV32,23,FALSE))))</f>
        <v>307.4684663562175</v>
      </c>
      <c r="DJ25" s="46">
        <f>IF(AND(Summary!$N23&lt;='Cash Flow Statement'!DJ$2,'Cash Flow Statement'!DJ$2&lt;=Summary!$O23),IF((DJ$2-Summary!$N23)&lt;12,Summary!$P23,IF(MOD(DJ$2,12)=MOD(Summary!$N23,12),(Summary!$P23*((1+Summary!$K$20)^((DJ$2-12-MOD(Summary!$N23,12))/12))),HLOOKUP(DI$3,$E$3:$DV32,23,FALSE))))</f>
        <v>307.4684663562175</v>
      </c>
      <c r="DK25" s="46">
        <f>IF(AND(Summary!$N23&lt;='Cash Flow Statement'!DK$2,'Cash Flow Statement'!DK$2&lt;=Summary!$O23),IF((DK$2-Summary!$N23)&lt;12,Summary!$P23,IF(MOD(DK$2,12)=MOD(Summary!$N23,12),(Summary!$P23*((1+Summary!$K$20)^((DK$2-12-MOD(Summary!$N23,12))/12))),HLOOKUP(DJ$3,$E$3:$DV32,23,FALSE))))</f>
        <v>307.4684663562175</v>
      </c>
      <c r="DL25" s="46">
        <f>IF(AND(Summary!$N23&lt;='Cash Flow Statement'!DL$2,'Cash Flow Statement'!DL$2&lt;=Summary!$O23),IF((DL$2-Summary!$N23)&lt;12,Summary!$P23,IF(MOD(DL$2,12)=MOD(Summary!$N23,12),(Summary!$P23*((1+Summary!$K$20)^((DL$2-12-MOD(Summary!$N23,12))/12))),HLOOKUP(DK$3,$E$3:$DV32,23,FALSE))))</f>
        <v>307.4684663562175</v>
      </c>
      <c r="DM25" s="46">
        <f>IF(AND(Summary!$N23&lt;='Cash Flow Statement'!DM$2,'Cash Flow Statement'!DM$2&lt;=Summary!$O23),IF((DM$2-Summary!$N23)&lt;12,Summary!$P23,IF(MOD(DM$2,12)=MOD(Summary!$N23,12),(Summary!$P23*((1+Summary!$K$20)^((DM$2-12-MOD(Summary!$N23,12))/12))),HLOOKUP(DL$3,$E$3:$DV32,23,FALSE))))</f>
        <v>307.4684663562175</v>
      </c>
      <c r="DN25" s="46">
        <f>IF(AND(Summary!$N23&lt;='Cash Flow Statement'!DN$2,'Cash Flow Statement'!DN$2&lt;=Summary!$O23),IF((DN$2-Summary!$N23)&lt;12,Summary!$P23,IF(MOD(DN$2,12)=MOD(Summary!$N23,12),(Summary!$P23*((1+Summary!$K$20)^((DN$2-12-MOD(Summary!$N23,12))/12))),HLOOKUP(DM$3,$E$3:$DV32,23,FALSE))))</f>
        <v>307.4684663562175</v>
      </c>
      <c r="DO25" s="46">
        <f>IF(AND(Summary!$N23&lt;='Cash Flow Statement'!DO$2,'Cash Flow Statement'!DO$2&lt;=Summary!$O23),IF((DO$2-Summary!$N23)&lt;12,Summary!$P23,IF(MOD(DO$2,12)=MOD(Summary!$N23,12),(Summary!$P23*((1+Summary!$K$20)^((DO$2-12-MOD(Summary!$N23,12))/12))),HLOOKUP(DN$3,$E$3:$DV32,23,FALSE))))</f>
        <v>316.69252034690396</v>
      </c>
      <c r="DP25" s="46">
        <f>IF(AND(Summary!$N23&lt;='Cash Flow Statement'!DP$2,'Cash Flow Statement'!DP$2&lt;=Summary!$O23),IF((DP$2-Summary!$N23)&lt;12,Summary!$P23,IF(MOD(DP$2,12)=MOD(Summary!$N23,12),(Summary!$P23*((1+Summary!$K$20)^((DP$2-12-MOD(Summary!$N23,12))/12))),HLOOKUP(DO$3,$E$3:$DV32,23,FALSE))))</f>
        <v>316.69252034690396</v>
      </c>
      <c r="DQ25" s="46">
        <f>IF(AND(Summary!$N23&lt;='Cash Flow Statement'!DQ$2,'Cash Flow Statement'!DQ$2&lt;=Summary!$O23),IF((DQ$2-Summary!$N23)&lt;12,Summary!$P23,IF(MOD(DQ$2,12)=MOD(Summary!$N23,12),(Summary!$P23*((1+Summary!$K$20)^((DQ$2-12-MOD(Summary!$N23,12))/12))),HLOOKUP(DP$3,$E$3:$DV32,23,FALSE))))</f>
        <v>316.69252034690396</v>
      </c>
      <c r="DR25" s="46">
        <f>IF(AND(Summary!$N23&lt;='Cash Flow Statement'!DR$2,'Cash Flow Statement'!DR$2&lt;=Summary!$O23),IF((DR$2-Summary!$N23)&lt;12,Summary!$P23,IF(MOD(DR$2,12)=MOD(Summary!$N23,12),(Summary!$P23*((1+Summary!$K$20)^((DR$2-12-MOD(Summary!$N23,12))/12))),HLOOKUP(DQ$3,$E$3:$DV32,23,FALSE))))</f>
        <v>316.69252034690396</v>
      </c>
      <c r="DS25" s="46">
        <f>IF(AND(Summary!$N23&lt;='Cash Flow Statement'!DS$2,'Cash Flow Statement'!DS$2&lt;=Summary!$O23),IF((DS$2-Summary!$N23)&lt;12,Summary!$P23,IF(MOD(DS$2,12)=MOD(Summary!$N23,12),(Summary!$P23*((1+Summary!$K$20)^((DS$2-12-MOD(Summary!$N23,12))/12))),HLOOKUP(DR$3,$E$3:$DV32,23,FALSE))))</f>
        <v>316.69252034690396</v>
      </c>
      <c r="DT25" s="46">
        <f>IF(AND(Summary!$N23&lt;='Cash Flow Statement'!DT$2,'Cash Flow Statement'!DT$2&lt;=Summary!$O23),IF((DT$2-Summary!$N23)&lt;12,Summary!$P23,IF(MOD(DT$2,12)=MOD(Summary!$N23,12),(Summary!$P23*((1+Summary!$K$20)^((DT$2-12-MOD(Summary!$N23,12))/12))),HLOOKUP(DS$3,$E$3:$DV32,23,FALSE))))</f>
        <v>316.69252034690396</v>
      </c>
      <c r="DU25" s="46">
        <f>IF(AND(Summary!$N23&lt;='Cash Flow Statement'!DU$2,'Cash Flow Statement'!DU$2&lt;=Summary!$O23),IF((DU$2-Summary!$N23)&lt;12,Summary!$P23,IF(MOD(DU$2,12)=MOD(Summary!$N23,12),(Summary!$P23*((1+Summary!$K$20)^((DU$2-12-MOD(Summary!$N23,12))/12))),HLOOKUP(DT$3,$E$3:$DV32,23,FALSE))))</f>
        <v>316.69252034690396</v>
      </c>
      <c r="DV25" s="135"/>
    </row>
    <row r="26" spans="1:126" x14ac:dyDescent="0.2">
      <c r="A26" s="81"/>
      <c r="B26" s="81" t="str">
        <f>Summary!J24</f>
        <v>Water &amp; Sewer</v>
      </c>
      <c r="C26" s="44"/>
      <c r="D26" s="132">
        <f t="shared" si="17"/>
        <v>46205.267518322653</v>
      </c>
      <c r="E26" s="134" t="b">
        <f>IF(AND(Summary!$N24&lt;='Cash Flow Statement'!E$2,'Cash Flow Statement'!E$2&lt;=Summary!$O24),IF((E$2-Summary!$N24)&lt;12,Summary!$P24,IF(MOD(E$2,12)=MOD(Summary!$N24,12),(Summary!$P24*((1+Summary!$K$20)^((E$2-12-MOD(Summary!$N24,12))/12))),HLOOKUP(D$3,$E$3:$DV32,24,FALSE))))</f>
        <v>0</v>
      </c>
      <c r="F26" s="46" t="b">
        <f>IF(AND(Summary!$N24&lt;='Cash Flow Statement'!F$2,'Cash Flow Statement'!F$2&lt;=Summary!$O24),IF((F$2-Summary!$N24)&lt;12,Summary!$P24,IF(MOD(F$2,12)=MOD(Summary!$N24,12),(Summary!$P24*((1+Summary!$K$20)^((F$2-12-MOD(Summary!$N24,12))/12))),HLOOKUP(E$3,$E$3:$DV32,24,FALSE))))</f>
        <v>0</v>
      </c>
      <c r="G26" s="46" t="b">
        <f>IF(AND(Summary!$N24&lt;='Cash Flow Statement'!G$2,'Cash Flow Statement'!G$2&lt;=Summary!$O24),IF((G$2-Summary!$N24)&lt;12,Summary!$P24,IF(MOD(G$2,12)=MOD(Summary!$N24,12),(Summary!$P24*((1+Summary!$K$20)^((G$2-12-MOD(Summary!$N24,12))/12))),HLOOKUP(F$3,$E$3:$DV32,24,FALSE))))</f>
        <v>0</v>
      </c>
      <c r="H26" s="46" t="b">
        <f>IF(AND(Summary!$N24&lt;='Cash Flow Statement'!H$2,'Cash Flow Statement'!H$2&lt;=Summary!$O24),IF((H$2-Summary!$N24)&lt;12,Summary!$P24,IF(MOD(H$2,12)=MOD(Summary!$N24,12),(Summary!$P24*((1+Summary!$K$20)^((H$2-12-MOD(Summary!$N24,12))/12))),HLOOKUP(G$3,$E$3:$DV32,24,FALSE))))</f>
        <v>0</v>
      </c>
      <c r="I26" s="46" t="b">
        <f>IF(AND(Summary!$N24&lt;='Cash Flow Statement'!I$2,'Cash Flow Statement'!I$2&lt;=Summary!$O24),IF((I$2-Summary!$N24)&lt;12,Summary!$P24,IF(MOD(I$2,12)=MOD(Summary!$N24,12),(Summary!$P24*((1+Summary!$K$20)^((I$2-12-MOD(Summary!$N24,12))/12))),HLOOKUP(H$3,$E$3:$DV32,24,FALSE))))</f>
        <v>0</v>
      </c>
      <c r="J26" s="46" t="b">
        <f>IF(AND(Summary!$N24&lt;='Cash Flow Statement'!J$2,'Cash Flow Statement'!J$2&lt;=Summary!$O24),IF((J$2-Summary!$N24)&lt;12,Summary!$P24,IF(MOD(J$2,12)=MOD(Summary!$N24,12),(Summary!$P24*((1+Summary!$K$20)^((J$2-12-MOD(Summary!$N24,12))/12))),HLOOKUP(I$3,$E$3:$DV32,24,FALSE))))</f>
        <v>0</v>
      </c>
      <c r="K26" s="46" t="b">
        <f>IF(AND(Summary!$N24&lt;='Cash Flow Statement'!K$2,'Cash Flow Statement'!K$2&lt;=Summary!$O24),IF((K$2-Summary!$N24)&lt;12,Summary!$P24,IF(MOD(K$2,12)=MOD(Summary!$N24,12),(Summary!$P24*((1+Summary!$K$20)^((K$2-12-MOD(Summary!$N24,12))/12))),HLOOKUP(J$3,$E$3:$DV32,24,FALSE))))</f>
        <v>0</v>
      </c>
      <c r="L26" s="46" t="b">
        <f>IF(AND(Summary!$N24&lt;='Cash Flow Statement'!L$2,'Cash Flow Statement'!L$2&lt;=Summary!$O24),IF((L$2-Summary!$N24)&lt;12,Summary!$P24,IF(MOD(L$2,12)=MOD(Summary!$N24,12),(Summary!$P24*((1+Summary!$K$20)^((L$2-12-MOD(Summary!$N24,12))/12))),HLOOKUP(K$3,$E$3:$DV32,24,FALSE))))</f>
        <v>0</v>
      </c>
      <c r="M26" s="46" t="b">
        <f>IF(AND(Summary!$N24&lt;='Cash Flow Statement'!M$2,'Cash Flow Statement'!M$2&lt;=Summary!$O24),IF((M$2-Summary!$N24)&lt;12,Summary!$P24,IF(MOD(M$2,12)=MOD(Summary!$N24,12),(Summary!$P24*((1+Summary!$K$20)^((M$2-12-MOD(Summary!$N24,12))/12))),HLOOKUP(L$3,$E$3:$DV32,24,FALSE))))</f>
        <v>0</v>
      </c>
      <c r="N26" s="46" t="b">
        <f>IF(AND(Summary!$N24&lt;='Cash Flow Statement'!N$2,'Cash Flow Statement'!N$2&lt;=Summary!$O24),IF((N$2-Summary!$N24)&lt;12,Summary!$P24,IF(MOD(N$2,12)=MOD(Summary!$N24,12),(Summary!$P24*((1+Summary!$K$20)^((N$2-12-MOD(Summary!$N24,12))/12))),HLOOKUP(M$3,$E$3:$DV32,24,FALSE))))</f>
        <v>0</v>
      </c>
      <c r="O26" s="46" t="b">
        <f>IF(AND(Summary!$N24&lt;='Cash Flow Statement'!O$2,'Cash Flow Statement'!O$2&lt;=Summary!$O24),IF((O$2-Summary!$N24)&lt;12,Summary!$P24,IF(MOD(O$2,12)=MOD(Summary!$N24,12),(Summary!$P24*((1+Summary!$K$20)^((O$2-12-MOD(Summary!$N24,12))/12))),HLOOKUP(N$3,$E$3:$DV32,24,FALSE))))</f>
        <v>0</v>
      </c>
      <c r="P26" s="46" t="b">
        <f>IF(AND(Summary!$N24&lt;='Cash Flow Statement'!P$2,'Cash Flow Statement'!P$2&lt;=Summary!$O24),IF((P$2-Summary!$N24)&lt;12,Summary!$P24,IF(MOD(P$2,12)=MOD(Summary!$N24,12),(Summary!$P24*((1+Summary!$K$20)^((P$2-12-MOD(Summary!$N24,12))/12))),HLOOKUP(O$3,$E$3:$DV32,24,FALSE))))</f>
        <v>0</v>
      </c>
      <c r="Q26" s="46">
        <f>IF(AND(Summary!$N24&lt;='Cash Flow Statement'!Q$2,'Cash Flow Statement'!Q$2&lt;=Summary!$O24),IF((Q$2-Summary!$N24)&lt;12,Summary!$P24,IF(MOD(Q$2,12)=MOD(Summary!$N24,12),(Summary!$P24*((1+Summary!$K$20)^((Q$2-12-MOD(Summary!$N24,12))/12))),HLOOKUP(P$3,$E$3:$DV32,24,FALSE))))</f>
        <v>375</v>
      </c>
      <c r="R26" s="46">
        <f>IF(AND(Summary!$N24&lt;='Cash Flow Statement'!R$2,'Cash Flow Statement'!R$2&lt;=Summary!$O24),IF((R$2-Summary!$N24)&lt;12,Summary!$P24,IF(MOD(R$2,12)=MOD(Summary!$N24,12),(Summary!$P24*((1+Summary!$K$20)^((R$2-12-MOD(Summary!$N24,12))/12))),HLOOKUP(Q$3,$E$3:$DV32,24,FALSE))))</f>
        <v>375</v>
      </c>
      <c r="S26" s="46">
        <f>IF(AND(Summary!$N24&lt;='Cash Flow Statement'!S$2,'Cash Flow Statement'!S$2&lt;=Summary!$O24),IF((S$2-Summary!$N24)&lt;12,Summary!$P24,IF(MOD(S$2,12)=MOD(Summary!$N24,12),(Summary!$P24*((1+Summary!$K$20)^((S$2-12-MOD(Summary!$N24,12))/12))),HLOOKUP(R$3,$E$3:$DV32,24,FALSE))))</f>
        <v>375</v>
      </c>
      <c r="T26" s="46">
        <f>IF(AND(Summary!$N24&lt;='Cash Flow Statement'!T$2,'Cash Flow Statement'!T$2&lt;=Summary!$O24),IF((T$2-Summary!$N24)&lt;12,Summary!$P24,IF(MOD(T$2,12)=MOD(Summary!$N24,12),(Summary!$P24*((1+Summary!$K$20)^((T$2-12-MOD(Summary!$N24,12))/12))),HLOOKUP(S$3,$E$3:$DV32,24,FALSE))))</f>
        <v>375</v>
      </c>
      <c r="U26" s="46">
        <f>IF(AND(Summary!$N24&lt;='Cash Flow Statement'!U$2,'Cash Flow Statement'!U$2&lt;=Summary!$O24),IF((U$2-Summary!$N24)&lt;12,Summary!$P24,IF(MOD(U$2,12)=MOD(Summary!$N24,12),(Summary!$P24*((1+Summary!$K$20)^((U$2-12-MOD(Summary!$N24,12))/12))),HLOOKUP(T$3,$E$3:$DV32,24,FALSE))))</f>
        <v>375</v>
      </c>
      <c r="V26" s="46">
        <f>IF(AND(Summary!$N24&lt;='Cash Flow Statement'!V$2,'Cash Flow Statement'!V$2&lt;=Summary!$O24),IF((V$2-Summary!$N24)&lt;12,Summary!$P24,IF(MOD(V$2,12)=MOD(Summary!$N24,12),(Summary!$P24*((1+Summary!$K$20)^((V$2-12-MOD(Summary!$N24,12))/12))),HLOOKUP(U$3,$E$3:$DV32,24,FALSE))))</f>
        <v>375</v>
      </c>
      <c r="W26" s="46">
        <f>IF(AND(Summary!$N24&lt;='Cash Flow Statement'!W$2,'Cash Flow Statement'!W$2&lt;=Summary!$O24),IF((W$2-Summary!$N24)&lt;12,Summary!$P24,IF(MOD(W$2,12)=MOD(Summary!$N24,12),(Summary!$P24*((1+Summary!$K$20)^((W$2-12-MOD(Summary!$N24,12))/12))),HLOOKUP(V$3,$E$3:$DV32,24,FALSE))))</f>
        <v>375</v>
      </c>
      <c r="X26" s="46">
        <f>IF(AND(Summary!$N24&lt;='Cash Flow Statement'!X$2,'Cash Flow Statement'!X$2&lt;=Summary!$O24),IF((X$2-Summary!$N24)&lt;12,Summary!$P24,IF(MOD(X$2,12)=MOD(Summary!$N24,12),(Summary!$P24*((1+Summary!$K$20)^((X$2-12-MOD(Summary!$N24,12))/12))),HLOOKUP(W$3,$E$3:$DV32,24,FALSE))))</f>
        <v>375</v>
      </c>
      <c r="Y26" s="46">
        <f>IF(AND(Summary!$N24&lt;='Cash Flow Statement'!Y$2,'Cash Flow Statement'!Y$2&lt;=Summary!$O24),IF((Y$2-Summary!$N24)&lt;12,Summary!$P24,IF(MOD(Y$2,12)=MOD(Summary!$N24,12),(Summary!$P24*((1+Summary!$K$20)^((Y$2-12-MOD(Summary!$N24,12))/12))),HLOOKUP(X$3,$E$3:$DV32,24,FALSE))))</f>
        <v>375</v>
      </c>
      <c r="Z26" s="46">
        <f>IF(AND(Summary!$N24&lt;='Cash Flow Statement'!Z$2,'Cash Flow Statement'!Z$2&lt;=Summary!$O24),IF((Z$2-Summary!$N24)&lt;12,Summary!$P24,IF(MOD(Z$2,12)=MOD(Summary!$N24,12),(Summary!$P24*((1+Summary!$K$20)^((Z$2-12-MOD(Summary!$N24,12))/12))),HLOOKUP(Y$3,$E$3:$DV32,24,FALSE))))</f>
        <v>375</v>
      </c>
      <c r="AA26" s="46">
        <f>IF(AND(Summary!$N24&lt;='Cash Flow Statement'!AA$2,'Cash Flow Statement'!AA$2&lt;=Summary!$O24),IF((AA$2-Summary!$N24)&lt;12,Summary!$P24,IF(MOD(AA$2,12)=MOD(Summary!$N24,12),(Summary!$P24*((1+Summary!$K$20)^((AA$2-12-MOD(Summary!$N24,12))/12))),HLOOKUP(Z$3,$E$3:$DV32,24,FALSE))))</f>
        <v>375</v>
      </c>
      <c r="AB26" s="46">
        <f>IF(AND(Summary!$N24&lt;='Cash Flow Statement'!AB$2,'Cash Flow Statement'!AB$2&lt;=Summary!$O24),IF((AB$2-Summary!$N24)&lt;12,Summary!$P24,IF(MOD(AB$2,12)=MOD(Summary!$N24,12),(Summary!$P24*((1+Summary!$K$20)^((AB$2-12-MOD(Summary!$N24,12))/12))),HLOOKUP(AA$3,$E$3:$DV32,24,FALSE))))</f>
        <v>375</v>
      </c>
      <c r="AC26" s="46">
        <f>IF(AND(Summary!$N24&lt;='Cash Flow Statement'!AC$2,'Cash Flow Statement'!AC$2&lt;=Summary!$O24),IF((AC$2-Summary!$N24)&lt;12,Summary!$P24,IF(MOD(AC$2,12)=MOD(Summary!$N24,12),(Summary!$P24*((1+Summary!$K$20)^((AC$2-12-MOD(Summary!$N24,12))/12))),HLOOKUP(AB$3,$E$3:$DV32,24,FALSE))))</f>
        <v>386.25</v>
      </c>
      <c r="AD26" s="46">
        <f>IF(AND(Summary!$N24&lt;='Cash Flow Statement'!AD$2,'Cash Flow Statement'!AD$2&lt;=Summary!$O24),IF((AD$2-Summary!$N24)&lt;12,Summary!$P24,IF(MOD(AD$2,12)=MOD(Summary!$N24,12),(Summary!$P24*((1+Summary!$K$20)^((AD$2-12-MOD(Summary!$N24,12))/12))),HLOOKUP(AC$3,$E$3:$DV32,24,FALSE))))</f>
        <v>386.25</v>
      </c>
      <c r="AE26" s="46">
        <f>IF(AND(Summary!$N24&lt;='Cash Flow Statement'!AE$2,'Cash Flow Statement'!AE$2&lt;=Summary!$O24),IF((AE$2-Summary!$N24)&lt;12,Summary!$P24,IF(MOD(AE$2,12)=MOD(Summary!$N24,12),(Summary!$P24*((1+Summary!$K$20)^((AE$2-12-MOD(Summary!$N24,12))/12))),HLOOKUP(AD$3,$E$3:$DV32,24,FALSE))))</f>
        <v>386.25</v>
      </c>
      <c r="AF26" s="46">
        <f>IF(AND(Summary!$N24&lt;='Cash Flow Statement'!AF$2,'Cash Flow Statement'!AF$2&lt;=Summary!$O24),IF((AF$2-Summary!$N24)&lt;12,Summary!$P24,IF(MOD(AF$2,12)=MOD(Summary!$N24,12),(Summary!$P24*((1+Summary!$K$20)^((AF$2-12-MOD(Summary!$N24,12))/12))),HLOOKUP(AE$3,$E$3:$DV32,24,FALSE))))</f>
        <v>386.25</v>
      </c>
      <c r="AG26" s="46">
        <f>IF(AND(Summary!$N24&lt;='Cash Flow Statement'!AG$2,'Cash Flow Statement'!AG$2&lt;=Summary!$O24),IF((AG$2-Summary!$N24)&lt;12,Summary!$P24,IF(MOD(AG$2,12)=MOD(Summary!$N24,12),(Summary!$P24*((1+Summary!$K$20)^((AG$2-12-MOD(Summary!$N24,12))/12))),HLOOKUP(AF$3,$E$3:$DV32,24,FALSE))))</f>
        <v>386.25</v>
      </c>
      <c r="AH26" s="46">
        <f>IF(AND(Summary!$N24&lt;='Cash Flow Statement'!AH$2,'Cash Flow Statement'!AH$2&lt;=Summary!$O24),IF((AH$2-Summary!$N24)&lt;12,Summary!$P24,IF(MOD(AH$2,12)=MOD(Summary!$N24,12),(Summary!$P24*((1+Summary!$K$20)^((AH$2-12-MOD(Summary!$N24,12))/12))),HLOOKUP(AG$3,$E$3:$DV32,24,FALSE))))</f>
        <v>386.25</v>
      </c>
      <c r="AI26" s="46">
        <f>IF(AND(Summary!$N24&lt;='Cash Flow Statement'!AI$2,'Cash Flow Statement'!AI$2&lt;=Summary!$O24),IF((AI$2-Summary!$N24)&lt;12,Summary!$P24,IF(MOD(AI$2,12)=MOD(Summary!$N24,12),(Summary!$P24*((1+Summary!$K$20)^((AI$2-12-MOD(Summary!$N24,12))/12))),HLOOKUP(AH$3,$E$3:$DV32,24,FALSE))))</f>
        <v>386.25</v>
      </c>
      <c r="AJ26" s="46">
        <f>IF(AND(Summary!$N24&lt;='Cash Flow Statement'!AJ$2,'Cash Flow Statement'!AJ$2&lt;=Summary!$O24),IF((AJ$2-Summary!$N24)&lt;12,Summary!$P24,IF(MOD(AJ$2,12)=MOD(Summary!$N24,12),(Summary!$P24*((1+Summary!$K$20)^((AJ$2-12-MOD(Summary!$N24,12))/12))),HLOOKUP(AI$3,$E$3:$DV32,24,FALSE))))</f>
        <v>386.25</v>
      </c>
      <c r="AK26" s="46">
        <f>IF(AND(Summary!$N24&lt;='Cash Flow Statement'!AK$2,'Cash Flow Statement'!AK$2&lt;=Summary!$O24),IF((AK$2-Summary!$N24)&lt;12,Summary!$P24,IF(MOD(AK$2,12)=MOD(Summary!$N24,12),(Summary!$P24*((1+Summary!$K$20)^((AK$2-12-MOD(Summary!$N24,12))/12))),HLOOKUP(AJ$3,$E$3:$DV32,24,FALSE))))</f>
        <v>386.25</v>
      </c>
      <c r="AL26" s="46">
        <f>IF(AND(Summary!$N24&lt;='Cash Flow Statement'!AL$2,'Cash Flow Statement'!AL$2&lt;=Summary!$O24),IF((AL$2-Summary!$N24)&lt;12,Summary!$P24,IF(MOD(AL$2,12)=MOD(Summary!$N24,12),(Summary!$P24*((1+Summary!$K$20)^((AL$2-12-MOD(Summary!$N24,12))/12))),HLOOKUP(AK$3,$E$3:$DV32,24,FALSE))))</f>
        <v>386.25</v>
      </c>
      <c r="AM26" s="46">
        <f>IF(AND(Summary!$N24&lt;='Cash Flow Statement'!AM$2,'Cash Flow Statement'!AM$2&lt;=Summary!$O24),IF((AM$2-Summary!$N24)&lt;12,Summary!$P24,IF(MOD(AM$2,12)=MOD(Summary!$N24,12),(Summary!$P24*((1+Summary!$K$20)^((AM$2-12-MOD(Summary!$N24,12))/12))),HLOOKUP(AL$3,$E$3:$DV32,24,FALSE))))</f>
        <v>386.25</v>
      </c>
      <c r="AN26" s="46">
        <f>IF(AND(Summary!$N24&lt;='Cash Flow Statement'!AN$2,'Cash Flow Statement'!AN$2&lt;=Summary!$O24),IF((AN$2-Summary!$N24)&lt;12,Summary!$P24,IF(MOD(AN$2,12)=MOD(Summary!$N24,12),(Summary!$P24*((1+Summary!$K$20)^((AN$2-12-MOD(Summary!$N24,12))/12))),HLOOKUP(AM$3,$E$3:$DV32,24,FALSE))))</f>
        <v>386.25</v>
      </c>
      <c r="AO26" s="46">
        <f>IF(AND(Summary!$N24&lt;='Cash Flow Statement'!AO$2,'Cash Flow Statement'!AO$2&lt;=Summary!$O24),IF((AO$2-Summary!$N24)&lt;12,Summary!$P24,IF(MOD(AO$2,12)=MOD(Summary!$N24,12),(Summary!$P24*((1+Summary!$K$20)^((AO$2-12-MOD(Summary!$N24,12))/12))),HLOOKUP(AN$3,$E$3:$DV32,24,FALSE))))</f>
        <v>397.83749999999998</v>
      </c>
      <c r="AP26" s="46">
        <f>IF(AND(Summary!$N24&lt;='Cash Flow Statement'!AP$2,'Cash Flow Statement'!AP$2&lt;=Summary!$O24),IF((AP$2-Summary!$N24)&lt;12,Summary!$P24,IF(MOD(AP$2,12)=MOD(Summary!$N24,12),(Summary!$P24*((1+Summary!$K$20)^((AP$2-12-MOD(Summary!$N24,12))/12))),HLOOKUP(AO$3,$E$3:$DV32,24,FALSE))))</f>
        <v>397.83749999999998</v>
      </c>
      <c r="AQ26" s="46">
        <f>IF(AND(Summary!$N24&lt;='Cash Flow Statement'!AQ$2,'Cash Flow Statement'!AQ$2&lt;=Summary!$O24),IF((AQ$2-Summary!$N24)&lt;12,Summary!$P24,IF(MOD(AQ$2,12)=MOD(Summary!$N24,12),(Summary!$P24*((1+Summary!$K$20)^((AQ$2-12-MOD(Summary!$N24,12))/12))),HLOOKUP(AP$3,$E$3:$DV32,24,FALSE))))</f>
        <v>397.83749999999998</v>
      </c>
      <c r="AR26" s="46">
        <f>IF(AND(Summary!$N24&lt;='Cash Flow Statement'!AR$2,'Cash Flow Statement'!AR$2&lt;=Summary!$O24),IF((AR$2-Summary!$N24)&lt;12,Summary!$P24,IF(MOD(AR$2,12)=MOD(Summary!$N24,12),(Summary!$P24*((1+Summary!$K$20)^((AR$2-12-MOD(Summary!$N24,12))/12))),HLOOKUP(AQ$3,$E$3:$DV32,24,FALSE))))</f>
        <v>397.83749999999998</v>
      </c>
      <c r="AS26" s="46">
        <f>IF(AND(Summary!$N24&lt;='Cash Flow Statement'!AS$2,'Cash Flow Statement'!AS$2&lt;=Summary!$O24),IF((AS$2-Summary!$N24)&lt;12,Summary!$P24,IF(MOD(AS$2,12)=MOD(Summary!$N24,12),(Summary!$P24*((1+Summary!$K$20)^((AS$2-12-MOD(Summary!$N24,12))/12))),HLOOKUP(AR$3,$E$3:$DV32,24,FALSE))))</f>
        <v>397.83749999999998</v>
      </c>
      <c r="AT26" s="46">
        <f>IF(AND(Summary!$N24&lt;='Cash Flow Statement'!AT$2,'Cash Flow Statement'!AT$2&lt;=Summary!$O24),IF((AT$2-Summary!$N24)&lt;12,Summary!$P24,IF(MOD(AT$2,12)=MOD(Summary!$N24,12),(Summary!$P24*((1+Summary!$K$20)^((AT$2-12-MOD(Summary!$N24,12))/12))),HLOOKUP(AS$3,$E$3:$DV32,24,FALSE))))</f>
        <v>397.83749999999998</v>
      </c>
      <c r="AU26" s="46">
        <f>IF(AND(Summary!$N24&lt;='Cash Flow Statement'!AU$2,'Cash Flow Statement'!AU$2&lt;=Summary!$O24),IF((AU$2-Summary!$N24)&lt;12,Summary!$P24,IF(MOD(AU$2,12)=MOD(Summary!$N24,12),(Summary!$P24*((1+Summary!$K$20)^((AU$2-12-MOD(Summary!$N24,12))/12))),HLOOKUP(AT$3,$E$3:$DV32,24,FALSE))))</f>
        <v>397.83749999999998</v>
      </c>
      <c r="AV26" s="46">
        <f>IF(AND(Summary!$N24&lt;='Cash Flow Statement'!AV$2,'Cash Flow Statement'!AV$2&lt;=Summary!$O24),IF((AV$2-Summary!$N24)&lt;12,Summary!$P24,IF(MOD(AV$2,12)=MOD(Summary!$N24,12),(Summary!$P24*((1+Summary!$K$20)^((AV$2-12-MOD(Summary!$N24,12))/12))),HLOOKUP(AU$3,$E$3:$DV32,24,FALSE))))</f>
        <v>397.83749999999998</v>
      </c>
      <c r="AW26" s="46">
        <f>IF(AND(Summary!$N24&lt;='Cash Flow Statement'!AW$2,'Cash Flow Statement'!AW$2&lt;=Summary!$O24),IF((AW$2-Summary!$N24)&lt;12,Summary!$P24,IF(MOD(AW$2,12)=MOD(Summary!$N24,12),(Summary!$P24*((1+Summary!$K$20)^((AW$2-12-MOD(Summary!$N24,12))/12))),HLOOKUP(AV$3,$E$3:$DV32,24,FALSE))))</f>
        <v>397.83749999999998</v>
      </c>
      <c r="AX26" s="46">
        <f>IF(AND(Summary!$N24&lt;='Cash Flow Statement'!AX$2,'Cash Flow Statement'!AX$2&lt;=Summary!$O24),IF((AX$2-Summary!$N24)&lt;12,Summary!$P24,IF(MOD(AX$2,12)=MOD(Summary!$N24,12),(Summary!$P24*((1+Summary!$K$20)^((AX$2-12-MOD(Summary!$N24,12))/12))),HLOOKUP(AW$3,$E$3:$DV32,24,FALSE))))</f>
        <v>397.83749999999998</v>
      </c>
      <c r="AY26" s="46">
        <f>IF(AND(Summary!$N24&lt;='Cash Flow Statement'!AY$2,'Cash Flow Statement'!AY$2&lt;=Summary!$O24),IF((AY$2-Summary!$N24)&lt;12,Summary!$P24,IF(MOD(AY$2,12)=MOD(Summary!$N24,12),(Summary!$P24*((1+Summary!$K$20)^((AY$2-12-MOD(Summary!$N24,12))/12))),HLOOKUP(AX$3,$E$3:$DV32,24,FALSE))))</f>
        <v>397.83749999999998</v>
      </c>
      <c r="AZ26" s="46">
        <f>IF(AND(Summary!$N24&lt;='Cash Flow Statement'!AZ$2,'Cash Flow Statement'!AZ$2&lt;=Summary!$O24),IF((AZ$2-Summary!$N24)&lt;12,Summary!$P24,IF(MOD(AZ$2,12)=MOD(Summary!$N24,12),(Summary!$P24*((1+Summary!$K$20)^((AZ$2-12-MOD(Summary!$N24,12))/12))),HLOOKUP(AY$3,$E$3:$DV32,24,FALSE))))</f>
        <v>397.83749999999998</v>
      </c>
      <c r="BA26" s="46">
        <f>IF(AND(Summary!$N24&lt;='Cash Flow Statement'!BA$2,'Cash Flow Statement'!BA$2&lt;=Summary!$O24),IF((BA$2-Summary!$N24)&lt;12,Summary!$P24,IF(MOD(BA$2,12)=MOD(Summary!$N24,12),(Summary!$P24*((1+Summary!$K$20)^((BA$2-12-MOD(Summary!$N24,12))/12))),HLOOKUP(AZ$3,$E$3:$DV32,24,FALSE))))</f>
        <v>409.77262500000001</v>
      </c>
      <c r="BB26" s="46">
        <f>IF(AND(Summary!$N24&lt;='Cash Flow Statement'!BB$2,'Cash Flow Statement'!BB$2&lt;=Summary!$O24),IF((BB$2-Summary!$N24)&lt;12,Summary!$P24,IF(MOD(BB$2,12)=MOD(Summary!$N24,12),(Summary!$P24*((1+Summary!$K$20)^((BB$2-12-MOD(Summary!$N24,12))/12))),HLOOKUP(BA$3,$E$3:$DV32,24,FALSE))))</f>
        <v>409.77262500000001</v>
      </c>
      <c r="BC26" s="46">
        <f>IF(AND(Summary!$N24&lt;='Cash Flow Statement'!BC$2,'Cash Flow Statement'!BC$2&lt;=Summary!$O24),IF((BC$2-Summary!$N24)&lt;12,Summary!$P24,IF(MOD(BC$2,12)=MOD(Summary!$N24,12),(Summary!$P24*((1+Summary!$K$20)^((BC$2-12-MOD(Summary!$N24,12))/12))),HLOOKUP(BB$3,$E$3:$DV32,24,FALSE))))</f>
        <v>409.77262500000001</v>
      </c>
      <c r="BD26" s="46">
        <f>IF(AND(Summary!$N24&lt;='Cash Flow Statement'!BD$2,'Cash Flow Statement'!BD$2&lt;=Summary!$O24),IF((BD$2-Summary!$N24)&lt;12,Summary!$P24,IF(MOD(BD$2,12)=MOD(Summary!$N24,12),(Summary!$P24*((1+Summary!$K$20)^((BD$2-12-MOD(Summary!$N24,12))/12))),HLOOKUP(BC$3,$E$3:$DV32,24,FALSE))))</f>
        <v>409.77262500000001</v>
      </c>
      <c r="BE26" s="46">
        <f>IF(AND(Summary!$N24&lt;='Cash Flow Statement'!BE$2,'Cash Flow Statement'!BE$2&lt;=Summary!$O24),IF((BE$2-Summary!$N24)&lt;12,Summary!$P24,IF(MOD(BE$2,12)=MOD(Summary!$N24,12),(Summary!$P24*((1+Summary!$K$20)^((BE$2-12-MOD(Summary!$N24,12))/12))),HLOOKUP(BD$3,$E$3:$DV32,24,FALSE))))</f>
        <v>409.77262500000001</v>
      </c>
      <c r="BF26" s="46">
        <f>IF(AND(Summary!$N24&lt;='Cash Flow Statement'!BF$2,'Cash Flow Statement'!BF$2&lt;=Summary!$O24),IF((BF$2-Summary!$N24)&lt;12,Summary!$P24,IF(MOD(BF$2,12)=MOD(Summary!$N24,12),(Summary!$P24*((1+Summary!$K$20)^((BF$2-12-MOD(Summary!$N24,12))/12))),HLOOKUP(BE$3,$E$3:$DV32,24,FALSE))))</f>
        <v>409.77262500000001</v>
      </c>
      <c r="BG26" s="46">
        <f>IF(AND(Summary!$N24&lt;='Cash Flow Statement'!BG$2,'Cash Flow Statement'!BG$2&lt;=Summary!$O24),IF((BG$2-Summary!$N24)&lt;12,Summary!$P24,IF(MOD(BG$2,12)=MOD(Summary!$N24,12),(Summary!$P24*((1+Summary!$K$20)^((BG$2-12-MOD(Summary!$N24,12))/12))),HLOOKUP(BF$3,$E$3:$DV32,24,FALSE))))</f>
        <v>409.77262500000001</v>
      </c>
      <c r="BH26" s="46">
        <f>IF(AND(Summary!$N24&lt;='Cash Flow Statement'!BH$2,'Cash Flow Statement'!BH$2&lt;=Summary!$O24),IF((BH$2-Summary!$N24)&lt;12,Summary!$P24,IF(MOD(BH$2,12)=MOD(Summary!$N24,12),(Summary!$P24*((1+Summary!$K$20)^((BH$2-12-MOD(Summary!$N24,12))/12))),HLOOKUP(BG$3,$E$3:$DV32,24,FALSE))))</f>
        <v>409.77262500000001</v>
      </c>
      <c r="BI26" s="46">
        <f>IF(AND(Summary!$N24&lt;='Cash Flow Statement'!BI$2,'Cash Flow Statement'!BI$2&lt;=Summary!$O24),IF((BI$2-Summary!$N24)&lt;12,Summary!$P24,IF(MOD(BI$2,12)=MOD(Summary!$N24,12),(Summary!$P24*((1+Summary!$K$20)^((BI$2-12-MOD(Summary!$N24,12))/12))),HLOOKUP(BH$3,$E$3:$DV32,24,FALSE))))</f>
        <v>409.77262500000001</v>
      </c>
      <c r="BJ26" s="46">
        <f>IF(AND(Summary!$N24&lt;='Cash Flow Statement'!BJ$2,'Cash Flow Statement'!BJ$2&lt;=Summary!$O24),IF((BJ$2-Summary!$N24)&lt;12,Summary!$P24,IF(MOD(BJ$2,12)=MOD(Summary!$N24,12),(Summary!$P24*((1+Summary!$K$20)^((BJ$2-12-MOD(Summary!$N24,12))/12))),HLOOKUP(BI$3,$E$3:$DV32,24,FALSE))))</f>
        <v>409.77262500000001</v>
      </c>
      <c r="BK26" s="46">
        <f>IF(AND(Summary!$N24&lt;='Cash Flow Statement'!BK$2,'Cash Flow Statement'!BK$2&lt;=Summary!$O24),IF((BK$2-Summary!$N24)&lt;12,Summary!$P24,IF(MOD(BK$2,12)=MOD(Summary!$N24,12),(Summary!$P24*((1+Summary!$K$20)^((BK$2-12-MOD(Summary!$N24,12))/12))),HLOOKUP(BJ$3,$E$3:$DV32,24,FALSE))))</f>
        <v>409.77262500000001</v>
      </c>
      <c r="BL26" s="46">
        <f>IF(AND(Summary!$N24&lt;='Cash Flow Statement'!BL$2,'Cash Flow Statement'!BL$2&lt;=Summary!$O24),IF((BL$2-Summary!$N24)&lt;12,Summary!$P24,IF(MOD(BL$2,12)=MOD(Summary!$N24,12),(Summary!$P24*((1+Summary!$K$20)^((BL$2-12-MOD(Summary!$N24,12))/12))),HLOOKUP(BK$3,$E$3:$DV32,24,FALSE))))</f>
        <v>409.77262500000001</v>
      </c>
      <c r="BM26" s="46">
        <f>IF(AND(Summary!$N24&lt;='Cash Flow Statement'!BM$2,'Cash Flow Statement'!BM$2&lt;=Summary!$O24),IF((BM$2-Summary!$N24)&lt;12,Summary!$P24,IF(MOD(BM$2,12)=MOD(Summary!$N24,12),(Summary!$P24*((1+Summary!$K$20)^((BM$2-12-MOD(Summary!$N24,12))/12))),HLOOKUP(BL$3,$E$3:$DV32,24,FALSE))))</f>
        <v>422.06580374999999</v>
      </c>
      <c r="BN26" s="46">
        <f>IF(AND(Summary!$N24&lt;='Cash Flow Statement'!BN$2,'Cash Flow Statement'!BN$2&lt;=Summary!$O24),IF((BN$2-Summary!$N24)&lt;12,Summary!$P24,IF(MOD(BN$2,12)=MOD(Summary!$N24,12),(Summary!$P24*((1+Summary!$K$20)^((BN$2-12-MOD(Summary!$N24,12))/12))),HLOOKUP(BM$3,$E$3:$DV32,24,FALSE))))</f>
        <v>422.06580374999999</v>
      </c>
      <c r="BO26" s="46">
        <f>IF(AND(Summary!$N24&lt;='Cash Flow Statement'!BO$2,'Cash Flow Statement'!BO$2&lt;=Summary!$O24),IF((BO$2-Summary!$N24)&lt;12,Summary!$P24,IF(MOD(BO$2,12)=MOD(Summary!$N24,12),(Summary!$P24*((1+Summary!$K$20)^((BO$2-12-MOD(Summary!$N24,12))/12))),HLOOKUP(BN$3,$E$3:$DV32,24,FALSE))))</f>
        <v>422.06580374999999</v>
      </c>
      <c r="BP26" s="46">
        <f>IF(AND(Summary!$N24&lt;='Cash Flow Statement'!BP$2,'Cash Flow Statement'!BP$2&lt;=Summary!$O24),IF((BP$2-Summary!$N24)&lt;12,Summary!$P24,IF(MOD(BP$2,12)=MOD(Summary!$N24,12),(Summary!$P24*((1+Summary!$K$20)^((BP$2-12-MOD(Summary!$N24,12))/12))),HLOOKUP(BO$3,$E$3:$DV32,24,FALSE))))</f>
        <v>422.06580374999999</v>
      </c>
      <c r="BQ26" s="46">
        <f>IF(AND(Summary!$N24&lt;='Cash Flow Statement'!BQ$2,'Cash Flow Statement'!BQ$2&lt;=Summary!$O24),IF((BQ$2-Summary!$N24)&lt;12,Summary!$P24,IF(MOD(BQ$2,12)=MOD(Summary!$N24,12),(Summary!$P24*((1+Summary!$K$20)^((BQ$2-12-MOD(Summary!$N24,12))/12))),HLOOKUP(BP$3,$E$3:$DV32,24,FALSE))))</f>
        <v>422.06580374999999</v>
      </c>
      <c r="BR26" s="46">
        <f>IF(AND(Summary!$N24&lt;='Cash Flow Statement'!BR$2,'Cash Flow Statement'!BR$2&lt;=Summary!$O24),IF((BR$2-Summary!$N24)&lt;12,Summary!$P24,IF(MOD(BR$2,12)=MOD(Summary!$N24,12),(Summary!$P24*((1+Summary!$K$20)^((BR$2-12-MOD(Summary!$N24,12))/12))),HLOOKUP(BQ$3,$E$3:$DV32,24,FALSE))))</f>
        <v>422.06580374999999</v>
      </c>
      <c r="BS26" s="46">
        <f>IF(AND(Summary!$N24&lt;='Cash Flow Statement'!BS$2,'Cash Flow Statement'!BS$2&lt;=Summary!$O24),IF((BS$2-Summary!$N24)&lt;12,Summary!$P24,IF(MOD(BS$2,12)=MOD(Summary!$N24,12),(Summary!$P24*((1+Summary!$K$20)^((BS$2-12-MOD(Summary!$N24,12))/12))),HLOOKUP(BR$3,$E$3:$DV32,24,FALSE))))</f>
        <v>422.06580374999999</v>
      </c>
      <c r="BT26" s="46">
        <f>IF(AND(Summary!$N24&lt;='Cash Flow Statement'!BT$2,'Cash Flow Statement'!BT$2&lt;=Summary!$O24),IF((BT$2-Summary!$N24)&lt;12,Summary!$P24,IF(MOD(BT$2,12)=MOD(Summary!$N24,12),(Summary!$P24*((1+Summary!$K$20)^((BT$2-12-MOD(Summary!$N24,12))/12))),HLOOKUP(BS$3,$E$3:$DV32,24,FALSE))))</f>
        <v>422.06580374999999</v>
      </c>
      <c r="BU26" s="46">
        <f>IF(AND(Summary!$N24&lt;='Cash Flow Statement'!BU$2,'Cash Flow Statement'!BU$2&lt;=Summary!$O24),IF((BU$2-Summary!$N24)&lt;12,Summary!$P24,IF(MOD(BU$2,12)=MOD(Summary!$N24,12),(Summary!$P24*((1+Summary!$K$20)^((BU$2-12-MOD(Summary!$N24,12))/12))),HLOOKUP(BT$3,$E$3:$DV32,24,FALSE))))</f>
        <v>422.06580374999999</v>
      </c>
      <c r="BV26" s="46">
        <f>IF(AND(Summary!$N24&lt;='Cash Flow Statement'!BV$2,'Cash Flow Statement'!BV$2&lt;=Summary!$O24),IF((BV$2-Summary!$N24)&lt;12,Summary!$P24,IF(MOD(BV$2,12)=MOD(Summary!$N24,12),(Summary!$P24*((1+Summary!$K$20)^((BV$2-12-MOD(Summary!$N24,12))/12))),HLOOKUP(BU$3,$E$3:$DV32,24,FALSE))))</f>
        <v>422.06580374999999</v>
      </c>
      <c r="BW26" s="46">
        <f>IF(AND(Summary!$N24&lt;='Cash Flow Statement'!BW$2,'Cash Flow Statement'!BW$2&lt;=Summary!$O24),IF((BW$2-Summary!$N24)&lt;12,Summary!$P24,IF(MOD(BW$2,12)=MOD(Summary!$N24,12),(Summary!$P24*((1+Summary!$K$20)^((BW$2-12-MOD(Summary!$N24,12))/12))),HLOOKUP(BV$3,$E$3:$DV32,24,FALSE))))</f>
        <v>422.06580374999999</v>
      </c>
      <c r="BX26" s="46">
        <f>IF(AND(Summary!$N24&lt;='Cash Flow Statement'!BX$2,'Cash Flow Statement'!BX$2&lt;=Summary!$O24),IF((BX$2-Summary!$N24)&lt;12,Summary!$P24,IF(MOD(BX$2,12)=MOD(Summary!$N24,12),(Summary!$P24*((1+Summary!$K$20)^((BX$2-12-MOD(Summary!$N24,12))/12))),HLOOKUP(BW$3,$E$3:$DV32,24,FALSE))))</f>
        <v>422.06580374999999</v>
      </c>
      <c r="BY26" s="46">
        <f>IF(AND(Summary!$N24&lt;='Cash Flow Statement'!BY$2,'Cash Flow Statement'!BY$2&lt;=Summary!$O24),IF((BY$2-Summary!$N24)&lt;12,Summary!$P24,IF(MOD(BY$2,12)=MOD(Summary!$N24,12),(Summary!$P24*((1+Summary!$K$20)^((BY$2-12-MOD(Summary!$N24,12))/12))),HLOOKUP(BX$3,$E$3:$DV32,24,FALSE))))</f>
        <v>434.72777786249992</v>
      </c>
      <c r="BZ26" s="46">
        <f>IF(AND(Summary!$N24&lt;='Cash Flow Statement'!BZ$2,'Cash Flow Statement'!BZ$2&lt;=Summary!$O24),IF((BZ$2-Summary!$N24)&lt;12,Summary!$P24,IF(MOD(BZ$2,12)=MOD(Summary!$N24,12),(Summary!$P24*((1+Summary!$K$20)^((BZ$2-12-MOD(Summary!$N24,12))/12))),HLOOKUP(BY$3,$E$3:$DV32,24,FALSE))))</f>
        <v>434.72777786249992</v>
      </c>
      <c r="CA26" s="46">
        <f>IF(AND(Summary!$N24&lt;='Cash Flow Statement'!CA$2,'Cash Flow Statement'!CA$2&lt;=Summary!$O24),IF((CA$2-Summary!$N24)&lt;12,Summary!$P24,IF(MOD(CA$2,12)=MOD(Summary!$N24,12),(Summary!$P24*((1+Summary!$K$20)^((CA$2-12-MOD(Summary!$N24,12))/12))),HLOOKUP(BZ$3,$E$3:$DV32,24,FALSE))))</f>
        <v>434.72777786249992</v>
      </c>
      <c r="CB26" s="46">
        <f>IF(AND(Summary!$N24&lt;='Cash Flow Statement'!CB$2,'Cash Flow Statement'!CB$2&lt;=Summary!$O24),IF((CB$2-Summary!$N24)&lt;12,Summary!$P24,IF(MOD(CB$2,12)=MOD(Summary!$N24,12),(Summary!$P24*((1+Summary!$K$20)^((CB$2-12-MOD(Summary!$N24,12))/12))),HLOOKUP(CA$3,$E$3:$DV32,24,FALSE))))</f>
        <v>434.72777786249992</v>
      </c>
      <c r="CC26" s="46">
        <f>IF(AND(Summary!$N24&lt;='Cash Flow Statement'!CC$2,'Cash Flow Statement'!CC$2&lt;=Summary!$O24),IF((CC$2-Summary!$N24)&lt;12,Summary!$P24,IF(MOD(CC$2,12)=MOD(Summary!$N24,12),(Summary!$P24*((1+Summary!$K$20)^((CC$2-12-MOD(Summary!$N24,12))/12))),HLOOKUP(CB$3,$E$3:$DV32,24,FALSE))))</f>
        <v>434.72777786249992</v>
      </c>
      <c r="CD26" s="46">
        <f>IF(AND(Summary!$N24&lt;='Cash Flow Statement'!CD$2,'Cash Flow Statement'!CD$2&lt;=Summary!$O24),IF((CD$2-Summary!$N24)&lt;12,Summary!$P24,IF(MOD(CD$2,12)=MOD(Summary!$N24,12),(Summary!$P24*((1+Summary!$K$20)^((CD$2-12-MOD(Summary!$N24,12))/12))),HLOOKUP(CC$3,$E$3:$DV32,24,FALSE))))</f>
        <v>434.72777786249992</v>
      </c>
      <c r="CE26" s="46">
        <f>IF(AND(Summary!$N24&lt;='Cash Flow Statement'!CE$2,'Cash Flow Statement'!CE$2&lt;=Summary!$O24),IF((CE$2-Summary!$N24)&lt;12,Summary!$P24,IF(MOD(CE$2,12)=MOD(Summary!$N24,12),(Summary!$P24*((1+Summary!$K$20)^((CE$2-12-MOD(Summary!$N24,12))/12))),HLOOKUP(CD$3,$E$3:$DV32,24,FALSE))))</f>
        <v>434.72777786249992</v>
      </c>
      <c r="CF26" s="46">
        <f>IF(AND(Summary!$N24&lt;='Cash Flow Statement'!CF$2,'Cash Flow Statement'!CF$2&lt;=Summary!$O24),IF((CF$2-Summary!$N24)&lt;12,Summary!$P24,IF(MOD(CF$2,12)=MOD(Summary!$N24,12),(Summary!$P24*((1+Summary!$K$20)^((CF$2-12-MOD(Summary!$N24,12))/12))),HLOOKUP(CE$3,$E$3:$DV32,24,FALSE))))</f>
        <v>434.72777786249992</v>
      </c>
      <c r="CG26" s="46">
        <f>IF(AND(Summary!$N24&lt;='Cash Flow Statement'!CG$2,'Cash Flow Statement'!CG$2&lt;=Summary!$O24),IF((CG$2-Summary!$N24)&lt;12,Summary!$P24,IF(MOD(CG$2,12)=MOD(Summary!$N24,12),(Summary!$P24*((1+Summary!$K$20)^((CG$2-12-MOD(Summary!$N24,12))/12))),HLOOKUP(CF$3,$E$3:$DV32,24,FALSE))))</f>
        <v>434.72777786249992</v>
      </c>
      <c r="CH26" s="46">
        <f>IF(AND(Summary!$N24&lt;='Cash Flow Statement'!CH$2,'Cash Flow Statement'!CH$2&lt;=Summary!$O24),IF((CH$2-Summary!$N24)&lt;12,Summary!$P24,IF(MOD(CH$2,12)=MOD(Summary!$N24,12),(Summary!$P24*((1+Summary!$K$20)^((CH$2-12-MOD(Summary!$N24,12))/12))),HLOOKUP(CG$3,$E$3:$DV32,24,FALSE))))</f>
        <v>434.72777786249992</v>
      </c>
      <c r="CI26" s="46">
        <f>IF(AND(Summary!$N24&lt;='Cash Flow Statement'!CI$2,'Cash Flow Statement'!CI$2&lt;=Summary!$O24),IF((CI$2-Summary!$N24)&lt;12,Summary!$P24,IF(MOD(CI$2,12)=MOD(Summary!$N24,12),(Summary!$P24*((1+Summary!$K$20)^((CI$2-12-MOD(Summary!$N24,12))/12))),HLOOKUP(CH$3,$E$3:$DV32,24,FALSE))))</f>
        <v>434.72777786249992</v>
      </c>
      <c r="CJ26" s="46">
        <f>IF(AND(Summary!$N24&lt;='Cash Flow Statement'!CJ$2,'Cash Flow Statement'!CJ$2&lt;=Summary!$O24),IF((CJ$2-Summary!$N24)&lt;12,Summary!$P24,IF(MOD(CJ$2,12)=MOD(Summary!$N24,12),(Summary!$P24*((1+Summary!$K$20)^((CJ$2-12-MOD(Summary!$N24,12))/12))),HLOOKUP(CI$3,$E$3:$DV32,24,FALSE))))</f>
        <v>434.72777786249992</v>
      </c>
      <c r="CK26" s="46">
        <f>IF(AND(Summary!$N24&lt;='Cash Flow Statement'!CK$2,'Cash Flow Statement'!CK$2&lt;=Summary!$O24),IF((CK$2-Summary!$N24)&lt;12,Summary!$P24,IF(MOD(CK$2,12)=MOD(Summary!$N24,12),(Summary!$P24*((1+Summary!$K$20)^((CK$2-12-MOD(Summary!$N24,12))/12))),HLOOKUP(CJ$3,$E$3:$DV32,24,FALSE))))</f>
        <v>447.76961119837495</v>
      </c>
      <c r="CL26" s="46">
        <f>IF(AND(Summary!$N24&lt;='Cash Flow Statement'!CL$2,'Cash Flow Statement'!CL$2&lt;=Summary!$O24),IF((CL$2-Summary!$N24)&lt;12,Summary!$P24,IF(MOD(CL$2,12)=MOD(Summary!$N24,12),(Summary!$P24*((1+Summary!$K$20)^((CL$2-12-MOD(Summary!$N24,12))/12))),HLOOKUP(CK$3,$E$3:$DV32,24,FALSE))))</f>
        <v>447.76961119837495</v>
      </c>
      <c r="CM26" s="46">
        <f>IF(AND(Summary!$N24&lt;='Cash Flow Statement'!CM$2,'Cash Flow Statement'!CM$2&lt;=Summary!$O24),IF((CM$2-Summary!$N24)&lt;12,Summary!$P24,IF(MOD(CM$2,12)=MOD(Summary!$N24,12),(Summary!$P24*((1+Summary!$K$20)^((CM$2-12-MOD(Summary!$N24,12))/12))),HLOOKUP(CL$3,$E$3:$DV32,24,FALSE))))</f>
        <v>447.76961119837495</v>
      </c>
      <c r="CN26" s="46">
        <f>IF(AND(Summary!$N24&lt;='Cash Flow Statement'!CN$2,'Cash Flow Statement'!CN$2&lt;=Summary!$O24),IF((CN$2-Summary!$N24)&lt;12,Summary!$P24,IF(MOD(CN$2,12)=MOD(Summary!$N24,12),(Summary!$P24*((1+Summary!$K$20)^((CN$2-12-MOD(Summary!$N24,12))/12))),HLOOKUP(CM$3,$E$3:$DV32,24,FALSE))))</f>
        <v>447.76961119837495</v>
      </c>
      <c r="CO26" s="46">
        <f>IF(AND(Summary!$N24&lt;='Cash Flow Statement'!CO$2,'Cash Flow Statement'!CO$2&lt;=Summary!$O24),IF((CO$2-Summary!$N24)&lt;12,Summary!$P24,IF(MOD(CO$2,12)=MOD(Summary!$N24,12),(Summary!$P24*((1+Summary!$K$20)^((CO$2-12-MOD(Summary!$N24,12))/12))),HLOOKUP(CN$3,$E$3:$DV32,24,FALSE))))</f>
        <v>447.76961119837495</v>
      </c>
      <c r="CP26" s="46">
        <f>IF(AND(Summary!$N24&lt;='Cash Flow Statement'!CP$2,'Cash Flow Statement'!CP$2&lt;=Summary!$O24),IF((CP$2-Summary!$N24)&lt;12,Summary!$P24,IF(MOD(CP$2,12)=MOD(Summary!$N24,12),(Summary!$P24*((1+Summary!$K$20)^((CP$2-12-MOD(Summary!$N24,12))/12))),HLOOKUP(CO$3,$E$3:$DV32,24,FALSE))))</f>
        <v>447.76961119837495</v>
      </c>
      <c r="CQ26" s="46">
        <f>IF(AND(Summary!$N24&lt;='Cash Flow Statement'!CQ$2,'Cash Flow Statement'!CQ$2&lt;=Summary!$O24),IF((CQ$2-Summary!$N24)&lt;12,Summary!$P24,IF(MOD(CQ$2,12)=MOD(Summary!$N24,12),(Summary!$P24*((1+Summary!$K$20)^((CQ$2-12-MOD(Summary!$N24,12))/12))),HLOOKUP(CP$3,$E$3:$DV32,24,FALSE))))</f>
        <v>447.76961119837495</v>
      </c>
      <c r="CR26" s="46">
        <f>IF(AND(Summary!$N24&lt;='Cash Flow Statement'!CR$2,'Cash Flow Statement'!CR$2&lt;=Summary!$O24),IF((CR$2-Summary!$N24)&lt;12,Summary!$P24,IF(MOD(CR$2,12)=MOD(Summary!$N24,12),(Summary!$P24*((1+Summary!$K$20)^((CR$2-12-MOD(Summary!$N24,12))/12))),HLOOKUP(CQ$3,$E$3:$DV32,24,FALSE))))</f>
        <v>447.76961119837495</v>
      </c>
      <c r="CS26" s="46">
        <f>IF(AND(Summary!$N24&lt;='Cash Flow Statement'!CS$2,'Cash Flow Statement'!CS$2&lt;=Summary!$O24),IF((CS$2-Summary!$N24)&lt;12,Summary!$P24,IF(MOD(CS$2,12)=MOD(Summary!$N24,12),(Summary!$P24*((1+Summary!$K$20)^((CS$2-12-MOD(Summary!$N24,12))/12))),HLOOKUP(CR$3,$E$3:$DV32,24,FALSE))))</f>
        <v>447.76961119837495</v>
      </c>
      <c r="CT26" s="46">
        <f>IF(AND(Summary!$N24&lt;='Cash Flow Statement'!CT$2,'Cash Flow Statement'!CT$2&lt;=Summary!$O24),IF((CT$2-Summary!$N24)&lt;12,Summary!$P24,IF(MOD(CT$2,12)=MOD(Summary!$N24,12),(Summary!$P24*((1+Summary!$K$20)^((CT$2-12-MOD(Summary!$N24,12))/12))),HLOOKUP(CS$3,$E$3:$DV32,24,FALSE))))</f>
        <v>447.76961119837495</v>
      </c>
      <c r="CU26" s="46">
        <f>IF(AND(Summary!$N24&lt;='Cash Flow Statement'!CU$2,'Cash Flow Statement'!CU$2&lt;=Summary!$O24),IF((CU$2-Summary!$N24)&lt;12,Summary!$P24,IF(MOD(CU$2,12)=MOD(Summary!$N24,12),(Summary!$P24*((1+Summary!$K$20)^((CU$2-12-MOD(Summary!$N24,12))/12))),HLOOKUP(CT$3,$E$3:$DV32,24,FALSE))))</f>
        <v>447.76961119837495</v>
      </c>
      <c r="CV26" s="46">
        <f>IF(AND(Summary!$N24&lt;='Cash Flow Statement'!CV$2,'Cash Flow Statement'!CV$2&lt;=Summary!$O24),IF((CV$2-Summary!$N24)&lt;12,Summary!$P24,IF(MOD(CV$2,12)=MOD(Summary!$N24,12),(Summary!$P24*((1+Summary!$K$20)^((CV$2-12-MOD(Summary!$N24,12))/12))),HLOOKUP(CU$3,$E$3:$DV32,24,FALSE))))</f>
        <v>447.76961119837495</v>
      </c>
      <c r="CW26" s="46">
        <f>IF(AND(Summary!$N24&lt;='Cash Flow Statement'!CW$2,'Cash Flow Statement'!CW$2&lt;=Summary!$O24),IF((CW$2-Summary!$N24)&lt;12,Summary!$P24,IF(MOD(CW$2,12)=MOD(Summary!$N24,12),(Summary!$P24*((1+Summary!$K$20)^((CW$2-12-MOD(Summary!$N24,12))/12))),HLOOKUP(CV$3,$E$3:$DV32,24,FALSE))))</f>
        <v>461.20269953432626</v>
      </c>
      <c r="CX26" s="46">
        <f>IF(AND(Summary!$N24&lt;='Cash Flow Statement'!CX$2,'Cash Flow Statement'!CX$2&lt;=Summary!$O24),IF((CX$2-Summary!$N24)&lt;12,Summary!$P24,IF(MOD(CX$2,12)=MOD(Summary!$N24,12),(Summary!$P24*((1+Summary!$K$20)^((CX$2-12-MOD(Summary!$N24,12))/12))),HLOOKUP(CW$3,$E$3:$DV32,24,FALSE))))</f>
        <v>461.20269953432626</v>
      </c>
      <c r="CY26" s="46">
        <f>IF(AND(Summary!$N24&lt;='Cash Flow Statement'!CY$2,'Cash Flow Statement'!CY$2&lt;=Summary!$O24),IF((CY$2-Summary!$N24)&lt;12,Summary!$P24,IF(MOD(CY$2,12)=MOD(Summary!$N24,12),(Summary!$P24*((1+Summary!$K$20)^((CY$2-12-MOD(Summary!$N24,12))/12))),HLOOKUP(CX$3,$E$3:$DV32,24,FALSE))))</f>
        <v>461.20269953432626</v>
      </c>
      <c r="CZ26" s="46">
        <f>IF(AND(Summary!$N24&lt;='Cash Flow Statement'!CZ$2,'Cash Flow Statement'!CZ$2&lt;=Summary!$O24),IF((CZ$2-Summary!$N24)&lt;12,Summary!$P24,IF(MOD(CZ$2,12)=MOD(Summary!$N24,12),(Summary!$P24*((1+Summary!$K$20)^((CZ$2-12-MOD(Summary!$N24,12))/12))),HLOOKUP(CY$3,$E$3:$DV32,24,FALSE))))</f>
        <v>461.20269953432626</v>
      </c>
      <c r="DA26" s="46">
        <f>IF(AND(Summary!$N24&lt;='Cash Flow Statement'!DA$2,'Cash Flow Statement'!DA$2&lt;=Summary!$O24),IF((DA$2-Summary!$N24)&lt;12,Summary!$P24,IF(MOD(DA$2,12)=MOD(Summary!$N24,12),(Summary!$P24*((1+Summary!$K$20)^((DA$2-12-MOD(Summary!$N24,12))/12))),HLOOKUP(CZ$3,$E$3:$DV32,24,FALSE))))</f>
        <v>461.20269953432626</v>
      </c>
      <c r="DB26" s="46">
        <f>IF(AND(Summary!$N24&lt;='Cash Flow Statement'!DB$2,'Cash Flow Statement'!DB$2&lt;=Summary!$O24),IF((DB$2-Summary!$N24)&lt;12,Summary!$P24,IF(MOD(DB$2,12)=MOD(Summary!$N24,12),(Summary!$P24*((1+Summary!$K$20)^((DB$2-12-MOD(Summary!$N24,12))/12))),HLOOKUP(DA$3,$E$3:$DV32,24,FALSE))))</f>
        <v>461.20269953432626</v>
      </c>
      <c r="DC26" s="46">
        <f>IF(AND(Summary!$N24&lt;='Cash Flow Statement'!DC$2,'Cash Flow Statement'!DC$2&lt;=Summary!$O24),IF((DC$2-Summary!$N24)&lt;12,Summary!$P24,IF(MOD(DC$2,12)=MOD(Summary!$N24,12),(Summary!$P24*((1+Summary!$K$20)^((DC$2-12-MOD(Summary!$N24,12))/12))),HLOOKUP(DB$3,$E$3:$DV32,24,FALSE))))</f>
        <v>461.20269953432626</v>
      </c>
      <c r="DD26" s="46">
        <f>IF(AND(Summary!$N24&lt;='Cash Flow Statement'!DD$2,'Cash Flow Statement'!DD$2&lt;=Summary!$O24),IF((DD$2-Summary!$N24)&lt;12,Summary!$P24,IF(MOD(DD$2,12)=MOD(Summary!$N24,12),(Summary!$P24*((1+Summary!$K$20)^((DD$2-12-MOD(Summary!$N24,12))/12))),HLOOKUP(DC$3,$E$3:$DV32,24,FALSE))))</f>
        <v>461.20269953432626</v>
      </c>
      <c r="DE26" s="46">
        <f>IF(AND(Summary!$N24&lt;='Cash Flow Statement'!DE$2,'Cash Flow Statement'!DE$2&lt;=Summary!$O24),IF((DE$2-Summary!$N24)&lt;12,Summary!$P24,IF(MOD(DE$2,12)=MOD(Summary!$N24,12),(Summary!$P24*((1+Summary!$K$20)^((DE$2-12-MOD(Summary!$N24,12))/12))),HLOOKUP(DD$3,$E$3:$DV32,24,FALSE))))</f>
        <v>461.20269953432626</v>
      </c>
      <c r="DF26" s="46">
        <f>IF(AND(Summary!$N24&lt;='Cash Flow Statement'!DF$2,'Cash Flow Statement'!DF$2&lt;=Summary!$O24),IF((DF$2-Summary!$N24)&lt;12,Summary!$P24,IF(MOD(DF$2,12)=MOD(Summary!$N24,12),(Summary!$P24*((1+Summary!$K$20)^((DF$2-12-MOD(Summary!$N24,12))/12))),HLOOKUP(DE$3,$E$3:$DV32,24,FALSE))))</f>
        <v>461.20269953432626</v>
      </c>
      <c r="DG26" s="46">
        <f>IF(AND(Summary!$N24&lt;='Cash Flow Statement'!DG$2,'Cash Flow Statement'!DG$2&lt;=Summary!$O24),IF((DG$2-Summary!$N24)&lt;12,Summary!$P24,IF(MOD(DG$2,12)=MOD(Summary!$N24,12),(Summary!$P24*((1+Summary!$K$20)^((DG$2-12-MOD(Summary!$N24,12))/12))),HLOOKUP(DF$3,$E$3:$DV32,24,FALSE))))</f>
        <v>461.20269953432626</v>
      </c>
      <c r="DH26" s="46">
        <f>IF(AND(Summary!$N24&lt;='Cash Flow Statement'!DH$2,'Cash Flow Statement'!DH$2&lt;=Summary!$O24),IF((DH$2-Summary!$N24)&lt;12,Summary!$P24,IF(MOD(DH$2,12)=MOD(Summary!$N24,12),(Summary!$P24*((1+Summary!$K$20)^((DH$2-12-MOD(Summary!$N24,12))/12))),HLOOKUP(DG$3,$E$3:$DV32,24,FALSE))))</f>
        <v>461.20269953432626</v>
      </c>
      <c r="DI26" s="46">
        <f>IF(AND(Summary!$N24&lt;='Cash Flow Statement'!DI$2,'Cash Flow Statement'!DI$2&lt;=Summary!$O24),IF((DI$2-Summary!$N24)&lt;12,Summary!$P24,IF(MOD(DI$2,12)=MOD(Summary!$N24,12),(Summary!$P24*((1+Summary!$K$20)^((DI$2-12-MOD(Summary!$N24,12))/12))),HLOOKUP(DH$3,$E$3:$DV32,24,FALSE))))</f>
        <v>475.038780520356</v>
      </c>
      <c r="DJ26" s="46">
        <f>IF(AND(Summary!$N24&lt;='Cash Flow Statement'!DJ$2,'Cash Flow Statement'!DJ$2&lt;=Summary!$O24),IF((DJ$2-Summary!$N24)&lt;12,Summary!$P24,IF(MOD(DJ$2,12)=MOD(Summary!$N24,12),(Summary!$P24*((1+Summary!$K$20)^((DJ$2-12-MOD(Summary!$N24,12))/12))),HLOOKUP(DI$3,$E$3:$DV32,24,FALSE))))</f>
        <v>475.038780520356</v>
      </c>
      <c r="DK26" s="46">
        <f>IF(AND(Summary!$N24&lt;='Cash Flow Statement'!DK$2,'Cash Flow Statement'!DK$2&lt;=Summary!$O24),IF((DK$2-Summary!$N24)&lt;12,Summary!$P24,IF(MOD(DK$2,12)=MOD(Summary!$N24,12),(Summary!$P24*((1+Summary!$K$20)^((DK$2-12-MOD(Summary!$N24,12))/12))),HLOOKUP(DJ$3,$E$3:$DV32,24,FALSE))))</f>
        <v>475.038780520356</v>
      </c>
      <c r="DL26" s="46">
        <f>IF(AND(Summary!$N24&lt;='Cash Flow Statement'!DL$2,'Cash Flow Statement'!DL$2&lt;=Summary!$O24),IF((DL$2-Summary!$N24)&lt;12,Summary!$P24,IF(MOD(DL$2,12)=MOD(Summary!$N24,12),(Summary!$P24*((1+Summary!$K$20)^((DL$2-12-MOD(Summary!$N24,12))/12))),HLOOKUP(DK$3,$E$3:$DV32,24,FALSE))))</f>
        <v>475.038780520356</v>
      </c>
      <c r="DM26" s="46">
        <f>IF(AND(Summary!$N24&lt;='Cash Flow Statement'!DM$2,'Cash Flow Statement'!DM$2&lt;=Summary!$O24),IF((DM$2-Summary!$N24)&lt;12,Summary!$P24,IF(MOD(DM$2,12)=MOD(Summary!$N24,12),(Summary!$P24*((1+Summary!$K$20)^((DM$2-12-MOD(Summary!$N24,12))/12))),HLOOKUP(DL$3,$E$3:$DV32,24,FALSE))))</f>
        <v>475.038780520356</v>
      </c>
      <c r="DN26" s="46">
        <f>IF(AND(Summary!$N24&lt;='Cash Flow Statement'!DN$2,'Cash Flow Statement'!DN$2&lt;=Summary!$O24),IF((DN$2-Summary!$N24)&lt;12,Summary!$P24,IF(MOD(DN$2,12)=MOD(Summary!$N24,12),(Summary!$P24*((1+Summary!$K$20)^((DN$2-12-MOD(Summary!$N24,12))/12))),HLOOKUP(DM$3,$E$3:$DV32,24,FALSE))))</f>
        <v>475.038780520356</v>
      </c>
      <c r="DO26" s="46">
        <f>IF(AND(Summary!$N24&lt;='Cash Flow Statement'!DO$2,'Cash Flow Statement'!DO$2&lt;=Summary!$O24),IF((DO$2-Summary!$N24)&lt;12,Summary!$P24,IF(MOD(DO$2,12)=MOD(Summary!$N24,12),(Summary!$P24*((1+Summary!$K$20)^((DO$2-12-MOD(Summary!$N24,12))/12))),HLOOKUP(DN$3,$E$3:$DV32,24,FALSE))))</f>
        <v>475.038780520356</v>
      </c>
      <c r="DP26" s="46">
        <f>IF(AND(Summary!$N24&lt;='Cash Flow Statement'!DP$2,'Cash Flow Statement'!DP$2&lt;=Summary!$O24),IF((DP$2-Summary!$N24)&lt;12,Summary!$P24,IF(MOD(DP$2,12)=MOD(Summary!$N24,12),(Summary!$P24*((1+Summary!$K$20)^((DP$2-12-MOD(Summary!$N24,12))/12))),HLOOKUP(DO$3,$E$3:$DV32,24,FALSE))))</f>
        <v>475.038780520356</v>
      </c>
      <c r="DQ26" s="46">
        <f>IF(AND(Summary!$N24&lt;='Cash Flow Statement'!DQ$2,'Cash Flow Statement'!DQ$2&lt;=Summary!$O24),IF((DQ$2-Summary!$N24)&lt;12,Summary!$P24,IF(MOD(DQ$2,12)=MOD(Summary!$N24,12),(Summary!$P24*((1+Summary!$K$20)^((DQ$2-12-MOD(Summary!$N24,12))/12))),HLOOKUP(DP$3,$E$3:$DV32,24,FALSE))))</f>
        <v>475.038780520356</v>
      </c>
      <c r="DR26" s="46">
        <f>IF(AND(Summary!$N24&lt;='Cash Flow Statement'!DR$2,'Cash Flow Statement'!DR$2&lt;=Summary!$O24),IF((DR$2-Summary!$N24)&lt;12,Summary!$P24,IF(MOD(DR$2,12)=MOD(Summary!$N24,12),(Summary!$P24*((1+Summary!$K$20)^((DR$2-12-MOD(Summary!$N24,12))/12))),HLOOKUP(DQ$3,$E$3:$DV32,24,FALSE))))</f>
        <v>475.038780520356</v>
      </c>
      <c r="DS26" s="46">
        <f>IF(AND(Summary!$N24&lt;='Cash Flow Statement'!DS$2,'Cash Flow Statement'!DS$2&lt;=Summary!$O24),IF((DS$2-Summary!$N24)&lt;12,Summary!$P24,IF(MOD(DS$2,12)=MOD(Summary!$N24,12),(Summary!$P24*((1+Summary!$K$20)^((DS$2-12-MOD(Summary!$N24,12))/12))),HLOOKUP(DR$3,$E$3:$DV32,24,FALSE))))</f>
        <v>475.038780520356</v>
      </c>
      <c r="DT26" s="46">
        <f>IF(AND(Summary!$N24&lt;='Cash Flow Statement'!DT$2,'Cash Flow Statement'!DT$2&lt;=Summary!$O24),IF((DT$2-Summary!$N24)&lt;12,Summary!$P24,IF(MOD(DT$2,12)=MOD(Summary!$N24,12),(Summary!$P24*((1+Summary!$K$20)^((DT$2-12-MOD(Summary!$N24,12))/12))),HLOOKUP(DS$3,$E$3:$DV32,24,FALSE))))</f>
        <v>475.038780520356</v>
      </c>
      <c r="DU26" s="46">
        <f>IF(AND(Summary!$N24&lt;='Cash Flow Statement'!DU$2,'Cash Flow Statement'!DU$2&lt;=Summary!$O24),IF((DU$2-Summary!$N24)&lt;12,Summary!$P24,IF(MOD(DU$2,12)=MOD(Summary!$N24,12),(Summary!$P24*((1+Summary!$K$20)^((DU$2-12-MOD(Summary!$N24,12))/12))),HLOOKUP(DT$3,$E$3:$DV32,24,FALSE))))</f>
        <v>489.28994393596668</v>
      </c>
      <c r="DV26" s="135"/>
    </row>
    <row r="27" spans="1:126" x14ac:dyDescent="0.2">
      <c r="A27" s="81"/>
      <c r="B27" s="81" t="str">
        <f>Summary!J25</f>
        <v>Real Estate Taxes</v>
      </c>
      <c r="C27" s="44"/>
      <c r="D27" s="132">
        <f t="shared" si="17"/>
        <v>7700.8779197204458</v>
      </c>
      <c r="E27" s="134" t="b">
        <f>IF(AND(Summary!$N25&lt;='Cash Flow Statement'!E$2,'Cash Flow Statement'!E$2&lt;=Summary!$O25),IF((E$2-Summary!$N25)&lt;12,Summary!$P25,IF(MOD(E$2,12)=MOD(Summary!$N25,12),(Summary!$P25*((1+Summary!$K$20)^((E$2-12-MOD(Summary!$N25,12))/12))),HLOOKUP(D$3,$E$3:$DV32,25,FALSE))))</f>
        <v>0</v>
      </c>
      <c r="F27" s="46" t="b">
        <f>IF(AND(Summary!$N25&lt;='Cash Flow Statement'!F$2,'Cash Flow Statement'!F$2&lt;=Summary!$O25),IF((F$2-Summary!$N25)&lt;12,Summary!$P25,IF(MOD(F$2,12)=MOD(Summary!$N25,12),(Summary!$P25*((1+Summary!$K$20)^((F$2-12-MOD(Summary!$N25,12))/12))),HLOOKUP(E$3,$E$3:$DV32,25,FALSE))))</f>
        <v>0</v>
      </c>
      <c r="G27" s="46" t="b">
        <f>IF(AND(Summary!$N25&lt;='Cash Flow Statement'!G$2,'Cash Flow Statement'!G$2&lt;=Summary!$O25),IF((G$2-Summary!$N25)&lt;12,Summary!$P25,IF(MOD(G$2,12)=MOD(Summary!$N25,12),(Summary!$P25*((1+Summary!$K$20)^((G$2-12-MOD(Summary!$N25,12))/12))),HLOOKUP(F$3,$E$3:$DV32,25,FALSE))))</f>
        <v>0</v>
      </c>
      <c r="H27" s="46" t="b">
        <f>IF(AND(Summary!$N25&lt;='Cash Flow Statement'!H$2,'Cash Flow Statement'!H$2&lt;=Summary!$O25),IF((H$2-Summary!$N25)&lt;12,Summary!$P25,IF(MOD(H$2,12)=MOD(Summary!$N25,12),(Summary!$P25*((1+Summary!$K$20)^((H$2-12-MOD(Summary!$N25,12))/12))),HLOOKUP(G$3,$E$3:$DV32,25,FALSE))))</f>
        <v>0</v>
      </c>
      <c r="I27" s="46" t="b">
        <f>IF(AND(Summary!$N25&lt;='Cash Flow Statement'!I$2,'Cash Flow Statement'!I$2&lt;=Summary!$O25),IF((I$2-Summary!$N25)&lt;12,Summary!$P25,IF(MOD(I$2,12)=MOD(Summary!$N25,12),(Summary!$P25*((1+Summary!$K$20)^((I$2-12-MOD(Summary!$N25,12))/12))),HLOOKUP(H$3,$E$3:$DV32,25,FALSE))))</f>
        <v>0</v>
      </c>
      <c r="J27" s="46" t="b">
        <f>IF(AND(Summary!$N25&lt;='Cash Flow Statement'!J$2,'Cash Flow Statement'!J$2&lt;=Summary!$O25),IF((J$2-Summary!$N25)&lt;12,Summary!$P25,IF(MOD(J$2,12)=MOD(Summary!$N25,12),(Summary!$P25*((1+Summary!$K$20)^((J$2-12-MOD(Summary!$N25,12))/12))),HLOOKUP(I$3,$E$3:$DV32,25,FALSE))))</f>
        <v>0</v>
      </c>
      <c r="K27" s="46" t="b">
        <f>IF(AND(Summary!$N25&lt;='Cash Flow Statement'!K$2,'Cash Flow Statement'!K$2&lt;=Summary!$O25),IF((K$2-Summary!$N25)&lt;12,Summary!$P25,IF(MOD(K$2,12)=MOD(Summary!$N25,12),(Summary!$P25*((1+Summary!$K$20)^((K$2-12-MOD(Summary!$N25,12))/12))),HLOOKUP(J$3,$E$3:$DV32,25,FALSE))))</f>
        <v>0</v>
      </c>
      <c r="L27" s="46" t="b">
        <f>IF(AND(Summary!$N25&lt;='Cash Flow Statement'!L$2,'Cash Flow Statement'!L$2&lt;=Summary!$O25),IF((L$2-Summary!$N25)&lt;12,Summary!$P25,IF(MOD(L$2,12)=MOD(Summary!$N25,12),(Summary!$P25*((1+Summary!$K$20)^((L$2-12-MOD(Summary!$N25,12))/12))),HLOOKUP(K$3,$E$3:$DV32,25,FALSE))))</f>
        <v>0</v>
      </c>
      <c r="M27" s="46" t="b">
        <f>IF(AND(Summary!$N25&lt;='Cash Flow Statement'!M$2,'Cash Flow Statement'!M$2&lt;=Summary!$O25),IF((M$2-Summary!$N25)&lt;12,Summary!$P25,IF(MOD(M$2,12)=MOD(Summary!$N25,12),(Summary!$P25*((1+Summary!$K$20)^((M$2-12-MOD(Summary!$N25,12))/12))),HLOOKUP(L$3,$E$3:$DV32,25,FALSE))))</f>
        <v>0</v>
      </c>
      <c r="N27" s="46" t="b">
        <f>IF(AND(Summary!$N25&lt;='Cash Flow Statement'!N$2,'Cash Flow Statement'!N$2&lt;=Summary!$O25),IF((N$2-Summary!$N25)&lt;12,Summary!$P25,IF(MOD(N$2,12)=MOD(Summary!$N25,12),(Summary!$P25*((1+Summary!$K$20)^((N$2-12-MOD(Summary!$N25,12))/12))),HLOOKUP(M$3,$E$3:$DV32,25,FALSE))))</f>
        <v>0</v>
      </c>
      <c r="O27" s="46" t="b">
        <f>IF(AND(Summary!$N25&lt;='Cash Flow Statement'!O$2,'Cash Flow Statement'!O$2&lt;=Summary!$O25),IF((O$2-Summary!$N25)&lt;12,Summary!$P25,IF(MOD(O$2,12)=MOD(Summary!$N25,12),(Summary!$P25*((1+Summary!$K$20)^((O$2-12-MOD(Summary!$N25,12))/12))),HLOOKUP(N$3,$E$3:$DV32,25,FALSE))))</f>
        <v>0</v>
      </c>
      <c r="P27" s="46" t="b">
        <f>IF(AND(Summary!$N25&lt;='Cash Flow Statement'!P$2,'Cash Flow Statement'!P$2&lt;=Summary!$O25),IF((P$2-Summary!$N25)&lt;12,Summary!$P25,IF(MOD(P$2,12)=MOD(Summary!$N25,12),(Summary!$P25*((1+Summary!$K$20)^((P$2-12-MOD(Summary!$N25,12))/12))),HLOOKUP(O$3,$E$3:$DV32,25,FALSE))))</f>
        <v>0</v>
      </c>
      <c r="Q27" s="46">
        <f>IF(AND(Summary!$N25&lt;='Cash Flow Statement'!Q$2,'Cash Flow Statement'!Q$2&lt;=Summary!$O25),IF((Q$2-Summary!$N25)&lt;12,Summary!$P25,IF(MOD(Q$2,12)=MOD(Summary!$N25,12),(Summary!$P25*((1+Summary!$K$20)^((Q$2-12-MOD(Summary!$N25,12))/12))),HLOOKUP(P$3,$E$3:$DV32,25,FALSE))))</f>
        <v>62.5</v>
      </c>
      <c r="R27" s="46">
        <f>IF(AND(Summary!$N25&lt;='Cash Flow Statement'!R$2,'Cash Flow Statement'!R$2&lt;=Summary!$O25),IF((R$2-Summary!$N25)&lt;12,Summary!$P25,IF(MOD(R$2,12)=MOD(Summary!$N25,12),(Summary!$P25*((1+Summary!$K$20)^((R$2-12-MOD(Summary!$N25,12))/12))),HLOOKUP(Q$3,$E$3:$DV32,25,FALSE))))</f>
        <v>62.5</v>
      </c>
      <c r="S27" s="46">
        <f>IF(AND(Summary!$N25&lt;='Cash Flow Statement'!S$2,'Cash Flow Statement'!S$2&lt;=Summary!$O25),IF((S$2-Summary!$N25)&lt;12,Summary!$P25,IF(MOD(S$2,12)=MOD(Summary!$N25,12),(Summary!$P25*((1+Summary!$K$20)^((S$2-12-MOD(Summary!$N25,12))/12))),HLOOKUP(R$3,$E$3:$DV32,25,FALSE))))</f>
        <v>62.5</v>
      </c>
      <c r="T27" s="46">
        <f>IF(AND(Summary!$N25&lt;='Cash Flow Statement'!T$2,'Cash Flow Statement'!T$2&lt;=Summary!$O25),IF((T$2-Summary!$N25)&lt;12,Summary!$P25,IF(MOD(T$2,12)=MOD(Summary!$N25,12),(Summary!$P25*((1+Summary!$K$20)^((T$2-12-MOD(Summary!$N25,12))/12))),HLOOKUP(S$3,$E$3:$DV32,25,FALSE))))</f>
        <v>62.5</v>
      </c>
      <c r="U27" s="46">
        <f>IF(AND(Summary!$N25&lt;='Cash Flow Statement'!U$2,'Cash Flow Statement'!U$2&lt;=Summary!$O25),IF((U$2-Summary!$N25)&lt;12,Summary!$P25,IF(MOD(U$2,12)=MOD(Summary!$N25,12),(Summary!$P25*((1+Summary!$K$20)^((U$2-12-MOD(Summary!$N25,12))/12))),HLOOKUP(T$3,$E$3:$DV32,25,FALSE))))</f>
        <v>62.5</v>
      </c>
      <c r="V27" s="46">
        <f>IF(AND(Summary!$N25&lt;='Cash Flow Statement'!V$2,'Cash Flow Statement'!V$2&lt;=Summary!$O25),IF((V$2-Summary!$N25)&lt;12,Summary!$P25,IF(MOD(V$2,12)=MOD(Summary!$N25,12),(Summary!$P25*((1+Summary!$K$20)^((V$2-12-MOD(Summary!$N25,12))/12))),HLOOKUP(U$3,$E$3:$DV32,25,FALSE))))</f>
        <v>62.5</v>
      </c>
      <c r="W27" s="46">
        <f>IF(AND(Summary!$N25&lt;='Cash Flow Statement'!W$2,'Cash Flow Statement'!W$2&lt;=Summary!$O25),IF((W$2-Summary!$N25)&lt;12,Summary!$P25,IF(MOD(W$2,12)=MOD(Summary!$N25,12),(Summary!$P25*((1+Summary!$K$20)^((W$2-12-MOD(Summary!$N25,12))/12))),HLOOKUP(V$3,$E$3:$DV32,25,FALSE))))</f>
        <v>62.5</v>
      </c>
      <c r="X27" s="46">
        <f>IF(AND(Summary!$N25&lt;='Cash Flow Statement'!X$2,'Cash Flow Statement'!X$2&lt;=Summary!$O25),IF((X$2-Summary!$N25)&lt;12,Summary!$P25,IF(MOD(X$2,12)=MOD(Summary!$N25,12),(Summary!$P25*((1+Summary!$K$20)^((X$2-12-MOD(Summary!$N25,12))/12))),HLOOKUP(W$3,$E$3:$DV32,25,FALSE))))</f>
        <v>62.5</v>
      </c>
      <c r="Y27" s="46">
        <f>IF(AND(Summary!$N25&lt;='Cash Flow Statement'!Y$2,'Cash Flow Statement'!Y$2&lt;=Summary!$O25),IF((Y$2-Summary!$N25)&lt;12,Summary!$P25,IF(MOD(Y$2,12)=MOD(Summary!$N25,12),(Summary!$P25*((1+Summary!$K$20)^((Y$2-12-MOD(Summary!$N25,12))/12))),HLOOKUP(X$3,$E$3:$DV32,25,FALSE))))</f>
        <v>62.5</v>
      </c>
      <c r="Z27" s="46">
        <f>IF(AND(Summary!$N25&lt;='Cash Flow Statement'!Z$2,'Cash Flow Statement'!Z$2&lt;=Summary!$O25),IF((Z$2-Summary!$N25)&lt;12,Summary!$P25,IF(MOD(Z$2,12)=MOD(Summary!$N25,12),(Summary!$P25*((1+Summary!$K$20)^((Z$2-12-MOD(Summary!$N25,12))/12))),HLOOKUP(Y$3,$E$3:$DV32,25,FALSE))))</f>
        <v>62.5</v>
      </c>
      <c r="AA27" s="46">
        <f>IF(AND(Summary!$N25&lt;='Cash Flow Statement'!AA$2,'Cash Flow Statement'!AA$2&lt;=Summary!$O25),IF((AA$2-Summary!$N25)&lt;12,Summary!$P25,IF(MOD(AA$2,12)=MOD(Summary!$N25,12),(Summary!$P25*((1+Summary!$K$20)^((AA$2-12-MOD(Summary!$N25,12))/12))),HLOOKUP(Z$3,$E$3:$DV32,25,FALSE))))</f>
        <v>62.5</v>
      </c>
      <c r="AB27" s="46">
        <f>IF(AND(Summary!$N25&lt;='Cash Flow Statement'!AB$2,'Cash Flow Statement'!AB$2&lt;=Summary!$O25),IF((AB$2-Summary!$N25)&lt;12,Summary!$P25,IF(MOD(AB$2,12)=MOD(Summary!$N25,12),(Summary!$P25*((1+Summary!$K$20)^((AB$2-12-MOD(Summary!$N25,12))/12))),HLOOKUP(AA$3,$E$3:$DV32,25,FALSE))))</f>
        <v>62.5</v>
      </c>
      <c r="AC27" s="46">
        <f>IF(AND(Summary!$N25&lt;='Cash Flow Statement'!AC$2,'Cash Flow Statement'!AC$2&lt;=Summary!$O25),IF((AC$2-Summary!$N25)&lt;12,Summary!$P25,IF(MOD(AC$2,12)=MOD(Summary!$N25,12),(Summary!$P25*((1+Summary!$K$20)^((AC$2-12-MOD(Summary!$N25,12))/12))),HLOOKUP(AB$3,$E$3:$DV32,25,FALSE))))</f>
        <v>64.375</v>
      </c>
      <c r="AD27" s="46">
        <f>IF(AND(Summary!$N25&lt;='Cash Flow Statement'!AD$2,'Cash Flow Statement'!AD$2&lt;=Summary!$O25),IF((AD$2-Summary!$N25)&lt;12,Summary!$P25,IF(MOD(AD$2,12)=MOD(Summary!$N25,12),(Summary!$P25*((1+Summary!$K$20)^((AD$2-12-MOD(Summary!$N25,12))/12))),HLOOKUP(AC$3,$E$3:$DV32,25,FALSE))))</f>
        <v>64.375</v>
      </c>
      <c r="AE27" s="46">
        <f>IF(AND(Summary!$N25&lt;='Cash Flow Statement'!AE$2,'Cash Flow Statement'!AE$2&lt;=Summary!$O25),IF((AE$2-Summary!$N25)&lt;12,Summary!$P25,IF(MOD(AE$2,12)=MOD(Summary!$N25,12),(Summary!$P25*((1+Summary!$K$20)^((AE$2-12-MOD(Summary!$N25,12))/12))),HLOOKUP(AD$3,$E$3:$DV32,25,FALSE))))</f>
        <v>64.375</v>
      </c>
      <c r="AF27" s="46">
        <f>IF(AND(Summary!$N25&lt;='Cash Flow Statement'!AF$2,'Cash Flow Statement'!AF$2&lt;=Summary!$O25),IF((AF$2-Summary!$N25)&lt;12,Summary!$P25,IF(MOD(AF$2,12)=MOD(Summary!$N25,12),(Summary!$P25*((1+Summary!$K$20)^((AF$2-12-MOD(Summary!$N25,12))/12))),HLOOKUP(AE$3,$E$3:$DV32,25,FALSE))))</f>
        <v>64.375</v>
      </c>
      <c r="AG27" s="46">
        <f>IF(AND(Summary!$N25&lt;='Cash Flow Statement'!AG$2,'Cash Flow Statement'!AG$2&lt;=Summary!$O25),IF((AG$2-Summary!$N25)&lt;12,Summary!$P25,IF(MOD(AG$2,12)=MOD(Summary!$N25,12),(Summary!$P25*((1+Summary!$K$20)^((AG$2-12-MOD(Summary!$N25,12))/12))),HLOOKUP(AF$3,$E$3:$DV32,25,FALSE))))</f>
        <v>64.375</v>
      </c>
      <c r="AH27" s="46">
        <f>IF(AND(Summary!$N25&lt;='Cash Flow Statement'!AH$2,'Cash Flow Statement'!AH$2&lt;=Summary!$O25),IF((AH$2-Summary!$N25)&lt;12,Summary!$P25,IF(MOD(AH$2,12)=MOD(Summary!$N25,12),(Summary!$P25*((1+Summary!$K$20)^((AH$2-12-MOD(Summary!$N25,12))/12))),HLOOKUP(AG$3,$E$3:$DV32,25,FALSE))))</f>
        <v>64.375</v>
      </c>
      <c r="AI27" s="46">
        <f>IF(AND(Summary!$N25&lt;='Cash Flow Statement'!AI$2,'Cash Flow Statement'!AI$2&lt;=Summary!$O25),IF((AI$2-Summary!$N25)&lt;12,Summary!$P25,IF(MOD(AI$2,12)=MOD(Summary!$N25,12),(Summary!$P25*((1+Summary!$K$20)^((AI$2-12-MOD(Summary!$N25,12))/12))),HLOOKUP(AH$3,$E$3:$DV32,25,FALSE))))</f>
        <v>64.375</v>
      </c>
      <c r="AJ27" s="46">
        <f>IF(AND(Summary!$N25&lt;='Cash Flow Statement'!AJ$2,'Cash Flow Statement'!AJ$2&lt;=Summary!$O25),IF((AJ$2-Summary!$N25)&lt;12,Summary!$P25,IF(MOD(AJ$2,12)=MOD(Summary!$N25,12),(Summary!$P25*((1+Summary!$K$20)^((AJ$2-12-MOD(Summary!$N25,12))/12))),HLOOKUP(AI$3,$E$3:$DV32,25,FALSE))))</f>
        <v>64.375</v>
      </c>
      <c r="AK27" s="46">
        <f>IF(AND(Summary!$N25&lt;='Cash Flow Statement'!AK$2,'Cash Flow Statement'!AK$2&lt;=Summary!$O25),IF((AK$2-Summary!$N25)&lt;12,Summary!$P25,IF(MOD(AK$2,12)=MOD(Summary!$N25,12),(Summary!$P25*((1+Summary!$K$20)^((AK$2-12-MOD(Summary!$N25,12))/12))),HLOOKUP(AJ$3,$E$3:$DV32,25,FALSE))))</f>
        <v>64.375</v>
      </c>
      <c r="AL27" s="46">
        <f>IF(AND(Summary!$N25&lt;='Cash Flow Statement'!AL$2,'Cash Flow Statement'!AL$2&lt;=Summary!$O25),IF((AL$2-Summary!$N25)&lt;12,Summary!$P25,IF(MOD(AL$2,12)=MOD(Summary!$N25,12),(Summary!$P25*((1+Summary!$K$20)^((AL$2-12-MOD(Summary!$N25,12))/12))),HLOOKUP(AK$3,$E$3:$DV32,25,FALSE))))</f>
        <v>64.375</v>
      </c>
      <c r="AM27" s="46">
        <f>IF(AND(Summary!$N25&lt;='Cash Flow Statement'!AM$2,'Cash Flow Statement'!AM$2&lt;=Summary!$O25),IF((AM$2-Summary!$N25)&lt;12,Summary!$P25,IF(MOD(AM$2,12)=MOD(Summary!$N25,12),(Summary!$P25*((1+Summary!$K$20)^((AM$2-12-MOD(Summary!$N25,12))/12))),HLOOKUP(AL$3,$E$3:$DV32,25,FALSE))))</f>
        <v>64.375</v>
      </c>
      <c r="AN27" s="46">
        <f>IF(AND(Summary!$N25&lt;='Cash Flow Statement'!AN$2,'Cash Flow Statement'!AN$2&lt;=Summary!$O25),IF((AN$2-Summary!$N25)&lt;12,Summary!$P25,IF(MOD(AN$2,12)=MOD(Summary!$N25,12),(Summary!$P25*((1+Summary!$K$20)^((AN$2-12-MOD(Summary!$N25,12))/12))),HLOOKUP(AM$3,$E$3:$DV32,25,FALSE))))</f>
        <v>64.375</v>
      </c>
      <c r="AO27" s="46">
        <f>IF(AND(Summary!$N25&lt;='Cash Flow Statement'!AO$2,'Cash Flow Statement'!AO$2&lt;=Summary!$O25),IF((AO$2-Summary!$N25)&lt;12,Summary!$P25,IF(MOD(AO$2,12)=MOD(Summary!$N25,12),(Summary!$P25*((1+Summary!$K$20)^((AO$2-12-MOD(Summary!$N25,12))/12))),HLOOKUP(AN$3,$E$3:$DV32,25,FALSE))))</f>
        <v>66.306249999999991</v>
      </c>
      <c r="AP27" s="46">
        <f>IF(AND(Summary!$N25&lt;='Cash Flow Statement'!AP$2,'Cash Flow Statement'!AP$2&lt;=Summary!$O25),IF((AP$2-Summary!$N25)&lt;12,Summary!$P25,IF(MOD(AP$2,12)=MOD(Summary!$N25,12),(Summary!$P25*((1+Summary!$K$20)^((AP$2-12-MOD(Summary!$N25,12))/12))),HLOOKUP(AO$3,$E$3:$DV32,25,FALSE))))</f>
        <v>66.306249999999991</v>
      </c>
      <c r="AQ27" s="46">
        <f>IF(AND(Summary!$N25&lt;='Cash Flow Statement'!AQ$2,'Cash Flow Statement'!AQ$2&lt;=Summary!$O25),IF((AQ$2-Summary!$N25)&lt;12,Summary!$P25,IF(MOD(AQ$2,12)=MOD(Summary!$N25,12),(Summary!$P25*((1+Summary!$K$20)^((AQ$2-12-MOD(Summary!$N25,12))/12))),HLOOKUP(AP$3,$E$3:$DV32,25,FALSE))))</f>
        <v>66.306249999999991</v>
      </c>
      <c r="AR27" s="46">
        <f>IF(AND(Summary!$N25&lt;='Cash Flow Statement'!AR$2,'Cash Flow Statement'!AR$2&lt;=Summary!$O25),IF((AR$2-Summary!$N25)&lt;12,Summary!$P25,IF(MOD(AR$2,12)=MOD(Summary!$N25,12),(Summary!$P25*((1+Summary!$K$20)^((AR$2-12-MOD(Summary!$N25,12))/12))),HLOOKUP(AQ$3,$E$3:$DV32,25,FALSE))))</f>
        <v>66.306249999999991</v>
      </c>
      <c r="AS27" s="46">
        <f>IF(AND(Summary!$N25&lt;='Cash Flow Statement'!AS$2,'Cash Flow Statement'!AS$2&lt;=Summary!$O25),IF((AS$2-Summary!$N25)&lt;12,Summary!$P25,IF(MOD(AS$2,12)=MOD(Summary!$N25,12),(Summary!$P25*((1+Summary!$K$20)^((AS$2-12-MOD(Summary!$N25,12))/12))),HLOOKUP(AR$3,$E$3:$DV32,25,FALSE))))</f>
        <v>66.306249999999991</v>
      </c>
      <c r="AT27" s="46">
        <f>IF(AND(Summary!$N25&lt;='Cash Flow Statement'!AT$2,'Cash Flow Statement'!AT$2&lt;=Summary!$O25),IF((AT$2-Summary!$N25)&lt;12,Summary!$P25,IF(MOD(AT$2,12)=MOD(Summary!$N25,12),(Summary!$P25*((1+Summary!$K$20)^((AT$2-12-MOD(Summary!$N25,12))/12))),HLOOKUP(AS$3,$E$3:$DV32,25,FALSE))))</f>
        <v>66.306249999999991</v>
      </c>
      <c r="AU27" s="46">
        <f>IF(AND(Summary!$N25&lt;='Cash Flow Statement'!AU$2,'Cash Flow Statement'!AU$2&lt;=Summary!$O25),IF((AU$2-Summary!$N25)&lt;12,Summary!$P25,IF(MOD(AU$2,12)=MOD(Summary!$N25,12),(Summary!$P25*((1+Summary!$K$20)^((AU$2-12-MOD(Summary!$N25,12))/12))),HLOOKUP(AT$3,$E$3:$DV32,25,FALSE))))</f>
        <v>66.306249999999991</v>
      </c>
      <c r="AV27" s="46">
        <f>IF(AND(Summary!$N25&lt;='Cash Flow Statement'!AV$2,'Cash Flow Statement'!AV$2&lt;=Summary!$O25),IF((AV$2-Summary!$N25)&lt;12,Summary!$P25,IF(MOD(AV$2,12)=MOD(Summary!$N25,12),(Summary!$P25*((1+Summary!$K$20)^((AV$2-12-MOD(Summary!$N25,12))/12))),HLOOKUP(AU$3,$E$3:$DV32,25,FALSE))))</f>
        <v>66.306249999999991</v>
      </c>
      <c r="AW27" s="46">
        <f>IF(AND(Summary!$N25&lt;='Cash Flow Statement'!AW$2,'Cash Flow Statement'!AW$2&lt;=Summary!$O25),IF((AW$2-Summary!$N25)&lt;12,Summary!$P25,IF(MOD(AW$2,12)=MOD(Summary!$N25,12),(Summary!$P25*((1+Summary!$K$20)^((AW$2-12-MOD(Summary!$N25,12))/12))),HLOOKUP(AV$3,$E$3:$DV32,25,FALSE))))</f>
        <v>66.306249999999991</v>
      </c>
      <c r="AX27" s="46">
        <f>IF(AND(Summary!$N25&lt;='Cash Flow Statement'!AX$2,'Cash Flow Statement'!AX$2&lt;=Summary!$O25),IF((AX$2-Summary!$N25)&lt;12,Summary!$P25,IF(MOD(AX$2,12)=MOD(Summary!$N25,12),(Summary!$P25*((1+Summary!$K$20)^((AX$2-12-MOD(Summary!$N25,12))/12))),HLOOKUP(AW$3,$E$3:$DV32,25,FALSE))))</f>
        <v>66.306249999999991</v>
      </c>
      <c r="AY27" s="46">
        <f>IF(AND(Summary!$N25&lt;='Cash Flow Statement'!AY$2,'Cash Flow Statement'!AY$2&lt;=Summary!$O25),IF((AY$2-Summary!$N25)&lt;12,Summary!$P25,IF(MOD(AY$2,12)=MOD(Summary!$N25,12),(Summary!$P25*((1+Summary!$K$20)^((AY$2-12-MOD(Summary!$N25,12))/12))),HLOOKUP(AX$3,$E$3:$DV32,25,FALSE))))</f>
        <v>66.306249999999991</v>
      </c>
      <c r="AZ27" s="46">
        <f>IF(AND(Summary!$N25&lt;='Cash Flow Statement'!AZ$2,'Cash Flow Statement'!AZ$2&lt;=Summary!$O25),IF((AZ$2-Summary!$N25)&lt;12,Summary!$P25,IF(MOD(AZ$2,12)=MOD(Summary!$N25,12),(Summary!$P25*((1+Summary!$K$20)^((AZ$2-12-MOD(Summary!$N25,12))/12))),HLOOKUP(AY$3,$E$3:$DV32,25,FALSE))))</f>
        <v>66.306249999999991</v>
      </c>
      <c r="BA27" s="46">
        <f>IF(AND(Summary!$N25&lt;='Cash Flow Statement'!BA$2,'Cash Flow Statement'!BA$2&lt;=Summary!$O25),IF((BA$2-Summary!$N25)&lt;12,Summary!$P25,IF(MOD(BA$2,12)=MOD(Summary!$N25,12),(Summary!$P25*((1+Summary!$K$20)^((BA$2-12-MOD(Summary!$N25,12))/12))),HLOOKUP(AZ$3,$E$3:$DV32,25,FALSE))))</f>
        <v>68.295437500000006</v>
      </c>
      <c r="BB27" s="46">
        <f>IF(AND(Summary!$N25&lt;='Cash Flow Statement'!BB$2,'Cash Flow Statement'!BB$2&lt;=Summary!$O25),IF((BB$2-Summary!$N25)&lt;12,Summary!$P25,IF(MOD(BB$2,12)=MOD(Summary!$N25,12),(Summary!$P25*((1+Summary!$K$20)^((BB$2-12-MOD(Summary!$N25,12))/12))),HLOOKUP(BA$3,$E$3:$DV32,25,FALSE))))</f>
        <v>68.295437500000006</v>
      </c>
      <c r="BC27" s="46">
        <f>IF(AND(Summary!$N25&lt;='Cash Flow Statement'!BC$2,'Cash Flow Statement'!BC$2&lt;=Summary!$O25),IF((BC$2-Summary!$N25)&lt;12,Summary!$P25,IF(MOD(BC$2,12)=MOD(Summary!$N25,12),(Summary!$P25*((1+Summary!$K$20)^((BC$2-12-MOD(Summary!$N25,12))/12))),HLOOKUP(BB$3,$E$3:$DV32,25,FALSE))))</f>
        <v>68.295437500000006</v>
      </c>
      <c r="BD27" s="46">
        <f>IF(AND(Summary!$N25&lt;='Cash Flow Statement'!BD$2,'Cash Flow Statement'!BD$2&lt;=Summary!$O25),IF((BD$2-Summary!$N25)&lt;12,Summary!$P25,IF(MOD(BD$2,12)=MOD(Summary!$N25,12),(Summary!$P25*((1+Summary!$K$20)^((BD$2-12-MOD(Summary!$N25,12))/12))),HLOOKUP(BC$3,$E$3:$DV32,25,FALSE))))</f>
        <v>68.295437500000006</v>
      </c>
      <c r="BE27" s="46">
        <f>IF(AND(Summary!$N25&lt;='Cash Flow Statement'!BE$2,'Cash Flow Statement'!BE$2&lt;=Summary!$O25),IF((BE$2-Summary!$N25)&lt;12,Summary!$P25,IF(MOD(BE$2,12)=MOD(Summary!$N25,12),(Summary!$P25*((1+Summary!$K$20)^((BE$2-12-MOD(Summary!$N25,12))/12))),HLOOKUP(BD$3,$E$3:$DV32,25,FALSE))))</f>
        <v>68.295437500000006</v>
      </c>
      <c r="BF27" s="46">
        <f>IF(AND(Summary!$N25&lt;='Cash Flow Statement'!BF$2,'Cash Flow Statement'!BF$2&lt;=Summary!$O25),IF((BF$2-Summary!$N25)&lt;12,Summary!$P25,IF(MOD(BF$2,12)=MOD(Summary!$N25,12),(Summary!$P25*((1+Summary!$K$20)^((BF$2-12-MOD(Summary!$N25,12))/12))),HLOOKUP(BE$3,$E$3:$DV32,25,FALSE))))</f>
        <v>68.295437500000006</v>
      </c>
      <c r="BG27" s="46">
        <f>IF(AND(Summary!$N25&lt;='Cash Flow Statement'!BG$2,'Cash Flow Statement'!BG$2&lt;=Summary!$O25),IF((BG$2-Summary!$N25)&lt;12,Summary!$P25,IF(MOD(BG$2,12)=MOD(Summary!$N25,12),(Summary!$P25*((1+Summary!$K$20)^((BG$2-12-MOD(Summary!$N25,12))/12))),HLOOKUP(BF$3,$E$3:$DV32,25,FALSE))))</f>
        <v>68.295437500000006</v>
      </c>
      <c r="BH27" s="46">
        <f>IF(AND(Summary!$N25&lt;='Cash Flow Statement'!BH$2,'Cash Flow Statement'!BH$2&lt;=Summary!$O25),IF((BH$2-Summary!$N25)&lt;12,Summary!$P25,IF(MOD(BH$2,12)=MOD(Summary!$N25,12),(Summary!$P25*((1+Summary!$K$20)^((BH$2-12-MOD(Summary!$N25,12))/12))),HLOOKUP(BG$3,$E$3:$DV32,25,FALSE))))</f>
        <v>68.295437500000006</v>
      </c>
      <c r="BI27" s="46">
        <f>IF(AND(Summary!$N25&lt;='Cash Flow Statement'!BI$2,'Cash Flow Statement'!BI$2&lt;=Summary!$O25),IF((BI$2-Summary!$N25)&lt;12,Summary!$P25,IF(MOD(BI$2,12)=MOD(Summary!$N25,12),(Summary!$P25*((1+Summary!$K$20)^((BI$2-12-MOD(Summary!$N25,12))/12))),HLOOKUP(BH$3,$E$3:$DV32,25,FALSE))))</f>
        <v>68.295437500000006</v>
      </c>
      <c r="BJ27" s="46">
        <f>IF(AND(Summary!$N25&lt;='Cash Flow Statement'!BJ$2,'Cash Flow Statement'!BJ$2&lt;=Summary!$O25),IF((BJ$2-Summary!$N25)&lt;12,Summary!$P25,IF(MOD(BJ$2,12)=MOD(Summary!$N25,12),(Summary!$P25*((1+Summary!$K$20)^((BJ$2-12-MOD(Summary!$N25,12))/12))),HLOOKUP(BI$3,$E$3:$DV32,25,FALSE))))</f>
        <v>68.295437500000006</v>
      </c>
      <c r="BK27" s="46">
        <f>IF(AND(Summary!$N25&lt;='Cash Flow Statement'!BK$2,'Cash Flow Statement'!BK$2&lt;=Summary!$O25),IF((BK$2-Summary!$N25)&lt;12,Summary!$P25,IF(MOD(BK$2,12)=MOD(Summary!$N25,12),(Summary!$P25*((1+Summary!$K$20)^((BK$2-12-MOD(Summary!$N25,12))/12))),HLOOKUP(BJ$3,$E$3:$DV32,25,FALSE))))</f>
        <v>68.295437500000006</v>
      </c>
      <c r="BL27" s="46">
        <f>IF(AND(Summary!$N25&lt;='Cash Flow Statement'!BL$2,'Cash Flow Statement'!BL$2&lt;=Summary!$O25),IF((BL$2-Summary!$N25)&lt;12,Summary!$P25,IF(MOD(BL$2,12)=MOD(Summary!$N25,12),(Summary!$P25*((1+Summary!$K$20)^((BL$2-12-MOD(Summary!$N25,12))/12))),HLOOKUP(BK$3,$E$3:$DV32,25,FALSE))))</f>
        <v>68.295437500000006</v>
      </c>
      <c r="BM27" s="46">
        <f>IF(AND(Summary!$N25&lt;='Cash Flow Statement'!BM$2,'Cash Flow Statement'!BM$2&lt;=Summary!$O25),IF((BM$2-Summary!$N25)&lt;12,Summary!$P25,IF(MOD(BM$2,12)=MOD(Summary!$N25,12),(Summary!$P25*((1+Summary!$K$20)^((BM$2-12-MOD(Summary!$N25,12))/12))),HLOOKUP(BL$3,$E$3:$DV32,25,FALSE))))</f>
        <v>70.344300624999988</v>
      </c>
      <c r="BN27" s="46">
        <f>IF(AND(Summary!$N25&lt;='Cash Flow Statement'!BN$2,'Cash Flow Statement'!BN$2&lt;=Summary!$O25),IF((BN$2-Summary!$N25)&lt;12,Summary!$P25,IF(MOD(BN$2,12)=MOD(Summary!$N25,12),(Summary!$P25*((1+Summary!$K$20)^((BN$2-12-MOD(Summary!$N25,12))/12))),HLOOKUP(BM$3,$E$3:$DV32,25,FALSE))))</f>
        <v>70.344300624999988</v>
      </c>
      <c r="BO27" s="46">
        <f>IF(AND(Summary!$N25&lt;='Cash Flow Statement'!BO$2,'Cash Flow Statement'!BO$2&lt;=Summary!$O25),IF((BO$2-Summary!$N25)&lt;12,Summary!$P25,IF(MOD(BO$2,12)=MOD(Summary!$N25,12),(Summary!$P25*((1+Summary!$K$20)^((BO$2-12-MOD(Summary!$N25,12))/12))),HLOOKUP(BN$3,$E$3:$DV32,25,FALSE))))</f>
        <v>70.344300624999988</v>
      </c>
      <c r="BP27" s="46">
        <f>IF(AND(Summary!$N25&lt;='Cash Flow Statement'!BP$2,'Cash Flow Statement'!BP$2&lt;=Summary!$O25),IF((BP$2-Summary!$N25)&lt;12,Summary!$P25,IF(MOD(BP$2,12)=MOD(Summary!$N25,12),(Summary!$P25*((1+Summary!$K$20)^((BP$2-12-MOD(Summary!$N25,12))/12))),HLOOKUP(BO$3,$E$3:$DV32,25,FALSE))))</f>
        <v>70.344300624999988</v>
      </c>
      <c r="BQ27" s="46">
        <f>IF(AND(Summary!$N25&lt;='Cash Flow Statement'!BQ$2,'Cash Flow Statement'!BQ$2&lt;=Summary!$O25),IF((BQ$2-Summary!$N25)&lt;12,Summary!$P25,IF(MOD(BQ$2,12)=MOD(Summary!$N25,12),(Summary!$P25*((1+Summary!$K$20)^((BQ$2-12-MOD(Summary!$N25,12))/12))),HLOOKUP(BP$3,$E$3:$DV32,25,FALSE))))</f>
        <v>70.344300624999988</v>
      </c>
      <c r="BR27" s="46">
        <f>IF(AND(Summary!$N25&lt;='Cash Flow Statement'!BR$2,'Cash Flow Statement'!BR$2&lt;=Summary!$O25),IF((BR$2-Summary!$N25)&lt;12,Summary!$P25,IF(MOD(BR$2,12)=MOD(Summary!$N25,12),(Summary!$P25*((1+Summary!$K$20)^((BR$2-12-MOD(Summary!$N25,12))/12))),HLOOKUP(BQ$3,$E$3:$DV32,25,FALSE))))</f>
        <v>70.344300624999988</v>
      </c>
      <c r="BS27" s="46">
        <f>IF(AND(Summary!$N25&lt;='Cash Flow Statement'!BS$2,'Cash Flow Statement'!BS$2&lt;=Summary!$O25),IF((BS$2-Summary!$N25)&lt;12,Summary!$P25,IF(MOD(BS$2,12)=MOD(Summary!$N25,12),(Summary!$P25*((1+Summary!$K$20)^((BS$2-12-MOD(Summary!$N25,12))/12))),HLOOKUP(BR$3,$E$3:$DV32,25,FALSE))))</f>
        <v>70.344300624999988</v>
      </c>
      <c r="BT27" s="46">
        <f>IF(AND(Summary!$N25&lt;='Cash Flow Statement'!BT$2,'Cash Flow Statement'!BT$2&lt;=Summary!$O25),IF((BT$2-Summary!$N25)&lt;12,Summary!$P25,IF(MOD(BT$2,12)=MOD(Summary!$N25,12),(Summary!$P25*((1+Summary!$K$20)^((BT$2-12-MOD(Summary!$N25,12))/12))),HLOOKUP(BS$3,$E$3:$DV32,25,FALSE))))</f>
        <v>70.344300624999988</v>
      </c>
      <c r="BU27" s="46">
        <f>IF(AND(Summary!$N25&lt;='Cash Flow Statement'!BU$2,'Cash Flow Statement'!BU$2&lt;=Summary!$O25),IF((BU$2-Summary!$N25)&lt;12,Summary!$P25,IF(MOD(BU$2,12)=MOD(Summary!$N25,12),(Summary!$P25*((1+Summary!$K$20)^((BU$2-12-MOD(Summary!$N25,12))/12))),HLOOKUP(BT$3,$E$3:$DV32,25,FALSE))))</f>
        <v>70.344300624999988</v>
      </c>
      <c r="BV27" s="46">
        <f>IF(AND(Summary!$N25&lt;='Cash Flow Statement'!BV$2,'Cash Flow Statement'!BV$2&lt;=Summary!$O25),IF((BV$2-Summary!$N25)&lt;12,Summary!$P25,IF(MOD(BV$2,12)=MOD(Summary!$N25,12),(Summary!$P25*((1+Summary!$K$20)^((BV$2-12-MOD(Summary!$N25,12))/12))),HLOOKUP(BU$3,$E$3:$DV32,25,FALSE))))</f>
        <v>70.344300624999988</v>
      </c>
      <c r="BW27" s="46">
        <f>IF(AND(Summary!$N25&lt;='Cash Flow Statement'!BW$2,'Cash Flow Statement'!BW$2&lt;=Summary!$O25),IF((BW$2-Summary!$N25)&lt;12,Summary!$P25,IF(MOD(BW$2,12)=MOD(Summary!$N25,12),(Summary!$P25*((1+Summary!$K$20)^((BW$2-12-MOD(Summary!$N25,12))/12))),HLOOKUP(BV$3,$E$3:$DV32,25,FALSE))))</f>
        <v>70.344300624999988</v>
      </c>
      <c r="BX27" s="46">
        <f>IF(AND(Summary!$N25&lt;='Cash Flow Statement'!BX$2,'Cash Flow Statement'!BX$2&lt;=Summary!$O25),IF((BX$2-Summary!$N25)&lt;12,Summary!$P25,IF(MOD(BX$2,12)=MOD(Summary!$N25,12),(Summary!$P25*((1+Summary!$K$20)^((BX$2-12-MOD(Summary!$N25,12))/12))),HLOOKUP(BW$3,$E$3:$DV32,25,FALSE))))</f>
        <v>70.344300624999988</v>
      </c>
      <c r="BY27" s="46">
        <f>IF(AND(Summary!$N25&lt;='Cash Flow Statement'!BY$2,'Cash Flow Statement'!BY$2&lt;=Summary!$O25),IF((BY$2-Summary!$N25)&lt;12,Summary!$P25,IF(MOD(BY$2,12)=MOD(Summary!$N25,12),(Summary!$P25*((1+Summary!$K$20)^((BY$2-12-MOD(Summary!$N25,12))/12))),HLOOKUP(BX$3,$E$3:$DV32,25,FALSE))))</f>
        <v>72.454629643749996</v>
      </c>
      <c r="BZ27" s="46">
        <f>IF(AND(Summary!$N25&lt;='Cash Flow Statement'!BZ$2,'Cash Flow Statement'!BZ$2&lt;=Summary!$O25),IF((BZ$2-Summary!$N25)&lt;12,Summary!$P25,IF(MOD(BZ$2,12)=MOD(Summary!$N25,12),(Summary!$P25*((1+Summary!$K$20)^((BZ$2-12-MOD(Summary!$N25,12))/12))),HLOOKUP(BY$3,$E$3:$DV32,25,FALSE))))</f>
        <v>72.454629643749996</v>
      </c>
      <c r="CA27" s="46">
        <f>IF(AND(Summary!$N25&lt;='Cash Flow Statement'!CA$2,'Cash Flow Statement'!CA$2&lt;=Summary!$O25),IF((CA$2-Summary!$N25)&lt;12,Summary!$P25,IF(MOD(CA$2,12)=MOD(Summary!$N25,12),(Summary!$P25*((1+Summary!$K$20)^((CA$2-12-MOD(Summary!$N25,12))/12))),HLOOKUP(BZ$3,$E$3:$DV32,25,FALSE))))</f>
        <v>72.454629643749996</v>
      </c>
      <c r="CB27" s="46">
        <f>IF(AND(Summary!$N25&lt;='Cash Flow Statement'!CB$2,'Cash Flow Statement'!CB$2&lt;=Summary!$O25),IF((CB$2-Summary!$N25)&lt;12,Summary!$P25,IF(MOD(CB$2,12)=MOD(Summary!$N25,12),(Summary!$P25*((1+Summary!$K$20)^((CB$2-12-MOD(Summary!$N25,12))/12))),HLOOKUP(CA$3,$E$3:$DV32,25,FALSE))))</f>
        <v>72.454629643749996</v>
      </c>
      <c r="CC27" s="46">
        <f>IF(AND(Summary!$N25&lt;='Cash Flow Statement'!CC$2,'Cash Flow Statement'!CC$2&lt;=Summary!$O25),IF((CC$2-Summary!$N25)&lt;12,Summary!$P25,IF(MOD(CC$2,12)=MOD(Summary!$N25,12),(Summary!$P25*((1+Summary!$K$20)^((CC$2-12-MOD(Summary!$N25,12))/12))),HLOOKUP(CB$3,$E$3:$DV32,25,FALSE))))</f>
        <v>72.454629643749996</v>
      </c>
      <c r="CD27" s="46">
        <f>IF(AND(Summary!$N25&lt;='Cash Flow Statement'!CD$2,'Cash Flow Statement'!CD$2&lt;=Summary!$O25),IF((CD$2-Summary!$N25)&lt;12,Summary!$P25,IF(MOD(CD$2,12)=MOD(Summary!$N25,12),(Summary!$P25*((1+Summary!$K$20)^((CD$2-12-MOD(Summary!$N25,12))/12))),HLOOKUP(CC$3,$E$3:$DV32,25,FALSE))))</f>
        <v>72.454629643749996</v>
      </c>
      <c r="CE27" s="46">
        <f>IF(AND(Summary!$N25&lt;='Cash Flow Statement'!CE$2,'Cash Flow Statement'!CE$2&lt;=Summary!$O25),IF((CE$2-Summary!$N25)&lt;12,Summary!$P25,IF(MOD(CE$2,12)=MOD(Summary!$N25,12),(Summary!$P25*((1+Summary!$K$20)^((CE$2-12-MOD(Summary!$N25,12))/12))),HLOOKUP(CD$3,$E$3:$DV32,25,FALSE))))</f>
        <v>72.454629643749996</v>
      </c>
      <c r="CF27" s="46">
        <f>IF(AND(Summary!$N25&lt;='Cash Flow Statement'!CF$2,'Cash Flow Statement'!CF$2&lt;=Summary!$O25),IF((CF$2-Summary!$N25)&lt;12,Summary!$P25,IF(MOD(CF$2,12)=MOD(Summary!$N25,12),(Summary!$P25*((1+Summary!$K$20)^((CF$2-12-MOD(Summary!$N25,12))/12))),HLOOKUP(CE$3,$E$3:$DV32,25,FALSE))))</f>
        <v>72.454629643749996</v>
      </c>
      <c r="CG27" s="46">
        <f>IF(AND(Summary!$N25&lt;='Cash Flow Statement'!CG$2,'Cash Flow Statement'!CG$2&lt;=Summary!$O25),IF((CG$2-Summary!$N25)&lt;12,Summary!$P25,IF(MOD(CG$2,12)=MOD(Summary!$N25,12),(Summary!$P25*((1+Summary!$K$20)^((CG$2-12-MOD(Summary!$N25,12))/12))),HLOOKUP(CF$3,$E$3:$DV32,25,FALSE))))</f>
        <v>72.454629643749996</v>
      </c>
      <c r="CH27" s="46">
        <f>IF(AND(Summary!$N25&lt;='Cash Flow Statement'!CH$2,'Cash Flow Statement'!CH$2&lt;=Summary!$O25),IF((CH$2-Summary!$N25)&lt;12,Summary!$P25,IF(MOD(CH$2,12)=MOD(Summary!$N25,12),(Summary!$P25*((1+Summary!$K$20)^((CH$2-12-MOD(Summary!$N25,12))/12))),HLOOKUP(CG$3,$E$3:$DV32,25,FALSE))))</f>
        <v>72.454629643749996</v>
      </c>
      <c r="CI27" s="46">
        <f>IF(AND(Summary!$N25&lt;='Cash Flow Statement'!CI$2,'Cash Flow Statement'!CI$2&lt;=Summary!$O25),IF((CI$2-Summary!$N25)&lt;12,Summary!$P25,IF(MOD(CI$2,12)=MOD(Summary!$N25,12),(Summary!$P25*((1+Summary!$K$20)^((CI$2-12-MOD(Summary!$N25,12))/12))),HLOOKUP(CH$3,$E$3:$DV32,25,FALSE))))</f>
        <v>72.454629643749996</v>
      </c>
      <c r="CJ27" s="46">
        <f>IF(AND(Summary!$N25&lt;='Cash Flow Statement'!CJ$2,'Cash Flow Statement'!CJ$2&lt;=Summary!$O25),IF((CJ$2-Summary!$N25)&lt;12,Summary!$P25,IF(MOD(CJ$2,12)=MOD(Summary!$N25,12),(Summary!$P25*((1+Summary!$K$20)^((CJ$2-12-MOD(Summary!$N25,12))/12))),HLOOKUP(CI$3,$E$3:$DV32,25,FALSE))))</f>
        <v>72.454629643749996</v>
      </c>
      <c r="CK27" s="46">
        <f>IF(AND(Summary!$N25&lt;='Cash Flow Statement'!CK$2,'Cash Flow Statement'!CK$2&lt;=Summary!$O25),IF((CK$2-Summary!$N25)&lt;12,Summary!$P25,IF(MOD(CK$2,12)=MOD(Summary!$N25,12),(Summary!$P25*((1+Summary!$K$20)^((CK$2-12-MOD(Summary!$N25,12))/12))),HLOOKUP(CJ$3,$E$3:$DV32,25,FALSE))))</f>
        <v>74.628268533062496</v>
      </c>
      <c r="CL27" s="46">
        <f>IF(AND(Summary!$N25&lt;='Cash Flow Statement'!CL$2,'Cash Flow Statement'!CL$2&lt;=Summary!$O25),IF((CL$2-Summary!$N25)&lt;12,Summary!$P25,IF(MOD(CL$2,12)=MOD(Summary!$N25,12),(Summary!$P25*((1+Summary!$K$20)^((CL$2-12-MOD(Summary!$N25,12))/12))),HLOOKUP(CK$3,$E$3:$DV32,25,FALSE))))</f>
        <v>74.628268533062496</v>
      </c>
      <c r="CM27" s="46">
        <f>IF(AND(Summary!$N25&lt;='Cash Flow Statement'!CM$2,'Cash Flow Statement'!CM$2&lt;=Summary!$O25),IF((CM$2-Summary!$N25)&lt;12,Summary!$P25,IF(MOD(CM$2,12)=MOD(Summary!$N25,12),(Summary!$P25*((1+Summary!$K$20)^((CM$2-12-MOD(Summary!$N25,12))/12))),HLOOKUP(CL$3,$E$3:$DV32,25,FALSE))))</f>
        <v>74.628268533062496</v>
      </c>
      <c r="CN27" s="46">
        <f>IF(AND(Summary!$N25&lt;='Cash Flow Statement'!CN$2,'Cash Flow Statement'!CN$2&lt;=Summary!$O25),IF((CN$2-Summary!$N25)&lt;12,Summary!$P25,IF(MOD(CN$2,12)=MOD(Summary!$N25,12),(Summary!$P25*((1+Summary!$K$20)^((CN$2-12-MOD(Summary!$N25,12))/12))),HLOOKUP(CM$3,$E$3:$DV32,25,FALSE))))</f>
        <v>74.628268533062496</v>
      </c>
      <c r="CO27" s="46">
        <f>IF(AND(Summary!$N25&lt;='Cash Flow Statement'!CO$2,'Cash Flow Statement'!CO$2&lt;=Summary!$O25),IF((CO$2-Summary!$N25)&lt;12,Summary!$P25,IF(MOD(CO$2,12)=MOD(Summary!$N25,12),(Summary!$P25*((1+Summary!$K$20)^((CO$2-12-MOD(Summary!$N25,12))/12))),HLOOKUP(CN$3,$E$3:$DV32,25,FALSE))))</f>
        <v>74.628268533062496</v>
      </c>
      <c r="CP27" s="46">
        <f>IF(AND(Summary!$N25&lt;='Cash Flow Statement'!CP$2,'Cash Flow Statement'!CP$2&lt;=Summary!$O25),IF((CP$2-Summary!$N25)&lt;12,Summary!$P25,IF(MOD(CP$2,12)=MOD(Summary!$N25,12),(Summary!$P25*((1+Summary!$K$20)^((CP$2-12-MOD(Summary!$N25,12))/12))),HLOOKUP(CO$3,$E$3:$DV32,25,FALSE))))</f>
        <v>74.628268533062496</v>
      </c>
      <c r="CQ27" s="46">
        <f>IF(AND(Summary!$N25&lt;='Cash Flow Statement'!CQ$2,'Cash Flow Statement'!CQ$2&lt;=Summary!$O25),IF((CQ$2-Summary!$N25)&lt;12,Summary!$P25,IF(MOD(CQ$2,12)=MOD(Summary!$N25,12),(Summary!$P25*((1+Summary!$K$20)^((CQ$2-12-MOD(Summary!$N25,12))/12))),HLOOKUP(CP$3,$E$3:$DV32,25,FALSE))))</f>
        <v>74.628268533062496</v>
      </c>
      <c r="CR27" s="46">
        <f>IF(AND(Summary!$N25&lt;='Cash Flow Statement'!CR$2,'Cash Flow Statement'!CR$2&lt;=Summary!$O25),IF((CR$2-Summary!$N25)&lt;12,Summary!$P25,IF(MOD(CR$2,12)=MOD(Summary!$N25,12),(Summary!$P25*((1+Summary!$K$20)^((CR$2-12-MOD(Summary!$N25,12))/12))),HLOOKUP(CQ$3,$E$3:$DV32,25,FALSE))))</f>
        <v>74.628268533062496</v>
      </c>
      <c r="CS27" s="46">
        <f>IF(AND(Summary!$N25&lt;='Cash Flow Statement'!CS$2,'Cash Flow Statement'!CS$2&lt;=Summary!$O25),IF((CS$2-Summary!$N25)&lt;12,Summary!$P25,IF(MOD(CS$2,12)=MOD(Summary!$N25,12),(Summary!$P25*((1+Summary!$K$20)^((CS$2-12-MOD(Summary!$N25,12))/12))),HLOOKUP(CR$3,$E$3:$DV32,25,FALSE))))</f>
        <v>74.628268533062496</v>
      </c>
      <c r="CT27" s="46">
        <f>IF(AND(Summary!$N25&lt;='Cash Flow Statement'!CT$2,'Cash Flow Statement'!CT$2&lt;=Summary!$O25),IF((CT$2-Summary!$N25)&lt;12,Summary!$P25,IF(MOD(CT$2,12)=MOD(Summary!$N25,12),(Summary!$P25*((1+Summary!$K$20)^((CT$2-12-MOD(Summary!$N25,12))/12))),HLOOKUP(CS$3,$E$3:$DV32,25,FALSE))))</f>
        <v>74.628268533062496</v>
      </c>
      <c r="CU27" s="46">
        <f>IF(AND(Summary!$N25&lt;='Cash Flow Statement'!CU$2,'Cash Flow Statement'!CU$2&lt;=Summary!$O25),IF((CU$2-Summary!$N25)&lt;12,Summary!$P25,IF(MOD(CU$2,12)=MOD(Summary!$N25,12),(Summary!$P25*((1+Summary!$K$20)^((CU$2-12-MOD(Summary!$N25,12))/12))),HLOOKUP(CT$3,$E$3:$DV32,25,FALSE))))</f>
        <v>74.628268533062496</v>
      </c>
      <c r="CV27" s="46">
        <f>IF(AND(Summary!$N25&lt;='Cash Flow Statement'!CV$2,'Cash Flow Statement'!CV$2&lt;=Summary!$O25),IF((CV$2-Summary!$N25)&lt;12,Summary!$P25,IF(MOD(CV$2,12)=MOD(Summary!$N25,12),(Summary!$P25*((1+Summary!$K$20)^((CV$2-12-MOD(Summary!$N25,12))/12))),HLOOKUP(CU$3,$E$3:$DV32,25,FALSE))))</f>
        <v>74.628268533062496</v>
      </c>
      <c r="CW27" s="46">
        <f>IF(AND(Summary!$N25&lt;='Cash Flow Statement'!CW$2,'Cash Flow Statement'!CW$2&lt;=Summary!$O25),IF((CW$2-Summary!$N25)&lt;12,Summary!$P25,IF(MOD(CW$2,12)=MOD(Summary!$N25,12),(Summary!$P25*((1+Summary!$K$20)^((CW$2-12-MOD(Summary!$N25,12))/12))),HLOOKUP(CV$3,$E$3:$DV32,25,FALSE))))</f>
        <v>76.867116589054376</v>
      </c>
      <c r="CX27" s="46">
        <f>IF(AND(Summary!$N25&lt;='Cash Flow Statement'!CX$2,'Cash Flow Statement'!CX$2&lt;=Summary!$O25),IF((CX$2-Summary!$N25)&lt;12,Summary!$P25,IF(MOD(CX$2,12)=MOD(Summary!$N25,12),(Summary!$P25*((1+Summary!$K$20)^((CX$2-12-MOD(Summary!$N25,12))/12))),HLOOKUP(CW$3,$E$3:$DV32,25,FALSE))))</f>
        <v>76.867116589054376</v>
      </c>
      <c r="CY27" s="46">
        <f>IF(AND(Summary!$N25&lt;='Cash Flow Statement'!CY$2,'Cash Flow Statement'!CY$2&lt;=Summary!$O25),IF((CY$2-Summary!$N25)&lt;12,Summary!$P25,IF(MOD(CY$2,12)=MOD(Summary!$N25,12),(Summary!$P25*((1+Summary!$K$20)^((CY$2-12-MOD(Summary!$N25,12))/12))),HLOOKUP(CX$3,$E$3:$DV32,25,FALSE))))</f>
        <v>76.867116589054376</v>
      </c>
      <c r="CZ27" s="46">
        <f>IF(AND(Summary!$N25&lt;='Cash Flow Statement'!CZ$2,'Cash Flow Statement'!CZ$2&lt;=Summary!$O25),IF((CZ$2-Summary!$N25)&lt;12,Summary!$P25,IF(MOD(CZ$2,12)=MOD(Summary!$N25,12),(Summary!$P25*((1+Summary!$K$20)^((CZ$2-12-MOD(Summary!$N25,12))/12))),HLOOKUP(CY$3,$E$3:$DV32,25,FALSE))))</f>
        <v>76.867116589054376</v>
      </c>
      <c r="DA27" s="46">
        <f>IF(AND(Summary!$N25&lt;='Cash Flow Statement'!DA$2,'Cash Flow Statement'!DA$2&lt;=Summary!$O25),IF((DA$2-Summary!$N25)&lt;12,Summary!$P25,IF(MOD(DA$2,12)=MOD(Summary!$N25,12),(Summary!$P25*((1+Summary!$K$20)^((DA$2-12-MOD(Summary!$N25,12))/12))),HLOOKUP(CZ$3,$E$3:$DV32,25,FALSE))))</f>
        <v>76.867116589054376</v>
      </c>
      <c r="DB27" s="46">
        <f>IF(AND(Summary!$N25&lt;='Cash Flow Statement'!DB$2,'Cash Flow Statement'!DB$2&lt;=Summary!$O25),IF((DB$2-Summary!$N25)&lt;12,Summary!$P25,IF(MOD(DB$2,12)=MOD(Summary!$N25,12),(Summary!$P25*((1+Summary!$K$20)^((DB$2-12-MOD(Summary!$N25,12))/12))),HLOOKUP(DA$3,$E$3:$DV32,25,FALSE))))</f>
        <v>76.867116589054376</v>
      </c>
      <c r="DC27" s="46">
        <f>IF(AND(Summary!$N25&lt;='Cash Flow Statement'!DC$2,'Cash Flow Statement'!DC$2&lt;=Summary!$O25),IF((DC$2-Summary!$N25)&lt;12,Summary!$P25,IF(MOD(DC$2,12)=MOD(Summary!$N25,12),(Summary!$P25*((1+Summary!$K$20)^((DC$2-12-MOD(Summary!$N25,12))/12))),HLOOKUP(DB$3,$E$3:$DV32,25,FALSE))))</f>
        <v>76.867116589054376</v>
      </c>
      <c r="DD27" s="46">
        <f>IF(AND(Summary!$N25&lt;='Cash Flow Statement'!DD$2,'Cash Flow Statement'!DD$2&lt;=Summary!$O25),IF((DD$2-Summary!$N25)&lt;12,Summary!$P25,IF(MOD(DD$2,12)=MOD(Summary!$N25,12),(Summary!$P25*((1+Summary!$K$20)^((DD$2-12-MOD(Summary!$N25,12))/12))),HLOOKUP(DC$3,$E$3:$DV32,25,FALSE))))</f>
        <v>76.867116589054376</v>
      </c>
      <c r="DE27" s="46">
        <f>IF(AND(Summary!$N25&lt;='Cash Flow Statement'!DE$2,'Cash Flow Statement'!DE$2&lt;=Summary!$O25),IF((DE$2-Summary!$N25)&lt;12,Summary!$P25,IF(MOD(DE$2,12)=MOD(Summary!$N25,12),(Summary!$P25*((1+Summary!$K$20)^((DE$2-12-MOD(Summary!$N25,12))/12))),HLOOKUP(DD$3,$E$3:$DV32,25,FALSE))))</f>
        <v>76.867116589054376</v>
      </c>
      <c r="DF27" s="46">
        <f>IF(AND(Summary!$N25&lt;='Cash Flow Statement'!DF$2,'Cash Flow Statement'!DF$2&lt;=Summary!$O25),IF((DF$2-Summary!$N25)&lt;12,Summary!$P25,IF(MOD(DF$2,12)=MOD(Summary!$N25,12),(Summary!$P25*((1+Summary!$K$20)^((DF$2-12-MOD(Summary!$N25,12))/12))),HLOOKUP(DE$3,$E$3:$DV32,25,FALSE))))</f>
        <v>76.867116589054376</v>
      </c>
      <c r="DG27" s="46">
        <f>IF(AND(Summary!$N25&lt;='Cash Flow Statement'!DG$2,'Cash Flow Statement'!DG$2&lt;=Summary!$O25),IF((DG$2-Summary!$N25)&lt;12,Summary!$P25,IF(MOD(DG$2,12)=MOD(Summary!$N25,12),(Summary!$P25*((1+Summary!$K$20)^((DG$2-12-MOD(Summary!$N25,12))/12))),HLOOKUP(DF$3,$E$3:$DV32,25,FALSE))))</f>
        <v>76.867116589054376</v>
      </c>
      <c r="DH27" s="46">
        <f>IF(AND(Summary!$N25&lt;='Cash Flow Statement'!DH$2,'Cash Flow Statement'!DH$2&lt;=Summary!$O25),IF((DH$2-Summary!$N25)&lt;12,Summary!$P25,IF(MOD(DH$2,12)=MOD(Summary!$N25,12),(Summary!$P25*((1+Summary!$K$20)^((DH$2-12-MOD(Summary!$N25,12))/12))),HLOOKUP(DG$3,$E$3:$DV32,25,FALSE))))</f>
        <v>76.867116589054376</v>
      </c>
      <c r="DI27" s="46">
        <f>IF(AND(Summary!$N25&lt;='Cash Flow Statement'!DI$2,'Cash Flow Statement'!DI$2&lt;=Summary!$O25),IF((DI$2-Summary!$N25)&lt;12,Summary!$P25,IF(MOD(DI$2,12)=MOD(Summary!$N25,12),(Summary!$P25*((1+Summary!$K$20)^((DI$2-12-MOD(Summary!$N25,12))/12))),HLOOKUP(DH$3,$E$3:$DV32,25,FALSE))))</f>
        <v>79.17313008672599</v>
      </c>
      <c r="DJ27" s="46">
        <f>IF(AND(Summary!$N25&lt;='Cash Flow Statement'!DJ$2,'Cash Flow Statement'!DJ$2&lt;=Summary!$O25),IF((DJ$2-Summary!$N25)&lt;12,Summary!$P25,IF(MOD(DJ$2,12)=MOD(Summary!$N25,12),(Summary!$P25*((1+Summary!$K$20)^((DJ$2-12-MOD(Summary!$N25,12))/12))),HLOOKUP(DI$3,$E$3:$DV32,25,FALSE))))</f>
        <v>79.17313008672599</v>
      </c>
      <c r="DK27" s="46">
        <f>IF(AND(Summary!$N25&lt;='Cash Flow Statement'!DK$2,'Cash Flow Statement'!DK$2&lt;=Summary!$O25),IF((DK$2-Summary!$N25)&lt;12,Summary!$P25,IF(MOD(DK$2,12)=MOD(Summary!$N25,12),(Summary!$P25*((1+Summary!$K$20)^((DK$2-12-MOD(Summary!$N25,12))/12))),HLOOKUP(DJ$3,$E$3:$DV32,25,FALSE))))</f>
        <v>79.17313008672599</v>
      </c>
      <c r="DL27" s="46">
        <f>IF(AND(Summary!$N25&lt;='Cash Flow Statement'!DL$2,'Cash Flow Statement'!DL$2&lt;=Summary!$O25),IF((DL$2-Summary!$N25)&lt;12,Summary!$P25,IF(MOD(DL$2,12)=MOD(Summary!$N25,12),(Summary!$P25*((1+Summary!$K$20)^((DL$2-12-MOD(Summary!$N25,12))/12))),HLOOKUP(DK$3,$E$3:$DV32,25,FALSE))))</f>
        <v>79.17313008672599</v>
      </c>
      <c r="DM27" s="46">
        <f>IF(AND(Summary!$N25&lt;='Cash Flow Statement'!DM$2,'Cash Flow Statement'!DM$2&lt;=Summary!$O25),IF((DM$2-Summary!$N25)&lt;12,Summary!$P25,IF(MOD(DM$2,12)=MOD(Summary!$N25,12),(Summary!$P25*((1+Summary!$K$20)^((DM$2-12-MOD(Summary!$N25,12))/12))),HLOOKUP(DL$3,$E$3:$DV32,25,FALSE))))</f>
        <v>79.17313008672599</v>
      </c>
      <c r="DN27" s="46">
        <f>IF(AND(Summary!$N25&lt;='Cash Flow Statement'!DN$2,'Cash Flow Statement'!DN$2&lt;=Summary!$O25),IF((DN$2-Summary!$N25)&lt;12,Summary!$P25,IF(MOD(DN$2,12)=MOD(Summary!$N25,12),(Summary!$P25*((1+Summary!$K$20)^((DN$2-12-MOD(Summary!$N25,12))/12))),HLOOKUP(DM$3,$E$3:$DV32,25,FALSE))))</f>
        <v>79.17313008672599</v>
      </c>
      <c r="DO27" s="46">
        <f>IF(AND(Summary!$N25&lt;='Cash Flow Statement'!DO$2,'Cash Flow Statement'!DO$2&lt;=Summary!$O25),IF((DO$2-Summary!$N25)&lt;12,Summary!$P25,IF(MOD(DO$2,12)=MOD(Summary!$N25,12),(Summary!$P25*((1+Summary!$K$20)^((DO$2-12-MOD(Summary!$N25,12))/12))),HLOOKUP(DN$3,$E$3:$DV32,25,FALSE))))</f>
        <v>79.17313008672599</v>
      </c>
      <c r="DP27" s="46">
        <f>IF(AND(Summary!$N25&lt;='Cash Flow Statement'!DP$2,'Cash Flow Statement'!DP$2&lt;=Summary!$O25),IF((DP$2-Summary!$N25)&lt;12,Summary!$P25,IF(MOD(DP$2,12)=MOD(Summary!$N25,12),(Summary!$P25*((1+Summary!$K$20)^((DP$2-12-MOD(Summary!$N25,12))/12))),HLOOKUP(DO$3,$E$3:$DV32,25,FALSE))))</f>
        <v>79.17313008672599</v>
      </c>
      <c r="DQ27" s="46">
        <f>IF(AND(Summary!$N25&lt;='Cash Flow Statement'!DQ$2,'Cash Flow Statement'!DQ$2&lt;=Summary!$O25),IF((DQ$2-Summary!$N25)&lt;12,Summary!$P25,IF(MOD(DQ$2,12)=MOD(Summary!$N25,12),(Summary!$P25*((1+Summary!$K$20)^((DQ$2-12-MOD(Summary!$N25,12))/12))),HLOOKUP(DP$3,$E$3:$DV32,25,FALSE))))</f>
        <v>79.17313008672599</v>
      </c>
      <c r="DR27" s="46">
        <f>IF(AND(Summary!$N25&lt;='Cash Flow Statement'!DR$2,'Cash Flow Statement'!DR$2&lt;=Summary!$O25),IF((DR$2-Summary!$N25)&lt;12,Summary!$P25,IF(MOD(DR$2,12)=MOD(Summary!$N25,12),(Summary!$P25*((1+Summary!$K$20)^((DR$2-12-MOD(Summary!$N25,12))/12))),HLOOKUP(DQ$3,$E$3:$DV32,25,FALSE))))</f>
        <v>79.17313008672599</v>
      </c>
      <c r="DS27" s="46">
        <f>IF(AND(Summary!$N25&lt;='Cash Flow Statement'!DS$2,'Cash Flow Statement'!DS$2&lt;=Summary!$O25),IF((DS$2-Summary!$N25)&lt;12,Summary!$P25,IF(MOD(DS$2,12)=MOD(Summary!$N25,12),(Summary!$P25*((1+Summary!$K$20)^((DS$2-12-MOD(Summary!$N25,12))/12))),HLOOKUP(DR$3,$E$3:$DV32,25,FALSE))))</f>
        <v>79.17313008672599</v>
      </c>
      <c r="DT27" s="46">
        <f>IF(AND(Summary!$N25&lt;='Cash Flow Statement'!DT$2,'Cash Flow Statement'!DT$2&lt;=Summary!$O25),IF((DT$2-Summary!$N25)&lt;12,Summary!$P25,IF(MOD(DT$2,12)=MOD(Summary!$N25,12),(Summary!$P25*((1+Summary!$K$20)^((DT$2-12-MOD(Summary!$N25,12))/12))),HLOOKUP(DS$3,$E$3:$DV32,25,FALSE))))</f>
        <v>79.17313008672599</v>
      </c>
      <c r="DU27" s="46">
        <f>IF(AND(Summary!$N25&lt;='Cash Flow Statement'!DU$2,'Cash Flow Statement'!DU$2&lt;=Summary!$O25),IF((DU$2-Summary!$N25)&lt;12,Summary!$P25,IF(MOD(DU$2,12)=MOD(Summary!$N25,12),(Summary!$P25*((1+Summary!$K$20)^((DU$2-12-MOD(Summary!$N25,12))/12))),HLOOKUP(DT$3,$E$3:$DV32,25,FALSE))))</f>
        <v>81.548323989327784</v>
      </c>
      <c r="DV27" s="135"/>
    </row>
    <row r="28" spans="1:126" x14ac:dyDescent="0.2">
      <c r="A28" s="81"/>
      <c r="B28" s="81" t="str">
        <f>Summary!J26</f>
        <v>Administrative</v>
      </c>
      <c r="C28" s="44"/>
      <c r="D28" s="132">
        <f t="shared" si="17"/>
        <v>16941.931423384969</v>
      </c>
      <c r="E28" s="134" t="b">
        <f>IF(AND(Summary!$N26&lt;='Cash Flow Statement'!E$2,'Cash Flow Statement'!E$2&lt;=Summary!$O26),IF((E$2-Summary!$N26)&lt;12,Summary!$P26,IF(MOD(E$2,12)=MOD(Summary!$N26,12),(Summary!$P26*((1+Summary!$K$20)^((E$2-12-MOD(Summary!$N26,12))/12))),HLOOKUP(D$3,$E$3:$DV32,26,FALSE))))</f>
        <v>0</v>
      </c>
      <c r="F28" s="46" t="b">
        <f>IF(AND(Summary!$N26&lt;='Cash Flow Statement'!F$2,'Cash Flow Statement'!F$2&lt;=Summary!$O26),IF((F$2-Summary!$N26)&lt;12,Summary!$P26,IF(MOD(F$2,12)=MOD(Summary!$N26,12),(Summary!$P26*((1+Summary!$K$20)^((F$2-12-MOD(Summary!$N26,12))/12))),HLOOKUP(E$3,$E$3:$DV32,26,FALSE))))</f>
        <v>0</v>
      </c>
      <c r="G28" s="46" t="b">
        <f>IF(AND(Summary!$N26&lt;='Cash Flow Statement'!G$2,'Cash Flow Statement'!G$2&lt;=Summary!$O26),IF((G$2-Summary!$N26)&lt;12,Summary!$P26,IF(MOD(G$2,12)=MOD(Summary!$N26,12),(Summary!$P26*((1+Summary!$K$20)^((G$2-12-MOD(Summary!$N26,12))/12))),HLOOKUP(F$3,$E$3:$DV32,26,FALSE))))</f>
        <v>0</v>
      </c>
      <c r="H28" s="46" t="b">
        <f>IF(AND(Summary!$N26&lt;='Cash Flow Statement'!H$2,'Cash Flow Statement'!H$2&lt;=Summary!$O26),IF((H$2-Summary!$N26)&lt;12,Summary!$P26,IF(MOD(H$2,12)=MOD(Summary!$N26,12),(Summary!$P26*((1+Summary!$K$20)^((H$2-12-MOD(Summary!$N26,12))/12))),HLOOKUP(G$3,$E$3:$DV32,26,FALSE))))</f>
        <v>0</v>
      </c>
      <c r="I28" s="46" t="b">
        <f>IF(AND(Summary!$N26&lt;='Cash Flow Statement'!I$2,'Cash Flow Statement'!I$2&lt;=Summary!$O26),IF((I$2-Summary!$N26)&lt;12,Summary!$P26,IF(MOD(I$2,12)=MOD(Summary!$N26,12),(Summary!$P26*((1+Summary!$K$20)^((I$2-12-MOD(Summary!$N26,12))/12))),HLOOKUP(H$3,$E$3:$DV32,26,FALSE))))</f>
        <v>0</v>
      </c>
      <c r="J28" s="46" t="b">
        <f>IF(AND(Summary!$N26&lt;='Cash Flow Statement'!J$2,'Cash Flow Statement'!J$2&lt;=Summary!$O26),IF((J$2-Summary!$N26)&lt;12,Summary!$P26,IF(MOD(J$2,12)=MOD(Summary!$N26,12),(Summary!$P26*((1+Summary!$K$20)^((J$2-12-MOD(Summary!$N26,12))/12))),HLOOKUP(I$3,$E$3:$DV32,26,FALSE))))</f>
        <v>0</v>
      </c>
      <c r="K28" s="46" t="b">
        <f>IF(AND(Summary!$N26&lt;='Cash Flow Statement'!K$2,'Cash Flow Statement'!K$2&lt;=Summary!$O26),IF((K$2-Summary!$N26)&lt;12,Summary!$P26,IF(MOD(K$2,12)=MOD(Summary!$N26,12),(Summary!$P26*((1+Summary!$K$20)^((K$2-12-MOD(Summary!$N26,12))/12))),HLOOKUP(J$3,$E$3:$DV32,26,FALSE))))</f>
        <v>0</v>
      </c>
      <c r="L28" s="46" t="b">
        <f>IF(AND(Summary!$N26&lt;='Cash Flow Statement'!L$2,'Cash Flow Statement'!L$2&lt;=Summary!$O26),IF((L$2-Summary!$N26)&lt;12,Summary!$P26,IF(MOD(L$2,12)=MOD(Summary!$N26,12),(Summary!$P26*((1+Summary!$K$20)^((L$2-12-MOD(Summary!$N26,12))/12))),HLOOKUP(K$3,$E$3:$DV32,26,FALSE))))</f>
        <v>0</v>
      </c>
      <c r="M28" s="46" t="b">
        <f>IF(AND(Summary!$N26&lt;='Cash Flow Statement'!M$2,'Cash Flow Statement'!M$2&lt;=Summary!$O26),IF((M$2-Summary!$N26)&lt;12,Summary!$P26,IF(MOD(M$2,12)=MOD(Summary!$N26,12),(Summary!$P26*((1+Summary!$K$20)^((M$2-12-MOD(Summary!$N26,12))/12))),HLOOKUP(L$3,$E$3:$DV32,26,FALSE))))</f>
        <v>0</v>
      </c>
      <c r="N28" s="46" t="b">
        <f>IF(AND(Summary!$N26&lt;='Cash Flow Statement'!N$2,'Cash Flow Statement'!N$2&lt;=Summary!$O26),IF((N$2-Summary!$N26)&lt;12,Summary!$P26,IF(MOD(N$2,12)=MOD(Summary!$N26,12),(Summary!$P26*((1+Summary!$K$20)^((N$2-12-MOD(Summary!$N26,12))/12))),HLOOKUP(M$3,$E$3:$DV32,26,FALSE))))</f>
        <v>0</v>
      </c>
      <c r="O28" s="46" t="b">
        <f>IF(AND(Summary!$N26&lt;='Cash Flow Statement'!O$2,'Cash Flow Statement'!O$2&lt;=Summary!$O26),IF((O$2-Summary!$N26)&lt;12,Summary!$P26,IF(MOD(O$2,12)=MOD(Summary!$N26,12),(Summary!$P26*((1+Summary!$K$20)^((O$2-12-MOD(Summary!$N26,12))/12))),HLOOKUP(N$3,$E$3:$DV32,26,FALSE))))</f>
        <v>0</v>
      </c>
      <c r="P28" s="46" t="b">
        <f>IF(AND(Summary!$N26&lt;='Cash Flow Statement'!P$2,'Cash Flow Statement'!P$2&lt;=Summary!$O26),IF((P$2-Summary!$N26)&lt;12,Summary!$P26,IF(MOD(P$2,12)=MOD(Summary!$N26,12),(Summary!$P26*((1+Summary!$K$20)^((P$2-12-MOD(Summary!$N26,12))/12))),HLOOKUP(O$3,$E$3:$DV32,26,FALSE))))</f>
        <v>0</v>
      </c>
      <c r="Q28" s="46">
        <f>IF(AND(Summary!$N26&lt;='Cash Flow Statement'!Q$2,'Cash Flow Statement'!Q$2&lt;=Summary!$O26),IF((Q$2-Summary!$N26)&lt;12,Summary!$P26,IF(MOD(Q$2,12)=MOD(Summary!$N26,12),(Summary!$P26*((1+Summary!$K$20)^((Q$2-12-MOD(Summary!$N26,12))/12))),HLOOKUP(P$3,$E$3:$DV32,26,FALSE))))</f>
        <v>137.5</v>
      </c>
      <c r="R28" s="46">
        <f>IF(AND(Summary!$N26&lt;='Cash Flow Statement'!R$2,'Cash Flow Statement'!R$2&lt;=Summary!$O26),IF((R$2-Summary!$N26)&lt;12,Summary!$P26,IF(MOD(R$2,12)=MOD(Summary!$N26,12),(Summary!$P26*((1+Summary!$K$20)^((R$2-12-MOD(Summary!$N26,12))/12))),HLOOKUP(Q$3,$E$3:$DV32,26,FALSE))))</f>
        <v>137.5</v>
      </c>
      <c r="S28" s="46">
        <f>IF(AND(Summary!$N26&lt;='Cash Flow Statement'!S$2,'Cash Flow Statement'!S$2&lt;=Summary!$O26),IF((S$2-Summary!$N26)&lt;12,Summary!$P26,IF(MOD(S$2,12)=MOD(Summary!$N26,12),(Summary!$P26*((1+Summary!$K$20)^((S$2-12-MOD(Summary!$N26,12))/12))),HLOOKUP(R$3,$E$3:$DV32,26,FALSE))))</f>
        <v>137.5</v>
      </c>
      <c r="T28" s="46">
        <f>IF(AND(Summary!$N26&lt;='Cash Flow Statement'!T$2,'Cash Flow Statement'!T$2&lt;=Summary!$O26),IF((T$2-Summary!$N26)&lt;12,Summary!$P26,IF(MOD(T$2,12)=MOD(Summary!$N26,12),(Summary!$P26*((1+Summary!$K$20)^((T$2-12-MOD(Summary!$N26,12))/12))),HLOOKUP(S$3,$E$3:$DV32,26,FALSE))))</f>
        <v>137.5</v>
      </c>
      <c r="U28" s="46">
        <f>IF(AND(Summary!$N26&lt;='Cash Flow Statement'!U$2,'Cash Flow Statement'!U$2&lt;=Summary!$O26),IF((U$2-Summary!$N26)&lt;12,Summary!$P26,IF(MOD(U$2,12)=MOD(Summary!$N26,12),(Summary!$P26*((1+Summary!$K$20)^((U$2-12-MOD(Summary!$N26,12))/12))),HLOOKUP(T$3,$E$3:$DV32,26,FALSE))))</f>
        <v>137.5</v>
      </c>
      <c r="V28" s="46">
        <f>IF(AND(Summary!$N26&lt;='Cash Flow Statement'!V$2,'Cash Flow Statement'!V$2&lt;=Summary!$O26),IF((V$2-Summary!$N26)&lt;12,Summary!$P26,IF(MOD(V$2,12)=MOD(Summary!$N26,12),(Summary!$P26*((1+Summary!$K$20)^((V$2-12-MOD(Summary!$N26,12))/12))),HLOOKUP(U$3,$E$3:$DV32,26,FALSE))))</f>
        <v>137.5</v>
      </c>
      <c r="W28" s="46">
        <f>IF(AND(Summary!$N26&lt;='Cash Flow Statement'!W$2,'Cash Flow Statement'!W$2&lt;=Summary!$O26),IF((W$2-Summary!$N26)&lt;12,Summary!$P26,IF(MOD(W$2,12)=MOD(Summary!$N26,12),(Summary!$P26*((1+Summary!$K$20)^((W$2-12-MOD(Summary!$N26,12))/12))),HLOOKUP(V$3,$E$3:$DV32,26,FALSE))))</f>
        <v>137.5</v>
      </c>
      <c r="X28" s="46">
        <f>IF(AND(Summary!$N26&lt;='Cash Flow Statement'!X$2,'Cash Flow Statement'!X$2&lt;=Summary!$O26),IF((X$2-Summary!$N26)&lt;12,Summary!$P26,IF(MOD(X$2,12)=MOD(Summary!$N26,12),(Summary!$P26*((1+Summary!$K$20)^((X$2-12-MOD(Summary!$N26,12))/12))),HLOOKUP(W$3,$E$3:$DV32,26,FALSE))))</f>
        <v>137.5</v>
      </c>
      <c r="Y28" s="46">
        <f>IF(AND(Summary!$N26&lt;='Cash Flow Statement'!Y$2,'Cash Flow Statement'!Y$2&lt;=Summary!$O26),IF((Y$2-Summary!$N26)&lt;12,Summary!$P26,IF(MOD(Y$2,12)=MOD(Summary!$N26,12),(Summary!$P26*((1+Summary!$K$20)^((Y$2-12-MOD(Summary!$N26,12))/12))),HLOOKUP(X$3,$E$3:$DV32,26,FALSE))))</f>
        <v>137.5</v>
      </c>
      <c r="Z28" s="46">
        <f>IF(AND(Summary!$N26&lt;='Cash Flow Statement'!Z$2,'Cash Flow Statement'!Z$2&lt;=Summary!$O26),IF((Z$2-Summary!$N26)&lt;12,Summary!$P26,IF(MOD(Z$2,12)=MOD(Summary!$N26,12),(Summary!$P26*((1+Summary!$K$20)^((Z$2-12-MOD(Summary!$N26,12))/12))),HLOOKUP(Y$3,$E$3:$DV32,26,FALSE))))</f>
        <v>137.5</v>
      </c>
      <c r="AA28" s="46">
        <f>IF(AND(Summary!$N26&lt;='Cash Flow Statement'!AA$2,'Cash Flow Statement'!AA$2&lt;=Summary!$O26),IF((AA$2-Summary!$N26)&lt;12,Summary!$P26,IF(MOD(AA$2,12)=MOD(Summary!$N26,12),(Summary!$P26*((1+Summary!$K$20)^((AA$2-12-MOD(Summary!$N26,12))/12))),HLOOKUP(Z$3,$E$3:$DV32,26,FALSE))))</f>
        <v>137.5</v>
      </c>
      <c r="AB28" s="46">
        <f>IF(AND(Summary!$N26&lt;='Cash Flow Statement'!AB$2,'Cash Flow Statement'!AB$2&lt;=Summary!$O26),IF((AB$2-Summary!$N26)&lt;12,Summary!$P26,IF(MOD(AB$2,12)=MOD(Summary!$N26,12),(Summary!$P26*((1+Summary!$K$20)^((AB$2-12-MOD(Summary!$N26,12))/12))),HLOOKUP(AA$3,$E$3:$DV32,26,FALSE))))</f>
        <v>137.5</v>
      </c>
      <c r="AC28" s="46">
        <f>IF(AND(Summary!$N26&lt;='Cash Flow Statement'!AC$2,'Cash Flow Statement'!AC$2&lt;=Summary!$O26),IF((AC$2-Summary!$N26)&lt;12,Summary!$P26,IF(MOD(AC$2,12)=MOD(Summary!$N26,12),(Summary!$P26*((1+Summary!$K$20)^((AC$2-12-MOD(Summary!$N26,12))/12))),HLOOKUP(AB$3,$E$3:$DV32,26,FALSE))))</f>
        <v>141.625</v>
      </c>
      <c r="AD28" s="46">
        <f>IF(AND(Summary!$N26&lt;='Cash Flow Statement'!AD$2,'Cash Flow Statement'!AD$2&lt;=Summary!$O26),IF((AD$2-Summary!$N26)&lt;12,Summary!$P26,IF(MOD(AD$2,12)=MOD(Summary!$N26,12),(Summary!$P26*((1+Summary!$K$20)^((AD$2-12-MOD(Summary!$N26,12))/12))),HLOOKUP(AC$3,$E$3:$DV32,26,FALSE))))</f>
        <v>141.625</v>
      </c>
      <c r="AE28" s="46">
        <f>IF(AND(Summary!$N26&lt;='Cash Flow Statement'!AE$2,'Cash Flow Statement'!AE$2&lt;=Summary!$O26),IF((AE$2-Summary!$N26)&lt;12,Summary!$P26,IF(MOD(AE$2,12)=MOD(Summary!$N26,12),(Summary!$P26*((1+Summary!$K$20)^((AE$2-12-MOD(Summary!$N26,12))/12))),HLOOKUP(AD$3,$E$3:$DV32,26,FALSE))))</f>
        <v>141.625</v>
      </c>
      <c r="AF28" s="46">
        <f>IF(AND(Summary!$N26&lt;='Cash Flow Statement'!AF$2,'Cash Flow Statement'!AF$2&lt;=Summary!$O26),IF((AF$2-Summary!$N26)&lt;12,Summary!$P26,IF(MOD(AF$2,12)=MOD(Summary!$N26,12),(Summary!$P26*((1+Summary!$K$20)^((AF$2-12-MOD(Summary!$N26,12))/12))),HLOOKUP(AE$3,$E$3:$DV32,26,FALSE))))</f>
        <v>141.625</v>
      </c>
      <c r="AG28" s="46">
        <f>IF(AND(Summary!$N26&lt;='Cash Flow Statement'!AG$2,'Cash Flow Statement'!AG$2&lt;=Summary!$O26),IF((AG$2-Summary!$N26)&lt;12,Summary!$P26,IF(MOD(AG$2,12)=MOD(Summary!$N26,12),(Summary!$P26*((1+Summary!$K$20)^((AG$2-12-MOD(Summary!$N26,12))/12))),HLOOKUP(AF$3,$E$3:$DV32,26,FALSE))))</f>
        <v>141.625</v>
      </c>
      <c r="AH28" s="46">
        <f>IF(AND(Summary!$N26&lt;='Cash Flow Statement'!AH$2,'Cash Flow Statement'!AH$2&lt;=Summary!$O26),IF((AH$2-Summary!$N26)&lt;12,Summary!$P26,IF(MOD(AH$2,12)=MOD(Summary!$N26,12),(Summary!$P26*((1+Summary!$K$20)^((AH$2-12-MOD(Summary!$N26,12))/12))),HLOOKUP(AG$3,$E$3:$DV32,26,FALSE))))</f>
        <v>141.625</v>
      </c>
      <c r="AI28" s="46">
        <f>IF(AND(Summary!$N26&lt;='Cash Flow Statement'!AI$2,'Cash Flow Statement'!AI$2&lt;=Summary!$O26),IF((AI$2-Summary!$N26)&lt;12,Summary!$P26,IF(MOD(AI$2,12)=MOD(Summary!$N26,12),(Summary!$P26*((1+Summary!$K$20)^((AI$2-12-MOD(Summary!$N26,12))/12))),HLOOKUP(AH$3,$E$3:$DV32,26,FALSE))))</f>
        <v>141.625</v>
      </c>
      <c r="AJ28" s="46">
        <f>IF(AND(Summary!$N26&lt;='Cash Flow Statement'!AJ$2,'Cash Flow Statement'!AJ$2&lt;=Summary!$O26),IF((AJ$2-Summary!$N26)&lt;12,Summary!$P26,IF(MOD(AJ$2,12)=MOD(Summary!$N26,12),(Summary!$P26*((1+Summary!$K$20)^((AJ$2-12-MOD(Summary!$N26,12))/12))),HLOOKUP(AI$3,$E$3:$DV32,26,FALSE))))</f>
        <v>141.625</v>
      </c>
      <c r="AK28" s="46">
        <f>IF(AND(Summary!$N26&lt;='Cash Flow Statement'!AK$2,'Cash Flow Statement'!AK$2&lt;=Summary!$O26),IF((AK$2-Summary!$N26)&lt;12,Summary!$P26,IF(MOD(AK$2,12)=MOD(Summary!$N26,12),(Summary!$P26*((1+Summary!$K$20)^((AK$2-12-MOD(Summary!$N26,12))/12))),HLOOKUP(AJ$3,$E$3:$DV32,26,FALSE))))</f>
        <v>141.625</v>
      </c>
      <c r="AL28" s="46">
        <f>IF(AND(Summary!$N26&lt;='Cash Flow Statement'!AL$2,'Cash Flow Statement'!AL$2&lt;=Summary!$O26),IF((AL$2-Summary!$N26)&lt;12,Summary!$P26,IF(MOD(AL$2,12)=MOD(Summary!$N26,12),(Summary!$P26*((1+Summary!$K$20)^((AL$2-12-MOD(Summary!$N26,12))/12))),HLOOKUP(AK$3,$E$3:$DV32,26,FALSE))))</f>
        <v>141.625</v>
      </c>
      <c r="AM28" s="46">
        <f>IF(AND(Summary!$N26&lt;='Cash Flow Statement'!AM$2,'Cash Flow Statement'!AM$2&lt;=Summary!$O26),IF((AM$2-Summary!$N26)&lt;12,Summary!$P26,IF(MOD(AM$2,12)=MOD(Summary!$N26,12),(Summary!$P26*((1+Summary!$K$20)^((AM$2-12-MOD(Summary!$N26,12))/12))),HLOOKUP(AL$3,$E$3:$DV32,26,FALSE))))</f>
        <v>141.625</v>
      </c>
      <c r="AN28" s="46">
        <f>IF(AND(Summary!$N26&lt;='Cash Flow Statement'!AN$2,'Cash Flow Statement'!AN$2&lt;=Summary!$O26),IF((AN$2-Summary!$N26)&lt;12,Summary!$P26,IF(MOD(AN$2,12)=MOD(Summary!$N26,12),(Summary!$P26*((1+Summary!$K$20)^((AN$2-12-MOD(Summary!$N26,12))/12))),HLOOKUP(AM$3,$E$3:$DV32,26,FALSE))))</f>
        <v>141.625</v>
      </c>
      <c r="AO28" s="46">
        <f>IF(AND(Summary!$N26&lt;='Cash Flow Statement'!AO$2,'Cash Flow Statement'!AO$2&lt;=Summary!$O26),IF((AO$2-Summary!$N26)&lt;12,Summary!$P26,IF(MOD(AO$2,12)=MOD(Summary!$N26,12),(Summary!$P26*((1+Summary!$K$20)^((AO$2-12-MOD(Summary!$N26,12))/12))),HLOOKUP(AN$3,$E$3:$DV32,26,FALSE))))</f>
        <v>145.87375</v>
      </c>
      <c r="AP28" s="46">
        <f>IF(AND(Summary!$N26&lt;='Cash Flow Statement'!AP$2,'Cash Flow Statement'!AP$2&lt;=Summary!$O26),IF((AP$2-Summary!$N26)&lt;12,Summary!$P26,IF(MOD(AP$2,12)=MOD(Summary!$N26,12),(Summary!$P26*((1+Summary!$K$20)^((AP$2-12-MOD(Summary!$N26,12))/12))),HLOOKUP(AO$3,$E$3:$DV32,26,FALSE))))</f>
        <v>145.87375</v>
      </c>
      <c r="AQ28" s="46">
        <f>IF(AND(Summary!$N26&lt;='Cash Flow Statement'!AQ$2,'Cash Flow Statement'!AQ$2&lt;=Summary!$O26),IF((AQ$2-Summary!$N26)&lt;12,Summary!$P26,IF(MOD(AQ$2,12)=MOD(Summary!$N26,12),(Summary!$P26*((1+Summary!$K$20)^((AQ$2-12-MOD(Summary!$N26,12))/12))),HLOOKUP(AP$3,$E$3:$DV32,26,FALSE))))</f>
        <v>145.87375</v>
      </c>
      <c r="AR28" s="46">
        <f>IF(AND(Summary!$N26&lt;='Cash Flow Statement'!AR$2,'Cash Flow Statement'!AR$2&lt;=Summary!$O26),IF((AR$2-Summary!$N26)&lt;12,Summary!$P26,IF(MOD(AR$2,12)=MOD(Summary!$N26,12),(Summary!$P26*((1+Summary!$K$20)^((AR$2-12-MOD(Summary!$N26,12))/12))),HLOOKUP(AQ$3,$E$3:$DV32,26,FALSE))))</f>
        <v>145.87375</v>
      </c>
      <c r="AS28" s="46">
        <f>IF(AND(Summary!$N26&lt;='Cash Flow Statement'!AS$2,'Cash Flow Statement'!AS$2&lt;=Summary!$O26),IF((AS$2-Summary!$N26)&lt;12,Summary!$P26,IF(MOD(AS$2,12)=MOD(Summary!$N26,12),(Summary!$P26*((1+Summary!$K$20)^((AS$2-12-MOD(Summary!$N26,12))/12))),HLOOKUP(AR$3,$E$3:$DV32,26,FALSE))))</f>
        <v>145.87375</v>
      </c>
      <c r="AT28" s="46">
        <f>IF(AND(Summary!$N26&lt;='Cash Flow Statement'!AT$2,'Cash Flow Statement'!AT$2&lt;=Summary!$O26),IF((AT$2-Summary!$N26)&lt;12,Summary!$P26,IF(MOD(AT$2,12)=MOD(Summary!$N26,12),(Summary!$P26*((1+Summary!$K$20)^((AT$2-12-MOD(Summary!$N26,12))/12))),HLOOKUP(AS$3,$E$3:$DV32,26,FALSE))))</f>
        <v>145.87375</v>
      </c>
      <c r="AU28" s="46">
        <f>IF(AND(Summary!$N26&lt;='Cash Flow Statement'!AU$2,'Cash Flow Statement'!AU$2&lt;=Summary!$O26),IF((AU$2-Summary!$N26)&lt;12,Summary!$P26,IF(MOD(AU$2,12)=MOD(Summary!$N26,12),(Summary!$P26*((1+Summary!$K$20)^((AU$2-12-MOD(Summary!$N26,12))/12))),HLOOKUP(AT$3,$E$3:$DV32,26,FALSE))))</f>
        <v>145.87375</v>
      </c>
      <c r="AV28" s="46">
        <f>IF(AND(Summary!$N26&lt;='Cash Flow Statement'!AV$2,'Cash Flow Statement'!AV$2&lt;=Summary!$O26),IF((AV$2-Summary!$N26)&lt;12,Summary!$P26,IF(MOD(AV$2,12)=MOD(Summary!$N26,12),(Summary!$P26*((1+Summary!$K$20)^((AV$2-12-MOD(Summary!$N26,12))/12))),HLOOKUP(AU$3,$E$3:$DV32,26,FALSE))))</f>
        <v>145.87375</v>
      </c>
      <c r="AW28" s="46">
        <f>IF(AND(Summary!$N26&lt;='Cash Flow Statement'!AW$2,'Cash Flow Statement'!AW$2&lt;=Summary!$O26),IF((AW$2-Summary!$N26)&lt;12,Summary!$P26,IF(MOD(AW$2,12)=MOD(Summary!$N26,12),(Summary!$P26*((1+Summary!$K$20)^((AW$2-12-MOD(Summary!$N26,12))/12))),HLOOKUP(AV$3,$E$3:$DV32,26,FALSE))))</f>
        <v>145.87375</v>
      </c>
      <c r="AX28" s="46">
        <f>IF(AND(Summary!$N26&lt;='Cash Flow Statement'!AX$2,'Cash Flow Statement'!AX$2&lt;=Summary!$O26),IF((AX$2-Summary!$N26)&lt;12,Summary!$P26,IF(MOD(AX$2,12)=MOD(Summary!$N26,12),(Summary!$P26*((1+Summary!$K$20)^((AX$2-12-MOD(Summary!$N26,12))/12))),HLOOKUP(AW$3,$E$3:$DV32,26,FALSE))))</f>
        <v>145.87375</v>
      </c>
      <c r="AY28" s="46">
        <f>IF(AND(Summary!$N26&lt;='Cash Flow Statement'!AY$2,'Cash Flow Statement'!AY$2&lt;=Summary!$O26),IF((AY$2-Summary!$N26)&lt;12,Summary!$P26,IF(MOD(AY$2,12)=MOD(Summary!$N26,12),(Summary!$P26*((1+Summary!$K$20)^((AY$2-12-MOD(Summary!$N26,12))/12))),HLOOKUP(AX$3,$E$3:$DV32,26,FALSE))))</f>
        <v>145.87375</v>
      </c>
      <c r="AZ28" s="46">
        <f>IF(AND(Summary!$N26&lt;='Cash Flow Statement'!AZ$2,'Cash Flow Statement'!AZ$2&lt;=Summary!$O26),IF((AZ$2-Summary!$N26)&lt;12,Summary!$P26,IF(MOD(AZ$2,12)=MOD(Summary!$N26,12),(Summary!$P26*((1+Summary!$K$20)^((AZ$2-12-MOD(Summary!$N26,12))/12))),HLOOKUP(AY$3,$E$3:$DV32,26,FALSE))))</f>
        <v>145.87375</v>
      </c>
      <c r="BA28" s="46">
        <f>IF(AND(Summary!$N26&lt;='Cash Flow Statement'!BA$2,'Cash Flow Statement'!BA$2&lt;=Summary!$O26),IF((BA$2-Summary!$N26)&lt;12,Summary!$P26,IF(MOD(BA$2,12)=MOD(Summary!$N26,12),(Summary!$P26*((1+Summary!$K$20)^((BA$2-12-MOD(Summary!$N26,12))/12))),HLOOKUP(AZ$3,$E$3:$DV32,26,FALSE))))</f>
        <v>150.24996250000001</v>
      </c>
      <c r="BB28" s="46">
        <f>IF(AND(Summary!$N26&lt;='Cash Flow Statement'!BB$2,'Cash Flow Statement'!BB$2&lt;=Summary!$O26),IF((BB$2-Summary!$N26)&lt;12,Summary!$P26,IF(MOD(BB$2,12)=MOD(Summary!$N26,12),(Summary!$P26*((1+Summary!$K$20)^((BB$2-12-MOD(Summary!$N26,12))/12))),HLOOKUP(BA$3,$E$3:$DV32,26,FALSE))))</f>
        <v>150.24996250000001</v>
      </c>
      <c r="BC28" s="46">
        <f>IF(AND(Summary!$N26&lt;='Cash Flow Statement'!BC$2,'Cash Flow Statement'!BC$2&lt;=Summary!$O26),IF((BC$2-Summary!$N26)&lt;12,Summary!$P26,IF(MOD(BC$2,12)=MOD(Summary!$N26,12),(Summary!$P26*((1+Summary!$K$20)^((BC$2-12-MOD(Summary!$N26,12))/12))),HLOOKUP(BB$3,$E$3:$DV32,26,FALSE))))</f>
        <v>150.24996250000001</v>
      </c>
      <c r="BD28" s="46">
        <f>IF(AND(Summary!$N26&lt;='Cash Flow Statement'!BD$2,'Cash Flow Statement'!BD$2&lt;=Summary!$O26),IF((BD$2-Summary!$N26)&lt;12,Summary!$P26,IF(MOD(BD$2,12)=MOD(Summary!$N26,12),(Summary!$P26*((1+Summary!$K$20)^((BD$2-12-MOD(Summary!$N26,12))/12))),HLOOKUP(BC$3,$E$3:$DV32,26,FALSE))))</f>
        <v>150.24996250000001</v>
      </c>
      <c r="BE28" s="46">
        <f>IF(AND(Summary!$N26&lt;='Cash Flow Statement'!BE$2,'Cash Flow Statement'!BE$2&lt;=Summary!$O26),IF((BE$2-Summary!$N26)&lt;12,Summary!$P26,IF(MOD(BE$2,12)=MOD(Summary!$N26,12),(Summary!$P26*((1+Summary!$K$20)^((BE$2-12-MOD(Summary!$N26,12))/12))),HLOOKUP(BD$3,$E$3:$DV32,26,FALSE))))</f>
        <v>150.24996250000001</v>
      </c>
      <c r="BF28" s="46">
        <f>IF(AND(Summary!$N26&lt;='Cash Flow Statement'!BF$2,'Cash Flow Statement'!BF$2&lt;=Summary!$O26),IF((BF$2-Summary!$N26)&lt;12,Summary!$P26,IF(MOD(BF$2,12)=MOD(Summary!$N26,12),(Summary!$P26*((1+Summary!$K$20)^((BF$2-12-MOD(Summary!$N26,12))/12))),HLOOKUP(BE$3,$E$3:$DV32,26,FALSE))))</f>
        <v>150.24996250000001</v>
      </c>
      <c r="BG28" s="46">
        <f>IF(AND(Summary!$N26&lt;='Cash Flow Statement'!BG$2,'Cash Flow Statement'!BG$2&lt;=Summary!$O26),IF((BG$2-Summary!$N26)&lt;12,Summary!$P26,IF(MOD(BG$2,12)=MOD(Summary!$N26,12),(Summary!$P26*((1+Summary!$K$20)^((BG$2-12-MOD(Summary!$N26,12))/12))),HLOOKUP(BF$3,$E$3:$DV32,26,FALSE))))</f>
        <v>150.24996250000001</v>
      </c>
      <c r="BH28" s="46">
        <f>IF(AND(Summary!$N26&lt;='Cash Flow Statement'!BH$2,'Cash Flow Statement'!BH$2&lt;=Summary!$O26),IF((BH$2-Summary!$N26)&lt;12,Summary!$P26,IF(MOD(BH$2,12)=MOD(Summary!$N26,12),(Summary!$P26*((1+Summary!$K$20)^((BH$2-12-MOD(Summary!$N26,12))/12))),HLOOKUP(BG$3,$E$3:$DV32,26,FALSE))))</f>
        <v>150.24996250000001</v>
      </c>
      <c r="BI28" s="46">
        <f>IF(AND(Summary!$N26&lt;='Cash Flow Statement'!BI$2,'Cash Flow Statement'!BI$2&lt;=Summary!$O26),IF((BI$2-Summary!$N26)&lt;12,Summary!$P26,IF(MOD(BI$2,12)=MOD(Summary!$N26,12),(Summary!$P26*((1+Summary!$K$20)^((BI$2-12-MOD(Summary!$N26,12))/12))),HLOOKUP(BH$3,$E$3:$DV32,26,FALSE))))</f>
        <v>150.24996250000001</v>
      </c>
      <c r="BJ28" s="46">
        <f>IF(AND(Summary!$N26&lt;='Cash Flow Statement'!BJ$2,'Cash Flow Statement'!BJ$2&lt;=Summary!$O26),IF((BJ$2-Summary!$N26)&lt;12,Summary!$P26,IF(MOD(BJ$2,12)=MOD(Summary!$N26,12),(Summary!$P26*((1+Summary!$K$20)^((BJ$2-12-MOD(Summary!$N26,12))/12))),HLOOKUP(BI$3,$E$3:$DV32,26,FALSE))))</f>
        <v>150.24996250000001</v>
      </c>
      <c r="BK28" s="46">
        <f>IF(AND(Summary!$N26&lt;='Cash Flow Statement'!BK$2,'Cash Flow Statement'!BK$2&lt;=Summary!$O26),IF((BK$2-Summary!$N26)&lt;12,Summary!$P26,IF(MOD(BK$2,12)=MOD(Summary!$N26,12),(Summary!$P26*((1+Summary!$K$20)^((BK$2-12-MOD(Summary!$N26,12))/12))),HLOOKUP(BJ$3,$E$3:$DV32,26,FALSE))))</f>
        <v>150.24996250000001</v>
      </c>
      <c r="BL28" s="46">
        <f>IF(AND(Summary!$N26&lt;='Cash Flow Statement'!BL$2,'Cash Flow Statement'!BL$2&lt;=Summary!$O26),IF((BL$2-Summary!$N26)&lt;12,Summary!$P26,IF(MOD(BL$2,12)=MOD(Summary!$N26,12),(Summary!$P26*((1+Summary!$K$20)^((BL$2-12-MOD(Summary!$N26,12))/12))),HLOOKUP(BK$3,$E$3:$DV32,26,FALSE))))</f>
        <v>150.24996250000001</v>
      </c>
      <c r="BM28" s="46">
        <f>IF(AND(Summary!$N26&lt;='Cash Flow Statement'!BM$2,'Cash Flow Statement'!BM$2&lt;=Summary!$O26),IF((BM$2-Summary!$N26)&lt;12,Summary!$P26,IF(MOD(BM$2,12)=MOD(Summary!$N26,12),(Summary!$P26*((1+Summary!$K$20)^((BM$2-12-MOD(Summary!$N26,12))/12))),HLOOKUP(BL$3,$E$3:$DV32,26,FALSE))))</f>
        <v>154.75746137499999</v>
      </c>
      <c r="BN28" s="46">
        <f>IF(AND(Summary!$N26&lt;='Cash Flow Statement'!BN$2,'Cash Flow Statement'!BN$2&lt;=Summary!$O26),IF((BN$2-Summary!$N26)&lt;12,Summary!$P26,IF(MOD(BN$2,12)=MOD(Summary!$N26,12),(Summary!$P26*((1+Summary!$K$20)^((BN$2-12-MOD(Summary!$N26,12))/12))),HLOOKUP(BM$3,$E$3:$DV32,26,FALSE))))</f>
        <v>154.75746137499999</v>
      </c>
      <c r="BO28" s="46">
        <f>IF(AND(Summary!$N26&lt;='Cash Flow Statement'!BO$2,'Cash Flow Statement'!BO$2&lt;=Summary!$O26),IF((BO$2-Summary!$N26)&lt;12,Summary!$P26,IF(MOD(BO$2,12)=MOD(Summary!$N26,12),(Summary!$P26*((1+Summary!$K$20)^((BO$2-12-MOD(Summary!$N26,12))/12))),HLOOKUP(BN$3,$E$3:$DV32,26,FALSE))))</f>
        <v>154.75746137499999</v>
      </c>
      <c r="BP28" s="46">
        <f>IF(AND(Summary!$N26&lt;='Cash Flow Statement'!BP$2,'Cash Flow Statement'!BP$2&lt;=Summary!$O26),IF((BP$2-Summary!$N26)&lt;12,Summary!$P26,IF(MOD(BP$2,12)=MOD(Summary!$N26,12),(Summary!$P26*((1+Summary!$K$20)^((BP$2-12-MOD(Summary!$N26,12))/12))),HLOOKUP(BO$3,$E$3:$DV32,26,FALSE))))</f>
        <v>154.75746137499999</v>
      </c>
      <c r="BQ28" s="46">
        <f>IF(AND(Summary!$N26&lt;='Cash Flow Statement'!BQ$2,'Cash Flow Statement'!BQ$2&lt;=Summary!$O26),IF((BQ$2-Summary!$N26)&lt;12,Summary!$P26,IF(MOD(BQ$2,12)=MOD(Summary!$N26,12),(Summary!$P26*((1+Summary!$K$20)^((BQ$2-12-MOD(Summary!$N26,12))/12))),HLOOKUP(BP$3,$E$3:$DV32,26,FALSE))))</f>
        <v>154.75746137499999</v>
      </c>
      <c r="BR28" s="46">
        <f>IF(AND(Summary!$N26&lt;='Cash Flow Statement'!BR$2,'Cash Flow Statement'!BR$2&lt;=Summary!$O26),IF((BR$2-Summary!$N26)&lt;12,Summary!$P26,IF(MOD(BR$2,12)=MOD(Summary!$N26,12),(Summary!$P26*((1+Summary!$K$20)^((BR$2-12-MOD(Summary!$N26,12))/12))),HLOOKUP(BQ$3,$E$3:$DV32,26,FALSE))))</f>
        <v>154.75746137499999</v>
      </c>
      <c r="BS28" s="46">
        <f>IF(AND(Summary!$N26&lt;='Cash Flow Statement'!BS$2,'Cash Flow Statement'!BS$2&lt;=Summary!$O26),IF((BS$2-Summary!$N26)&lt;12,Summary!$P26,IF(MOD(BS$2,12)=MOD(Summary!$N26,12),(Summary!$P26*((1+Summary!$K$20)^((BS$2-12-MOD(Summary!$N26,12))/12))),HLOOKUP(BR$3,$E$3:$DV32,26,FALSE))))</f>
        <v>154.75746137499999</v>
      </c>
      <c r="BT28" s="46">
        <f>IF(AND(Summary!$N26&lt;='Cash Flow Statement'!BT$2,'Cash Flow Statement'!BT$2&lt;=Summary!$O26),IF((BT$2-Summary!$N26)&lt;12,Summary!$P26,IF(MOD(BT$2,12)=MOD(Summary!$N26,12),(Summary!$P26*((1+Summary!$K$20)^((BT$2-12-MOD(Summary!$N26,12))/12))),HLOOKUP(BS$3,$E$3:$DV32,26,FALSE))))</f>
        <v>154.75746137499999</v>
      </c>
      <c r="BU28" s="46">
        <f>IF(AND(Summary!$N26&lt;='Cash Flow Statement'!BU$2,'Cash Flow Statement'!BU$2&lt;=Summary!$O26),IF((BU$2-Summary!$N26)&lt;12,Summary!$P26,IF(MOD(BU$2,12)=MOD(Summary!$N26,12),(Summary!$P26*((1+Summary!$K$20)^((BU$2-12-MOD(Summary!$N26,12))/12))),HLOOKUP(BT$3,$E$3:$DV32,26,FALSE))))</f>
        <v>154.75746137499999</v>
      </c>
      <c r="BV28" s="46">
        <f>IF(AND(Summary!$N26&lt;='Cash Flow Statement'!BV$2,'Cash Flow Statement'!BV$2&lt;=Summary!$O26),IF((BV$2-Summary!$N26)&lt;12,Summary!$P26,IF(MOD(BV$2,12)=MOD(Summary!$N26,12),(Summary!$P26*((1+Summary!$K$20)^((BV$2-12-MOD(Summary!$N26,12))/12))),HLOOKUP(BU$3,$E$3:$DV32,26,FALSE))))</f>
        <v>154.75746137499999</v>
      </c>
      <c r="BW28" s="46">
        <f>IF(AND(Summary!$N26&lt;='Cash Flow Statement'!BW$2,'Cash Flow Statement'!BW$2&lt;=Summary!$O26),IF((BW$2-Summary!$N26)&lt;12,Summary!$P26,IF(MOD(BW$2,12)=MOD(Summary!$N26,12),(Summary!$P26*((1+Summary!$K$20)^((BW$2-12-MOD(Summary!$N26,12))/12))),HLOOKUP(BV$3,$E$3:$DV32,26,FALSE))))</f>
        <v>154.75746137499999</v>
      </c>
      <c r="BX28" s="46">
        <f>IF(AND(Summary!$N26&lt;='Cash Flow Statement'!BX$2,'Cash Flow Statement'!BX$2&lt;=Summary!$O26),IF((BX$2-Summary!$N26)&lt;12,Summary!$P26,IF(MOD(BX$2,12)=MOD(Summary!$N26,12),(Summary!$P26*((1+Summary!$K$20)^((BX$2-12-MOD(Summary!$N26,12))/12))),HLOOKUP(BW$3,$E$3:$DV32,26,FALSE))))</f>
        <v>154.75746137499999</v>
      </c>
      <c r="BY28" s="46">
        <f>IF(AND(Summary!$N26&lt;='Cash Flow Statement'!BY$2,'Cash Flow Statement'!BY$2&lt;=Summary!$O26),IF((BY$2-Summary!$N26)&lt;12,Summary!$P26,IF(MOD(BY$2,12)=MOD(Summary!$N26,12),(Summary!$P26*((1+Summary!$K$20)^((BY$2-12-MOD(Summary!$N26,12))/12))),HLOOKUP(BX$3,$E$3:$DV32,26,FALSE))))</f>
        <v>159.40018521624998</v>
      </c>
      <c r="BZ28" s="46">
        <f>IF(AND(Summary!$N26&lt;='Cash Flow Statement'!BZ$2,'Cash Flow Statement'!BZ$2&lt;=Summary!$O26),IF((BZ$2-Summary!$N26)&lt;12,Summary!$P26,IF(MOD(BZ$2,12)=MOD(Summary!$N26,12),(Summary!$P26*((1+Summary!$K$20)^((BZ$2-12-MOD(Summary!$N26,12))/12))),HLOOKUP(BY$3,$E$3:$DV32,26,FALSE))))</f>
        <v>159.40018521624998</v>
      </c>
      <c r="CA28" s="46">
        <f>IF(AND(Summary!$N26&lt;='Cash Flow Statement'!CA$2,'Cash Flow Statement'!CA$2&lt;=Summary!$O26),IF((CA$2-Summary!$N26)&lt;12,Summary!$P26,IF(MOD(CA$2,12)=MOD(Summary!$N26,12),(Summary!$P26*((1+Summary!$K$20)^((CA$2-12-MOD(Summary!$N26,12))/12))),HLOOKUP(BZ$3,$E$3:$DV32,26,FALSE))))</f>
        <v>159.40018521624998</v>
      </c>
      <c r="CB28" s="46">
        <f>IF(AND(Summary!$N26&lt;='Cash Flow Statement'!CB$2,'Cash Flow Statement'!CB$2&lt;=Summary!$O26),IF((CB$2-Summary!$N26)&lt;12,Summary!$P26,IF(MOD(CB$2,12)=MOD(Summary!$N26,12),(Summary!$P26*((1+Summary!$K$20)^((CB$2-12-MOD(Summary!$N26,12))/12))),HLOOKUP(CA$3,$E$3:$DV32,26,FALSE))))</f>
        <v>159.40018521624998</v>
      </c>
      <c r="CC28" s="46">
        <f>IF(AND(Summary!$N26&lt;='Cash Flow Statement'!CC$2,'Cash Flow Statement'!CC$2&lt;=Summary!$O26),IF((CC$2-Summary!$N26)&lt;12,Summary!$P26,IF(MOD(CC$2,12)=MOD(Summary!$N26,12),(Summary!$P26*((1+Summary!$K$20)^((CC$2-12-MOD(Summary!$N26,12))/12))),HLOOKUP(CB$3,$E$3:$DV32,26,FALSE))))</f>
        <v>159.40018521624998</v>
      </c>
      <c r="CD28" s="46">
        <f>IF(AND(Summary!$N26&lt;='Cash Flow Statement'!CD$2,'Cash Flow Statement'!CD$2&lt;=Summary!$O26),IF((CD$2-Summary!$N26)&lt;12,Summary!$P26,IF(MOD(CD$2,12)=MOD(Summary!$N26,12),(Summary!$P26*((1+Summary!$K$20)^((CD$2-12-MOD(Summary!$N26,12))/12))),HLOOKUP(CC$3,$E$3:$DV32,26,FALSE))))</f>
        <v>159.40018521624998</v>
      </c>
      <c r="CE28" s="46">
        <f>IF(AND(Summary!$N26&lt;='Cash Flow Statement'!CE$2,'Cash Flow Statement'!CE$2&lt;=Summary!$O26),IF((CE$2-Summary!$N26)&lt;12,Summary!$P26,IF(MOD(CE$2,12)=MOD(Summary!$N26,12),(Summary!$P26*((1+Summary!$K$20)^((CE$2-12-MOD(Summary!$N26,12))/12))),HLOOKUP(CD$3,$E$3:$DV32,26,FALSE))))</f>
        <v>159.40018521624998</v>
      </c>
      <c r="CF28" s="46">
        <f>IF(AND(Summary!$N26&lt;='Cash Flow Statement'!CF$2,'Cash Flow Statement'!CF$2&lt;=Summary!$O26),IF((CF$2-Summary!$N26)&lt;12,Summary!$P26,IF(MOD(CF$2,12)=MOD(Summary!$N26,12),(Summary!$P26*((1+Summary!$K$20)^((CF$2-12-MOD(Summary!$N26,12))/12))),HLOOKUP(CE$3,$E$3:$DV32,26,FALSE))))</f>
        <v>159.40018521624998</v>
      </c>
      <c r="CG28" s="46">
        <f>IF(AND(Summary!$N26&lt;='Cash Flow Statement'!CG$2,'Cash Flow Statement'!CG$2&lt;=Summary!$O26),IF((CG$2-Summary!$N26)&lt;12,Summary!$P26,IF(MOD(CG$2,12)=MOD(Summary!$N26,12),(Summary!$P26*((1+Summary!$K$20)^((CG$2-12-MOD(Summary!$N26,12))/12))),HLOOKUP(CF$3,$E$3:$DV32,26,FALSE))))</f>
        <v>159.40018521624998</v>
      </c>
      <c r="CH28" s="46">
        <f>IF(AND(Summary!$N26&lt;='Cash Flow Statement'!CH$2,'Cash Flow Statement'!CH$2&lt;=Summary!$O26),IF((CH$2-Summary!$N26)&lt;12,Summary!$P26,IF(MOD(CH$2,12)=MOD(Summary!$N26,12),(Summary!$P26*((1+Summary!$K$20)^((CH$2-12-MOD(Summary!$N26,12))/12))),HLOOKUP(CG$3,$E$3:$DV32,26,FALSE))))</f>
        <v>159.40018521624998</v>
      </c>
      <c r="CI28" s="46">
        <f>IF(AND(Summary!$N26&lt;='Cash Flow Statement'!CI$2,'Cash Flow Statement'!CI$2&lt;=Summary!$O26),IF((CI$2-Summary!$N26)&lt;12,Summary!$P26,IF(MOD(CI$2,12)=MOD(Summary!$N26,12),(Summary!$P26*((1+Summary!$K$20)^((CI$2-12-MOD(Summary!$N26,12))/12))),HLOOKUP(CH$3,$E$3:$DV32,26,FALSE))))</f>
        <v>159.40018521624998</v>
      </c>
      <c r="CJ28" s="46">
        <f>IF(AND(Summary!$N26&lt;='Cash Flow Statement'!CJ$2,'Cash Flow Statement'!CJ$2&lt;=Summary!$O26),IF((CJ$2-Summary!$N26)&lt;12,Summary!$P26,IF(MOD(CJ$2,12)=MOD(Summary!$N26,12),(Summary!$P26*((1+Summary!$K$20)^((CJ$2-12-MOD(Summary!$N26,12))/12))),HLOOKUP(CI$3,$E$3:$DV32,26,FALSE))))</f>
        <v>159.40018521624998</v>
      </c>
      <c r="CK28" s="46">
        <f>IF(AND(Summary!$N26&lt;='Cash Flow Statement'!CK$2,'Cash Flow Statement'!CK$2&lt;=Summary!$O26),IF((CK$2-Summary!$N26)&lt;12,Summary!$P26,IF(MOD(CK$2,12)=MOD(Summary!$N26,12),(Summary!$P26*((1+Summary!$K$20)^((CK$2-12-MOD(Summary!$N26,12))/12))),HLOOKUP(CJ$3,$E$3:$DV32,26,FALSE))))</f>
        <v>164.1821907727375</v>
      </c>
      <c r="CL28" s="46">
        <f>IF(AND(Summary!$N26&lt;='Cash Flow Statement'!CL$2,'Cash Flow Statement'!CL$2&lt;=Summary!$O26),IF((CL$2-Summary!$N26)&lt;12,Summary!$P26,IF(MOD(CL$2,12)=MOD(Summary!$N26,12),(Summary!$P26*((1+Summary!$K$20)^((CL$2-12-MOD(Summary!$N26,12))/12))),HLOOKUP(CK$3,$E$3:$DV32,26,FALSE))))</f>
        <v>164.1821907727375</v>
      </c>
      <c r="CM28" s="46">
        <f>IF(AND(Summary!$N26&lt;='Cash Flow Statement'!CM$2,'Cash Flow Statement'!CM$2&lt;=Summary!$O26),IF((CM$2-Summary!$N26)&lt;12,Summary!$P26,IF(MOD(CM$2,12)=MOD(Summary!$N26,12),(Summary!$P26*((1+Summary!$K$20)^((CM$2-12-MOD(Summary!$N26,12))/12))),HLOOKUP(CL$3,$E$3:$DV32,26,FALSE))))</f>
        <v>164.1821907727375</v>
      </c>
      <c r="CN28" s="46">
        <f>IF(AND(Summary!$N26&lt;='Cash Flow Statement'!CN$2,'Cash Flow Statement'!CN$2&lt;=Summary!$O26),IF((CN$2-Summary!$N26)&lt;12,Summary!$P26,IF(MOD(CN$2,12)=MOD(Summary!$N26,12),(Summary!$P26*((1+Summary!$K$20)^((CN$2-12-MOD(Summary!$N26,12))/12))),HLOOKUP(CM$3,$E$3:$DV32,26,FALSE))))</f>
        <v>164.1821907727375</v>
      </c>
      <c r="CO28" s="46">
        <f>IF(AND(Summary!$N26&lt;='Cash Flow Statement'!CO$2,'Cash Flow Statement'!CO$2&lt;=Summary!$O26),IF((CO$2-Summary!$N26)&lt;12,Summary!$P26,IF(MOD(CO$2,12)=MOD(Summary!$N26,12),(Summary!$P26*((1+Summary!$K$20)^((CO$2-12-MOD(Summary!$N26,12))/12))),HLOOKUP(CN$3,$E$3:$DV32,26,FALSE))))</f>
        <v>164.1821907727375</v>
      </c>
      <c r="CP28" s="46">
        <f>IF(AND(Summary!$N26&lt;='Cash Flow Statement'!CP$2,'Cash Flow Statement'!CP$2&lt;=Summary!$O26),IF((CP$2-Summary!$N26)&lt;12,Summary!$P26,IF(MOD(CP$2,12)=MOD(Summary!$N26,12),(Summary!$P26*((1+Summary!$K$20)^((CP$2-12-MOD(Summary!$N26,12))/12))),HLOOKUP(CO$3,$E$3:$DV32,26,FALSE))))</f>
        <v>164.1821907727375</v>
      </c>
      <c r="CQ28" s="46">
        <f>IF(AND(Summary!$N26&lt;='Cash Flow Statement'!CQ$2,'Cash Flow Statement'!CQ$2&lt;=Summary!$O26),IF((CQ$2-Summary!$N26)&lt;12,Summary!$P26,IF(MOD(CQ$2,12)=MOD(Summary!$N26,12),(Summary!$P26*((1+Summary!$K$20)^((CQ$2-12-MOD(Summary!$N26,12))/12))),HLOOKUP(CP$3,$E$3:$DV32,26,FALSE))))</f>
        <v>164.1821907727375</v>
      </c>
      <c r="CR28" s="46">
        <f>IF(AND(Summary!$N26&lt;='Cash Flow Statement'!CR$2,'Cash Flow Statement'!CR$2&lt;=Summary!$O26),IF((CR$2-Summary!$N26)&lt;12,Summary!$P26,IF(MOD(CR$2,12)=MOD(Summary!$N26,12),(Summary!$P26*((1+Summary!$K$20)^((CR$2-12-MOD(Summary!$N26,12))/12))),HLOOKUP(CQ$3,$E$3:$DV32,26,FALSE))))</f>
        <v>164.1821907727375</v>
      </c>
      <c r="CS28" s="46">
        <f>IF(AND(Summary!$N26&lt;='Cash Flow Statement'!CS$2,'Cash Flow Statement'!CS$2&lt;=Summary!$O26),IF((CS$2-Summary!$N26)&lt;12,Summary!$P26,IF(MOD(CS$2,12)=MOD(Summary!$N26,12),(Summary!$P26*((1+Summary!$K$20)^((CS$2-12-MOD(Summary!$N26,12))/12))),HLOOKUP(CR$3,$E$3:$DV32,26,FALSE))))</f>
        <v>164.1821907727375</v>
      </c>
      <c r="CT28" s="46">
        <f>IF(AND(Summary!$N26&lt;='Cash Flow Statement'!CT$2,'Cash Flow Statement'!CT$2&lt;=Summary!$O26),IF((CT$2-Summary!$N26)&lt;12,Summary!$P26,IF(MOD(CT$2,12)=MOD(Summary!$N26,12),(Summary!$P26*((1+Summary!$K$20)^((CT$2-12-MOD(Summary!$N26,12))/12))),HLOOKUP(CS$3,$E$3:$DV32,26,FALSE))))</f>
        <v>164.1821907727375</v>
      </c>
      <c r="CU28" s="46">
        <f>IF(AND(Summary!$N26&lt;='Cash Flow Statement'!CU$2,'Cash Flow Statement'!CU$2&lt;=Summary!$O26),IF((CU$2-Summary!$N26)&lt;12,Summary!$P26,IF(MOD(CU$2,12)=MOD(Summary!$N26,12),(Summary!$P26*((1+Summary!$K$20)^((CU$2-12-MOD(Summary!$N26,12))/12))),HLOOKUP(CT$3,$E$3:$DV32,26,FALSE))))</f>
        <v>164.1821907727375</v>
      </c>
      <c r="CV28" s="46">
        <f>IF(AND(Summary!$N26&lt;='Cash Flow Statement'!CV$2,'Cash Flow Statement'!CV$2&lt;=Summary!$O26),IF((CV$2-Summary!$N26)&lt;12,Summary!$P26,IF(MOD(CV$2,12)=MOD(Summary!$N26,12),(Summary!$P26*((1+Summary!$K$20)^((CV$2-12-MOD(Summary!$N26,12))/12))),HLOOKUP(CU$3,$E$3:$DV32,26,FALSE))))</f>
        <v>164.1821907727375</v>
      </c>
      <c r="CW28" s="46">
        <f>IF(AND(Summary!$N26&lt;='Cash Flow Statement'!CW$2,'Cash Flow Statement'!CW$2&lt;=Summary!$O26),IF((CW$2-Summary!$N26)&lt;12,Summary!$P26,IF(MOD(CW$2,12)=MOD(Summary!$N26,12),(Summary!$P26*((1+Summary!$K$20)^((CW$2-12-MOD(Summary!$N26,12))/12))),HLOOKUP(CV$3,$E$3:$DV32,26,FALSE))))</f>
        <v>169.10765649591963</v>
      </c>
      <c r="CX28" s="46">
        <f>IF(AND(Summary!$N26&lt;='Cash Flow Statement'!CX$2,'Cash Flow Statement'!CX$2&lt;=Summary!$O26),IF((CX$2-Summary!$N26)&lt;12,Summary!$P26,IF(MOD(CX$2,12)=MOD(Summary!$N26,12),(Summary!$P26*((1+Summary!$K$20)^((CX$2-12-MOD(Summary!$N26,12))/12))),HLOOKUP(CW$3,$E$3:$DV32,26,FALSE))))</f>
        <v>169.10765649591963</v>
      </c>
      <c r="CY28" s="46">
        <f>IF(AND(Summary!$N26&lt;='Cash Flow Statement'!CY$2,'Cash Flow Statement'!CY$2&lt;=Summary!$O26),IF((CY$2-Summary!$N26)&lt;12,Summary!$P26,IF(MOD(CY$2,12)=MOD(Summary!$N26,12),(Summary!$P26*((1+Summary!$K$20)^((CY$2-12-MOD(Summary!$N26,12))/12))),HLOOKUP(CX$3,$E$3:$DV32,26,FALSE))))</f>
        <v>169.10765649591963</v>
      </c>
      <c r="CZ28" s="46">
        <f>IF(AND(Summary!$N26&lt;='Cash Flow Statement'!CZ$2,'Cash Flow Statement'!CZ$2&lt;=Summary!$O26),IF((CZ$2-Summary!$N26)&lt;12,Summary!$P26,IF(MOD(CZ$2,12)=MOD(Summary!$N26,12),(Summary!$P26*((1+Summary!$K$20)^((CZ$2-12-MOD(Summary!$N26,12))/12))),HLOOKUP(CY$3,$E$3:$DV32,26,FALSE))))</f>
        <v>169.10765649591963</v>
      </c>
      <c r="DA28" s="46">
        <f>IF(AND(Summary!$N26&lt;='Cash Flow Statement'!DA$2,'Cash Flow Statement'!DA$2&lt;=Summary!$O26),IF((DA$2-Summary!$N26)&lt;12,Summary!$P26,IF(MOD(DA$2,12)=MOD(Summary!$N26,12),(Summary!$P26*((1+Summary!$K$20)^((DA$2-12-MOD(Summary!$N26,12))/12))),HLOOKUP(CZ$3,$E$3:$DV32,26,FALSE))))</f>
        <v>169.10765649591963</v>
      </c>
      <c r="DB28" s="46">
        <f>IF(AND(Summary!$N26&lt;='Cash Flow Statement'!DB$2,'Cash Flow Statement'!DB$2&lt;=Summary!$O26),IF((DB$2-Summary!$N26)&lt;12,Summary!$P26,IF(MOD(DB$2,12)=MOD(Summary!$N26,12),(Summary!$P26*((1+Summary!$K$20)^((DB$2-12-MOD(Summary!$N26,12))/12))),HLOOKUP(DA$3,$E$3:$DV32,26,FALSE))))</f>
        <v>169.10765649591963</v>
      </c>
      <c r="DC28" s="46">
        <f>IF(AND(Summary!$N26&lt;='Cash Flow Statement'!DC$2,'Cash Flow Statement'!DC$2&lt;=Summary!$O26),IF((DC$2-Summary!$N26)&lt;12,Summary!$P26,IF(MOD(DC$2,12)=MOD(Summary!$N26,12),(Summary!$P26*((1+Summary!$K$20)^((DC$2-12-MOD(Summary!$N26,12))/12))),HLOOKUP(DB$3,$E$3:$DV32,26,FALSE))))</f>
        <v>169.10765649591963</v>
      </c>
      <c r="DD28" s="46">
        <f>IF(AND(Summary!$N26&lt;='Cash Flow Statement'!DD$2,'Cash Flow Statement'!DD$2&lt;=Summary!$O26),IF((DD$2-Summary!$N26)&lt;12,Summary!$P26,IF(MOD(DD$2,12)=MOD(Summary!$N26,12),(Summary!$P26*((1+Summary!$K$20)^((DD$2-12-MOD(Summary!$N26,12))/12))),HLOOKUP(DC$3,$E$3:$DV32,26,FALSE))))</f>
        <v>169.10765649591963</v>
      </c>
      <c r="DE28" s="46">
        <f>IF(AND(Summary!$N26&lt;='Cash Flow Statement'!DE$2,'Cash Flow Statement'!DE$2&lt;=Summary!$O26),IF((DE$2-Summary!$N26)&lt;12,Summary!$P26,IF(MOD(DE$2,12)=MOD(Summary!$N26,12),(Summary!$P26*((1+Summary!$K$20)^((DE$2-12-MOD(Summary!$N26,12))/12))),HLOOKUP(DD$3,$E$3:$DV32,26,FALSE))))</f>
        <v>169.10765649591963</v>
      </c>
      <c r="DF28" s="46">
        <f>IF(AND(Summary!$N26&lt;='Cash Flow Statement'!DF$2,'Cash Flow Statement'!DF$2&lt;=Summary!$O26),IF((DF$2-Summary!$N26)&lt;12,Summary!$P26,IF(MOD(DF$2,12)=MOD(Summary!$N26,12),(Summary!$P26*((1+Summary!$K$20)^((DF$2-12-MOD(Summary!$N26,12))/12))),HLOOKUP(DE$3,$E$3:$DV32,26,FALSE))))</f>
        <v>169.10765649591963</v>
      </c>
      <c r="DG28" s="46">
        <f>IF(AND(Summary!$N26&lt;='Cash Flow Statement'!DG$2,'Cash Flow Statement'!DG$2&lt;=Summary!$O26),IF((DG$2-Summary!$N26)&lt;12,Summary!$P26,IF(MOD(DG$2,12)=MOD(Summary!$N26,12),(Summary!$P26*((1+Summary!$K$20)^((DG$2-12-MOD(Summary!$N26,12))/12))),HLOOKUP(DF$3,$E$3:$DV32,26,FALSE))))</f>
        <v>169.10765649591963</v>
      </c>
      <c r="DH28" s="46">
        <f>IF(AND(Summary!$N26&lt;='Cash Flow Statement'!DH$2,'Cash Flow Statement'!DH$2&lt;=Summary!$O26),IF((DH$2-Summary!$N26)&lt;12,Summary!$P26,IF(MOD(DH$2,12)=MOD(Summary!$N26,12),(Summary!$P26*((1+Summary!$K$20)^((DH$2-12-MOD(Summary!$N26,12))/12))),HLOOKUP(DG$3,$E$3:$DV32,26,FALSE))))</f>
        <v>169.10765649591963</v>
      </c>
      <c r="DI28" s="46">
        <f>IF(AND(Summary!$N26&lt;='Cash Flow Statement'!DI$2,'Cash Flow Statement'!DI$2&lt;=Summary!$O26),IF((DI$2-Summary!$N26)&lt;12,Summary!$P26,IF(MOD(DI$2,12)=MOD(Summary!$N26,12),(Summary!$P26*((1+Summary!$K$20)^((DI$2-12-MOD(Summary!$N26,12))/12))),HLOOKUP(DH$3,$E$3:$DV32,26,FALSE))))</f>
        <v>174.1808861907972</v>
      </c>
      <c r="DJ28" s="46">
        <f>IF(AND(Summary!$N26&lt;='Cash Flow Statement'!DJ$2,'Cash Flow Statement'!DJ$2&lt;=Summary!$O26),IF((DJ$2-Summary!$N26)&lt;12,Summary!$P26,IF(MOD(DJ$2,12)=MOD(Summary!$N26,12),(Summary!$P26*((1+Summary!$K$20)^((DJ$2-12-MOD(Summary!$N26,12))/12))),HLOOKUP(DI$3,$E$3:$DV32,26,FALSE))))</f>
        <v>174.1808861907972</v>
      </c>
      <c r="DK28" s="46">
        <f>IF(AND(Summary!$N26&lt;='Cash Flow Statement'!DK$2,'Cash Flow Statement'!DK$2&lt;=Summary!$O26),IF((DK$2-Summary!$N26)&lt;12,Summary!$P26,IF(MOD(DK$2,12)=MOD(Summary!$N26,12),(Summary!$P26*((1+Summary!$K$20)^((DK$2-12-MOD(Summary!$N26,12))/12))),HLOOKUP(DJ$3,$E$3:$DV32,26,FALSE))))</f>
        <v>174.1808861907972</v>
      </c>
      <c r="DL28" s="46">
        <f>IF(AND(Summary!$N26&lt;='Cash Flow Statement'!DL$2,'Cash Flow Statement'!DL$2&lt;=Summary!$O26),IF((DL$2-Summary!$N26)&lt;12,Summary!$P26,IF(MOD(DL$2,12)=MOD(Summary!$N26,12),(Summary!$P26*((1+Summary!$K$20)^((DL$2-12-MOD(Summary!$N26,12))/12))),HLOOKUP(DK$3,$E$3:$DV32,26,FALSE))))</f>
        <v>174.1808861907972</v>
      </c>
      <c r="DM28" s="46">
        <f>IF(AND(Summary!$N26&lt;='Cash Flow Statement'!DM$2,'Cash Flow Statement'!DM$2&lt;=Summary!$O26),IF((DM$2-Summary!$N26)&lt;12,Summary!$P26,IF(MOD(DM$2,12)=MOD(Summary!$N26,12),(Summary!$P26*((1+Summary!$K$20)^((DM$2-12-MOD(Summary!$N26,12))/12))),HLOOKUP(DL$3,$E$3:$DV32,26,FALSE))))</f>
        <v>174.1808861907972</v>
      </c>
      <c r="DN28" s="46">
        <f>IF(AND(Summary!$N26&lt;='Cash Flow Statement'!DN$2,'Cash Flow Statement'!DN$2&lt;=Summary!$O26),IF((DN$2-Summary!$N26)&lt;12,Summary!$P26,IF(MOD(DN$2,12)=MOD(Summary!$N26,12),(Summary!$P26*((1+Summary!$K$20)^((DN$2-12-MOD(Summary!$N26,12))/12))),HLOOKUP(DM$3,$E$3:$DV32,26,FALSE))))</f>
        <v>174.1808861907972</v>
      </c>
      <c r="DO28" s="46">
        <f>IF(AND(Summary!$N26&lt;='Cash Flow Statement'!DO$2,'Cash Flow Statement'!DO$2&lt;=Summary!$O26),IF((DO$2-Summary!$N26)&lt;12,Summary!$P26,IF(MOD(DO$2,12)=MOD(Summary!$N26,12),(Summary!$P26*((1+Summary!$K$20)^((DO$2-12-MOD(Summary!$N26,12))/12))),HLOOKUP(DN$3,$E$3:$DV32,26,FALSE))))</f>
        <v>174.1808861907972</v>
      </c>
      <c r="DP28" s="46">
        <f>IF(AND(Summary!$N26&lt;='Cash Flow Statement'!DP$2,'Cash Flow Statement'!DP$2&lt;=Summary!$O26),IF((DP$2-Summary!$N26)&lt;12,Summary!$P26,IF(MOD(DP$2,12)=MOD(Summary!$N26,12),(Summary!$P26*((1+Summary!$K$20)^((DP$2-12-MOD(Summary!$N26,12))/12))),HLOOKUP(DO$3,$E$3:$DV32,26,FALSE))))</f>
        <v>174.1808861907972</v>
      </c>
      <c r="DQ28" s="46">
        <f>IF(AND(Summary!$N26&lt;='Cash Flow Statement'!DQ$2,'Cash Flow Statement'!DQ$2&lt;=Summary!$O26),IF((DQ$2-Summary!$N26)&lt;12,Summary!$P26,IF(MOD(DQ$2,12)=MOD(Summary!$N26,12),(Summary!$P26*((1+Summary!$K$20)^((DQ$2-12-MOD(Summary!$N26,12))/12))),HLOOKUP(DP$3,$E$3:$DV32,26,FALSE))))</f>
        <v>174.1808861907972</v>
      </c>
      <c r="DR28" s="46">
        <f>IF(AND(Summary!$N26&lt;='Cash Flow Statement'!DR$2,'Cash Flow Statement'!DR$2&lt;=Summary!$O26),IF((DR$2-Summary!$N26)&lt;12,Summary!$P26,IF(MOD(DR$2,12)=MOD(Summary!$N26,12),(Summary!$P26*((1+Summary!$K$20)^((DR$2-12-MOD(Summary!$N26,12))/12))),HLOOKUP(DQ$3,$E$3:$DV32,26,FALSE))))</f>
        <v>174.1808861907972</v>
      </c>
      <c r="DS28" s="46">
        <f>IF(AND(Summary!$N26&lt;='Cash Flow Statement'!DS$2,'Cash Flow Statement'!DS$2&lt;=Summary!$O26),IF((DS$2-Summary!$N26)&lt;12,Summary!$P26,IF(MOD(DS$2,12)=MOD(Summary!$N26,12),(Summary!$P26*((1+Summary!$K$20)^((DS$2-12-MOD(Summary!$N26,12))/12))),HLOOKUP(DR$3,$E$3:$DV32,26,FALSE))))</f>
        <v>174.1808861907972</v>
      </c>
      <c r="DT28" s="46">
        <f>IF(AND(Summary!$N26&lt;='Cash Flow Statement'!DT$2,'Cash Flow Statement'!DT$2&lt;=Summary!$O26),IF((DT$2-Summary!$N26)&lt;12,Summary!$P26,IF(MOD(DT$2,12)=MOD(Summary!$N26,12),(Summary!$P26*((1+Summary!$K$20)^((DT$2-12-MOD(Summary!$N26,12))/12))),HLOOKUP(DS$3,$E$3:$DV32,26,FALSE))))</f>
        <v>174.1808861907972</v>
      </c>
      <c r="DU28" s="46">
        <f>IF(AND(Summary!$N26&lt;='Cash Flow Statement'!DU$2,'Cash Flow Statement'!DU$2&lt;=Summary!$O26),IF((DU$2-Summary!$N26)&lt;12,Summary!$P26,IF(MOD(DU$2,12)=MOD(Summary!$N26,12),(Summary!$P26*((1+Summary!$K$20)^((DU$2-12-MOD(Summary!$N26,12))/12))),HLOOKUP(DT$3,$E$3:$DV32,26,FALSE))))</f>
        <v>179.4063127765211</v>
      </c>
      <c r="DV28" s="135"/>
    </row>
    <row r="29" spans="1:126" x14ac:dyDescent="0.2">
      <c r="A29" s="88"/>
      <c r="B29" s="81" t="str">
        <f>Summary!J27</f>
        <v>Advertising</v>
      </c>
      <c r="C29" s="44"/>
      <c r="D29" s="132">
        <f t="shared" si="17"/>
        <v>1000</v>
      </c>
      <c r="E29" s="134" t="b">
        <f>IF(AND(Summary!$N27&lt;='Cash Flow Statement'!E$2,'Cash Flow Statement'!E$2&lt;=Summary!$O27),IF((E$2-Summary!$N27)&lt;12,Summary!$P27,IF(MOD(E$2,12)=MOD(Summary!$N27,12),(Summary!$P27*((1+Summary!$K$20)^((E$2-12-MOD(Summary!$N27,12))/12))),HLOOKUP(D$3,$E$3:$DV32,27,FALSE))))</f>
        <v>0</v>
      </c>
      <c r="F29" s="46" t="b">
        <f>IF(AND(Summary!$N27&lt;='Cash Flow Statement'!F$2,'Cash Flow Statement'!F$2&lt;=Summary!$O27),IF((F$2-Summary!$N27)&lt;12,Summary!$P27,IF(MOD(F$2,12)=MOD(Summary!$N27,12),(Summary!$P27*((1+Summary!$K$20)^((F$2-12-MOD(Summary!$N27,12))/12))),HLOOKUP(E$3,$E$3:$DV32,27,FALSE))))</f>
        <v>0</v>
      </c>
      <c r="G29" s="46" t="b">
        <f>IF(AND(Summary!$N27&lt;='Cash Flow Statement'!G$2,'Cash Flow Statement'!G$2&lt;=Summary!$O27),IF((G$2-Summary!$N27)&lt;12,Summary!$P27,IF(MOD(G$2,12)=MOD(Summary!$N27,12),(Summary!$P27*((1+Summary!$K$20)^((G$2-12-MOD(Summary!$N27,12))/12))),HLOOKUP(F$3,$E$3:$DV32,27,FALSE))))</f>
        <v>0</v>
      </c>
      <c r="H29" s="46" t="b">
        <f>IF(AND(Summary!$N27&lt;='Cash Flow Statement'!H$2,'Cash Flow Statement'!H$2&lt;=Summary!$O27),IF((H$2-Summary!$N27)&lt;12,Summary!$P27,IF(MOD(H$2,12)=MOD(Summary!$N27,12),(Summary!$P27*((1+Summary!$K$20)^((H$2-12-MOD(Summary!$N27,12))/12))),HLOOKUP(G$3,$E$3:$DV32,27,FALSE))))</f>
        <v>0</v>
      </c>
      <c r="I29" s="46" t="b">
        <f>IF(AND(Summary!$N27&lt;='Cash Flow Statement'!I$2,'Cash Flow Statement'!I$2&lt;=Summary!$O27),IF((I$2-Summary!$N27)&lt;12,Summary!$P27,IF(MOD(I$2,12)=MOD(Summary!$N27,12),(Summary!$P27*((1+Summary!$K$20)^((I$2-12-MOD(Summary!$N27,12))/12))),HLOOKUP(H$3,$E$3:$DV32,27,FALSE))))</f>
        <v>0</v>
      </c>
      <c r="J29" s="46" t="b">
        <f>IF(AND(Summary!$N27&lt;='Cash Flow Statement'!J$2,'Cash Flow Statement'!J$2&lt;=Summary!$O27),IF((J$2-Summary!$N27)&lt;12,Summary!$P27,IF(MOD(J$2,12)=MOD(Summary!$N27,12),(Summary!$P27*((1+Summary!$K$20)^((J$2-12-MOD(Summary!$N27,12))/12))),HLOOKUP(I$3,$E$3:$DV32,27,FALSE))))</f>
        <v>0</v>
      </c>
      <c r="K29" s="46" t="b">
        <f>IF(AND(Summary!$N27&lt;='Cash Flow Statement'!K$2,'Cash Flow Statement'!K$2&lt;=Summary!$O27),IF((K$2-Summary!$N27)&lt;12,Summary!$P27,IF(MOD(K$2,12)=MOD(Summary!$N27,12),(Summary!$P27*((1+Summary!$K$20)^((K$2-12-MOD(Summary!$N27,12))/12))),HLOOKUP(J$3,$E$3:$DV32,27,FALSE))))</f>
        <v>0</v>
      </c>
      <c r="L29" s="46" t="b">
        <f>IF(AND(Summary!$N27&lt;='Cash Flow Statement'!L$2,'Cash Flow Statement'!L$2&lt;=Summary!$O27),IF((L$2-Summary!$N27)&lt;12,Summary!$P27,IF(MOD(L$2,12)=MOD(Summary!$N27,12),(Summary!$P27*((1+Summary!$K$20)^((L$2-12-MOD(Summary!$N27,12))/12))),HLOOKUP(K$3,$E$3:$DV32,27,FALSE))))</f>
        <v>0</v>
      </c>
      <c r="M29" s="46" t="b">
        <f>IF(AND(Summary!$N27&lt;='Cash Flow Statement'!M$2,'Cash Flow Statement'!M$2&lt;=Summary!$O27),IF((M$2-Summary!$N27)&lt;12,Summary!$P27,IF(MOD(M$2,12)=MOD(Summary!$N27,12),(Summary!$P27*((1+Summary!$K$20)^((M$2-12-MOD(Summary!$N27,12))/12))),HLOOKUP(L$3,$E$3:$DV32,27,FALSE))))</f>
        <v>0</v>
      </c>
      <c r="N29" s="46">
        <f>IF(AND(Summary!$N27&lt;='Cash Flow Statement'!N$2,'Cash Flow Statement'!N$2&lt;=Summary!$O27),IF((N$2-Summary!$N27)&lt;12,Summary!$P27,IF(MOD(N$2,12)=MOD(Summary!$N27,12),(Summary!$P27*((1+Summary!$K$20)^((N$2-12-MOD(Summary!$N27,12))/12))),HLOOKUP(M$3,$E$3:$DV32,27,FALSE))))</f>
        <v>100</v>
      </c>
      <c r="O29" s="46">
        <f>IF(AND(Summary!$N27&lt;='Cash Flow Statement'!O$2,'Cash Flow Statement'!O$2&lt;=Summary!$O27),IF((O$2-Summary!$N27)&lt;12,Summary!$P27,IF(MOD(O$2,12)=MOD(Summary!$N27,12),(Summary!$P27*((1+Summary!$K$20)^((O$2-12-MOD(Summary!$N27,12))/12))),HLOOKUP(N$3,$E$3:$DV32,27,FALSE))))</f>
        <v>100</v>
      </c>
      <c r="P29" s="46">
        <f>IF(AND(Summary!$N27&lt;='Cash Flow Statement'!P$2,'Cash Flow Statement'!P$2&lt;=Summary!$O27),IF((P$2-Summary!$N27)&lt;12,Summary!$P27,IF(MOD(P$2,12)=MOD(Summary!$N27,12),(Summary!$P27*((1+Summary!$K$20)^((P$2-12-MOD(Summary!$N27,12))/12))),HLOOKUP(O$3,$E$3:$DV32,27,FALSE))))</f>
        <v>100</v>
      </c>
      <c r="Q29" s="46">
        <f>IF(AND(Summary!$N27&lt;='Cash Flow Statement'!Q$2,'Cash Flow Statement'!Q$2&lt;=Summary!$O27),IF((Q$2-Summary!$N27)&lt;12,Summary!$P27,IF(MOD(Q$2,12)=MOD(Summary!$N27,12),(Summary!$P27*((1+Summary!$K$20)^((Q$2-12-MOD(Summary!$N27,12))/12))),HLOOKUP(P$3,$E$3:$DV32,27,FALSE))))</f>
        <v>100</v>
      </c>
      <c r="R29" s="46">
        <f>IF(AND(Summary!$N27&lt;='Cash Flow Statement'!R$2,'Cash Flow Statement'!R$2&lt;=Summary!$O27),IF((R$2-Summary!$N27)&lt;12,Summary!$P27,IF(MOD(R$2,12)=MOD(Summary!$N27,12),(Summary!$P27*((1+Summary!$K$20)^((R$2-12-MOD(Summary!$N27,12))/12))),HLOOKUP(Q$3,$E$3:$DV32,27,FALSE))))</f>
        <v>100</v>
      </c>
      <c r="S29" s="46">
        <f>IF(AND(Summary!$N27&lt;='Cash Flow Statement'!S$2,'Cash Flow Statement'!S$2&lt;=Summary!$O27),IF((S$2-Summary!$N27)&lt;12,Summary!$P27,IF(MOD(S$2,12)=MOD(Summary!$N27,12),(Summary!$P27*((1+Summary!$K$20)^((S$2-12-MOD(Summary!$N27,12))/12))),HLOOKUP(R$3,$E$3:$DV32,27,FALSE))))</f>
        <v>100</v>
      </c>
      <c r="T29" s="46">
        <f>IF(AND(Summary!$N27&lt;='Cash Flow Statement'!T$2,'Cash Flow Statement'!T$2&lt;=Summary!$O27),IF((T$2-Summary!$N27)&lt;12,Summary!$P27,IF(MOD(T$2,12)=MOD(Summary!$N27,12),(Summary!$P27*((1+Summary!$K$20)^((T$2-12-MOD(Summary!$N27,12))/12))),HLOOKUP(S$3,$E$3:$DV32,27,FALSE))))</f>
        <v>100</v>
      </c>
      <c r="U29" s="46">
        <f>IF(AND(Summary!$N27&lt;='Cash Flow Statement'!U$2,'Cash Flow Statement'!U$2&lt;=Summary!$O27),IF((U$2-Summary!$N27)&lt;12,Summary!$P27,IF(MOD(U$2,12)=MOD(Summary!$N27,12),(Summary!$P27*((1+Summary!$K$20)^((U$2-12-MOD(Summary!$N27,12))/12))),HLOOKUP(T$3,$E$3:$DV32,27,FALSE))))</f>
        <v>100</v>
      </c>
      <c r="V29" s="46">
        <f>IF(AND(Summary!$N27&lt;='Cash Flow Statement'!V$2,'Cash Flow Statement'!V$2&lt;=Summary!$O27),IF((V$2-Summary!$N27)&lt;12,Summary!$P27,IF(MOD(V$2,12)=MOD(Summary!$N27,12),(Summary!$P27*((1+Summary!$K$20)^((V$2-12-MOD(Summary!$N27,12))/12))),HLOOKUP(U$3,$E$3:$DV32,27,FALSE))))</f>
        <v>100</v>
      </c>
      <c r="W29" s="46">
        <f>IF(AND(Summary!$N27&lt;='Cash Flow Statement'!W$2,'Cash Flow Statement'!W$2&lt;=Summary!$O27),IF((W$2-Summary!$N27)&lt;12,Summary!$P27,IF(MOD(W$2,12)=MOD(Summary!$N27,12),(Summary!$P27*((1+Summary!$K$20)^((W$2-12-MOD(Summary!$N27,12))/12))),HLOOKUP(V$3,$E$3:$DV32,27,FALSE))))</f>
        <v>100</v>
      </c>
      <c r="X29" s="46" t="b">
        <f>IF(AND(Summary!$N27&lt;='Cash Flow Statement'!X$2,'Cash Flow Statement'!X$2&lt;=Summary!$O27),IF((X$2-Summary!$N27)&lt;12,Summary!$P27,IF(MOD(X$2,12)=MOD(Summary!$N27,12),(Summary!$P27*((1+Summary!$K$20)^((X$2-12-MOD(Summary!$N27,12))/12))),HLOOKUP(W$3,$E$3:$DV32,27,FALSE))))</f>
        <v>0</v>
      </c>
      <c r="Y29" s="46" t="b">
        <f>IF(AND(Summary!$N27&lt;='Cash Flow Statement'!Y$2,'Cash Flow Statement'!Y$2&lt;=Summary!$O27),IF((Y$2-Summary!$N27)&lt;12,Summary!$P27,IF(MOD(Y$2,12)=MOD(Summary!$N27,12),(Summary!$P27*((1+Summary!$K$20)^((Y$2-12-MOD(Summary!$N27,12))/12))),HLOOKUP(X$3,$E$3:$DV32,27,FALSE))))</f>
        <v>0</v>
      </c>
      <c r="Z29" s="46" t="b">
        <f>IF(AND(Summary!$N27&lt;='Cash Flow Statement'!Z$2,'Cash Flow Statement'!Z$2&lt;=Summary!$O27),IF((Z$2-Summary!$N27)&lt;12,Summary!$P27,IF(MOD(Z$2,12)=MOD(Summary!$N27,12),(Summary!$P27*((1+Summary!$K$20)^((Z$2-12-MOD(Summary!$N27,12))/12))),HLOOKUP(Y$3,$E$3:$DV32,27,FALSE))))</f>
        <v>0</v>
      </c>
      <c r="AA29" s="46" t="b">
        <f>IF(AND(Summary!$N27&lt;='Cash Flow Statement'!AA$2,'Cash Flow Statement'!AA$2&lt;=Summary!$O27),IF((AA$2-Summary!$N27)&lt;12,Summary!$P27,IF(MOD(AA$2,12)=MOD(Summary!$N27,12),(Summary!$P27*((1+Summary!$K$20)^((AA$2-12-MOD(Summary!$N27,12))/12))),HLOOKUP(Z$3,$E$3:$DV32,27,FALSE))))</f>
        <v>0</v>
      </c>
      <c r="AB29" s="46" t="b">
        <f>IF(AND(Summary!$N27&lt;='Cash Flow Statement'!AB$2,'Cash Flow Statement'!AB$2&lt;=Summary!$O27),IF((AB$2-Summary!$N27)&lt;12,Summary!$P27,IF(MOD(AB$2,12)=MOD(Summary!$N27,12),(Summary!$P27*((1+Summary!$K$20)^((AB$2-12-MOD(Summary!$N27,12))/12))),HLOOKUP(AA$3,$E$3:$DV32,27,FALSE))))</f>
        <v>0</v>
      </c>
      <c r="AC29" s="46" t="b">
        <f>IF(AND(Summary!$N27&lt;='Cash Flow Statement'!AC$2,'Cash Flow Statement'!AC$2&lt;=Summary!$O27),IF((AC$2-Summary!$N27)&lt;12,Summary!$P27,IF(MOD(AC$2,12)=MOD(Summary!$N27,12),(Summary!$P27*((1+Summary!$K$20)^((AC$2-12-MOD(Summary!$N27,12))/12))),HLOOKUP(AB$3,$E$3:$DV32,27,FALSE))))</f>
        <v>0</v>
      </c>
      <c r="AD29" s="46" t="b">
        <f>IF(AND(Summary!$N27&lt;='Cash Flow Statement'!AD$2,'Cash Flow Statement'!AD$2&lt;=Summary!$O27),IF((AD$2-Summary!$N27)&lt;12,Summary!$P27,IF(MOD(AD$2,12)=MOD(Summary!$N27,12),(Summary!$P27*((1+Summary!$K$20)^((AD$2-12-MOD(Summary!$N27,12))/12))),HLOOKUP(AC$3,$E$3:$DV32,27,FALSE))))</f>
        <v>0</v>
      </c>
      <c r="AE29" s="46" t="b">
        <f>IF(AND(Summary!$N27&lt;='Cash Flow Statement'!AE$2,'Cash Flow Statement'!AE$2&lt;=Summary!$O27),IF((AE$2-Summary!$N27)&lt;12,Summary!$P27,IF(MOD(AE$2,12)=MOD(Summary!$N27,12),(Summary!$P27*((1+Summary!$K$20)^((AE$2-12-MOD(Summary!$N27,12))/12))),HLOOKUP(AD$3,$E$3:$DV32,27,FALSE))))</f>
        <v>0</v>
      </c>
      <c r="AF29" s="46" t="b">
        <f>IF(AND(Summary!$N27&lt;='Cash Flow Statement'!AF$2,'Cash Flow Statement'!AF$2&lt;=Summary!$O27),IF((AF$2-Summary!$N27)&lt;12,Summary!$P27,IF(MOD(AF$2,12)=MOD(Summary!$N27,12),(Summary!$P27*((1+Summary!$K$20)^((AF$2-12-MOD(Summary!$N27,12))/12))),HLOOKUP(AE$3,$E$3:$DV32,27,FALSE))))</f>
        <v>0</v>
      </c>
      <c r="AG29" s="46" t="b">
        <f>IF(AND(Summary!$N27&lt;='Cash Flow Statement'!AG$2,'Cash Flow Statement'!AG$2&lt;=Summary!$O27),IF((AG$2-Summary!$N27)&lt;12,Summary!$P27,IF(MOD(AG$2,12)=MOD(Summary!$N27,12),(Summary!$P27*((1+Summary!$K$20)^((AG$2-12-MOD(Summary!$N27,12))/12))),HLOOKUP(AF$3,$E$3:$DV32,27,FALSE))))</f>
        <v>0</v>
      </c>
      <c r="AH29" s="46" t="b">
        <f>IF(AND(Summary!$N27&lt;='Cash Flow Statement'!AH$2,'Cash Flow Statement'!AH$2&lt;=Summary!$O27),IF((AH$2-Summary!$N27)&lt;12,Summary!$P27,IF(MOD(AH$2,12)=MOD(Summary!$N27,12),(Summary!$P27*((1+Summary!$K$20)^((AH$2-12-MOD(Summary!$N27,12))/12))),HLOOKUP(AG$3,$E$3:$DV32,27,FALSE))))</f>
        <v>0</v>
      </c>
      <c r="AI29" s="46" t="b">
        <f>IF(AND(Summary!$N27&lt;='Cash Flow Statement'!AI$2,'Cash Flow Statement'!AI$2&lt;=Summary!$O27),IF((AI$2-Summary!$N27)&lt;12,Summary!$P27,IF(MOD(AI$2,12)=MOD(Summary!$N27,12),(Summary!$P27*((1+Summary!$K$20)^((AI$2-12-MOD(Summary!$N27,12))/12))),HLOOKUP(AH$3,$E$3:$DV32,27,FALSE))))</f>
        <v>0</v>
      </c>
      <c r="AJ29" s="46" t="b">
        <f>IF(AND(Summary!$N27&lt;='Cash Flow Statement'!AJ$2,'Cash Flow Statement'!AJ$2&lt;=Summary!$O27),IF((AJ$2-Summary!$N27)&lt;12,Summary!$P27,IF(MOD(AJ$2,12)=MOD(Summary!$N27,12),(Summary!$P27*((1+Summary!$K$20)^((AJ$2-12-MOD(Summary!$N27,12))/12))),HLOOKUP(AI$3,$E$3:$DV32,27,FALSE))))</f>
        <v>0</v>
      </c>
      <c r="AK29" s="46" t="b">
        <f>IF(AND(Summary!$N27&lt;='Cash Flow Statement'!AK$2,'Cash Flow Statement'!AK$2&lt;=Summary!$O27),IF((AK$2-Summary!$N27)&lt;12,Summary!$P27,IF(MOD(AK$2,12)=MOD(Summary!$N27,12),(Summary!$P27*((1+Summary!$K$20)^((AK$2-12-MOD(Summary!$N27,12))/12))),HLOOKUP(AJ$3,$E$3:$DV32,27,FALSE))))</f>
        <v>0</v>
      </c>
      <c r="AL29" s="46" t="b">
        <f>IF(AND(Summary!$N27&lt;='Cash Flow Statement'!AL$2,'Cash Flow Statement'!AL$2&lt;=Summary!$O27),IF((AL$2-Summary!$N27)&lt;12,Summary!$P27,IF(MOD(AL$2,12)=MOD(Summary!$N27,12),(Summary!$P27*((1+Summary!$K$20)^((AL$2-12-MOD(Summary!$N27,12))/12))),HLOOKUP(AK$3,$E$3:$DV32,27,FALSE))))</f>
        <v>0</v>
      </c>
      <c r="AM29" s="46" t="b">
        <f>IF(AND(Summary!$N27&lt;='Cash Flow Statement'!AM$2,'Cash Flow Statement'!AM$2&lt;=Summary!$O27),IF((AM$2-Summary!$N27)&lt;12,Summary!$P27,IF(MOD(AM$2,12)=MOD(Summary!$N27,12),(Summary!$P27*((1+Summary!$K$20)^((AM$2-12-MOD(Summary!$N27,12))/12))),HLOOKUP(AL$3,$E$3:$DV32,27,FALSE))))</f>
        <v>0</v>
      </c>
      <c r="AN29" s="46" t="b">
        <f>IF(AND(Summary!$N27&lt;='Cash Flow Statement'!AN$2,'Cash Flow Statement'!AN$2&lt;=Summary!$O27),IF((AN$2-Summary!$N27)&lt;12,Summary!$P27,IF(MOD(AN$2,12)=MOD(Summary!$N27,12),(Summary!$P27*((1+Summary!$K$20)^((AN$2-12-MOD(Summary!$N27,12))/12))),HLOOKUP(AM$3,$E$3:$DV32,27,FALSE))))</f>
        <v>0</v>
      </c>
      <c r="AO29" s="46" t="b">
        <f>IF(AND(Summary!$N27&lt;='Cash Flow Statement'!AO$2,'Cash Flow Statement'!AO$2&lt;=Summary!$O27),IF((AO$2-Summary!$N27)&lt;12,Summary!$P27,IF(MOD(AO$2,12)=MOD(Summary!$N27,12),(Summary!$P27*((1+Summary!$K$20)^((AO$2-12-MOD(Summary!$N27,12))/12))),HLOOKUP(AN$3,$E$3:$DV32,27,FALSE))))</f>
        <v>0</v>
      </c>
      <c r="AP29" s="46" t="b">
        <f>IF(AND(Summary!$N27&lt;='Cash Flow Statement'!AP$2,'Cash Flow Statement'!AP$2&lt;=Summary!$O27),IF((AP$2-Summary!$N27)&lt;12,Summary!$P27,IF(MOD(AP$2,12)=MOD(Summary!$N27,12),(Summary!$P27*((1+Summary!$K$20)^((AP$2-12-MOD(Summary!$N27,12))/12))),HLOOKUP(AO$3,$E$3:$DV32,27,FALSE))))</f>
        <v>0</v>
      </c>
      <c r="AQ29" s="46" t="b">
        <f>IF(AND(Summary!$N27&lt;='Cash Flow Statement'!AQ$2,'Cash Flow Statement'!AQ$2&lt;=Summary!$O27),IF((AQ$2-Summary!$N27)&lt;12,Summary!$P27,IF(MOD(AQ$2,12)=MOD(Summary!$N27,12),(Summary!$P27*((1+Summary!$K$20)^((AQ$2-12-MOD(Summary!$N27,12))/12))),HLOOKUP(AP$3,$E$3:$DV32,27,FALSE))))</f>
        <v>0</v>
      </c>
      <c r="AR29" s="46" t="b">
        <f>IF(AND(Summary!$N27&lt;='Cash Flow Statement'!AR$2,'Cash Flow Statement'!AR$2&lt;=Summary!$O27),IF((AR$2-Summary!$N27)&lt;12,Summary!$P27,IF(MOD(AR$2,12)=MOD(Summary!$N27,12),(Summary!$P27*((1+Summary!$K$20)^((AR$2-12-MOD(Summary!$N27,12))/12))),HLOOKUP(AQ$3,$E$3:$DV32,27,FALSE))))</f>
        <v>0</v>
      </c>
      <c r="AS29" s="46" t="b">
        <f>IF(AND(Summary!$N27&lt;='Cash Flow Statement'!AS$2,'Cash Flow Statement'!AS$2&lt;=Summary!$O27),IF((AS$2-Summary!$N27)&lt;12,Summary!$P27,IF(MOD(AS$2,12)=MOD(Summary!$N27,12),(Summary!$P27*((1+Summary!$K$20)^((AS$2-12-MOD(Summary!$N27,12))/12))),HLOOKUP(AR$3,$E$3:$DV32,27,FALSE))))</f>
        <v>0</v>
      </c>
      <c r="AT29" s="46" t="b">
        <f>IF(AND(Summary!$N27&lt;='Cash Flow Statement'!AT$2,'Cash Flow Statement'!AT$2&lt;=Summary!$O27),IF((AT$2-Summary!$N27)&lt;12,Summary!$P27,IF(MOD(AT$2,12)=MOD(Summary!$N27,12),(Summary!$P27*((1+Summary!$K$20)^((AT$2-12-MOD(Summary!$N27,12))/12))),HLOOKUP(AS$3,$E$3:$DV32,27,FALSE))))</f>
        <v>0</v>
      </c>
      <c r="AU29" s="46" t="b">
        <f>IF(AND(Summary!$N27&lt;='Cash Flow Statement'!AU$2,'Cash Flow Statement'!AU$2&lt;=Summary!$O27),IF((AU$2-Summary!$N27)&lt;12,Summary!$P27,IF(MOD(AU$2,12)=MOD(Summary!$N27,12),(Summary!$P27*((1+Summary!$K$20)^((AU$2-12-MOD(Summary!$N27,12))/12))),HLOOKUP(AT$3,$E$3:$DV32,27,FALSE))))</f>
        <v>0</v>
      </c>
      <c r="AV29" s="46" t="b">
        <f>IF(AND(Summary!$N27&lt;='Cash Flow Statement'!AV$2,'Cash Flow Statement'!AV$2&lt;=Summary!$O27),IF((AV$2-Summary!$N27)&lt;12,Summary!$P27,IF(MOD(AV$2,12)=MOD(Summary!$N27,12),(Summary!$P27*((1+Summary!$K$20)^((AV$2-12-MOD(Summary!$N27,12))/12))),HLOOKUP(AU$3,$E$3:$DV32,27,FALSE))))</f>
        <v>0</v>
      </c>
      <c r="AW29" s="46" t="b">
        <f>IF(AND(Summary!$N27&lt;='Cash Flow Statement'!AW$2,'Cash Flow Statement'!AW$2&lt;=Summary!$O27),IF((AW$2-Summary!$N27)&lt;12,Summary!$P27,IF(MOD(AW$2,12)=MOD(Summary!$N27,12),(Summary!$P27*((1+Summary!$K$20)^((AW$2-12-MOD(Summary!$N27,12))/12))),HLOOKUP(AV$3,$E$3:$DV32,27,FALSE))))</f>
        <v>0</v>
      </c>
      <c r="AX29" s="46" t="b">
        <f>IF(AND(Summary!$N27&lt;='Cash Flow Statement'!AX$2,'Cash Flow Statement'!AX$2&lt;=Summary!$O27),IF((AX$2-Summary!$N27)&lt;12,Summary!$P27,IF(MOD(AX$2,12)=MOD(Summary!$N27,12),(Summary!$P27*((1+Summary!$K$20)^((AX$2-12-MOD(Summary!$N27,12))/12))),HLOOKUP(AW$3,$E$3:$DV32,27,FALSE))))</f>
        <v>0</v>
      </c>
      <c r="AY29" s="46" t="b">
        <f>IF(AND(Summary!$N27&lt;='Cash Flow Statement'!AY$2,'Cash Flow Statement'!AY$2&lt;=Summary!$O27),IF((AY$2-Summary!$N27)&lt;12,Summary!$P27,IF(MOD(AY$2,12)=MOD(Summary!$N27,12),(Summary!$P27*((1+Summary!$K$20)^((AY$2-12-MOD(Summary!$N27,12))/12))),HLOOKUP(AX$3,$E$3:$DV32,27,FALSE))))</f>
        <v>0</v>
      </c>
      <c r="AZ29" s="46" t="b">
        <f>IF(AND(Summary!$N27&lt;='Cash Flow Statement'!AZ$2,'Cash Flow Statement'!AZ$2&lt;=Summary!$O27),IF((AZ$2-Summary!$N27)&lt;12,Summary!$P27,IF(MOD(AZ$2,12)=MOD(Summary!$N27,12),(Summary!$P27*((1+Summary!$K$20)^((AZ$2-12-MOD(Summary!$N27,12))/12))),HLOOKUP(AY$3,$E$3:$DV32,27,FALSE))))</f>
        <v>0</v>
      </c>
      <c r="BA29" s="46" t="b">
        <f>IF(AND(Summary!$N27&lt;='Cash Flow Statement'!BA$2,'Cash Flow Statement'!BA$2&lt;=Summary!$O27),IF((BA$2-Summary!$N27)&lt;12,Summary!$P27,IF(MOD(BA$2,12)=MOD(Summary!$N27,12),(Summary!$P27*((1+Summary!$K$20)^((BA$2-12-MOD(Summary!$N27,12))/12))),HLOOKUP(AZ$3,$E$3:$DV32,27,FALSE))))</f>
        <v>0</v>
      </c>
      <c r="BB29" s="46" t="b">
        <f>IF(AND(Summary!$N27&lt;='Cash Flow Statement'!BB$2,'Cash Flow Statement'!BB$2&lt;=Summary!$O27),IF((BB$2-Summary!$N27)&lt;12,Summary!$P27,IF(MOD(BB$2,12)=MOD(Summary!$N27,12),(Summary!$P27*((1+Summary!$K$20)^((BB$2-12-MOD(Summary!$N27,12))/12))),HLOOKUP(BA$3,$E$3:$DV32,27,FALSE))))</f>
        <v>0</v>
      </c>
      <c r="BC29" s="46" t="b">
        <f>IF(AND(Summary!$N27&lt;='Cash Flow Statement'!BC$2,'Cash Flow Statement'!BC$2&lt;=Summary!$O27),IF((BC$2-Summary!$N27)&lt;12,Summary!$P27,IF(MOD(BC$2,12)=MOD(Summary!$N27,12),(Summary!$P27*((1+Summary!$K$20)^((BC$2-12-MOD(Summary!$N27,12))/12))),HLOOKUP(BB$3,$E$3:$DV32,27,FALSE))))</f>
        <v>0</v>
      </c>
      <c r="BD29" s="46" t="b">
        <f>IF(AND(Summary!$N27&lt;='Cash Flow Statement'!BD$2,'Cash Flow Statement'!BD$2&lt;=Summary!$O27),IF((BD$2-Summary!$N27)&lt;12,Summary!$P27,IF(MOD(BD$2,12)=MOD(Summary!$N27,12),(Summary!$P27*((1+Summary!$K$20)^((BD$2-12-MOD(Summary!$N27,12))/12))),HLOOKUP(BC$3,$E$3:$DV32,27,FALSE))))</f>
        <v>0</v>
      </c>
      <c r="BE29" s="46" t="b">
        <f>IF(AND(Summary!$N27&lt;='Cash Flow Statement'!BE$2,'Cash Flow Statement'!BE$2&lt;=Summary!$O27),IF((BE$2-Summary!$N27)&lt;12,Summary!$P27,IF(MOD(BE$2,12)=MOD(Summary!$N27,12),(Summary!$P27*((1+Summary!$K$20)^((BE$2-12-MOD(Summary!$N27,12))/12))),HLOOKUP(BD$3,$E$3:$DV32,27,FALSE))))</f>
        <v>0</v>
      </c>
      <c r="BF29" s="46" t="b">
        <f>IF(AND(Summary!$N27&lt;='Cash Flow Statement'!BF$2,'Cash Flow Statement'!BF$2&lt;=Summary!$O27),IF((BF$2-Summary!$N27)&lt;12,Summary!$P27,IF(MOD(BF$2,12)=MOD(Summary!$N27,12),(Summary!$P27*((1+Summary!$K$20)^((BF$2-12-MOD(Summary!$N27,12))/12))),HLOOKUP(BE$3,$E$3:$DV32,27,FALSE))))</f>
        <v>0</v>
      </c>
      <c r="BG29" s="46" t="b">
        <f>IF(AND(Summary!$N27&lt;='Cash Flow Statement'!BG$2,'Cash Flow Statement'!BG$2&lt;=Summary!$O27),IF((BG$2-Summary!$N27)&lt;12,Summary!$P27,IF(MOD(BG$2,12)=MOD(Summary!$N27,12),(Summary!$P27*((1+Summary!$K$20)^((BG$2-12-MOD(Summary!$N27,12))/12))),HLOOKUP(BF$3,$E$3:$DV32,27,FALSE))))</f>
        <v>0</v>
      </c>
      <c r="BH29" s="46" t="b">
        <f>IF(AND(Summary!$N27&lt;='Cash Flow Statement'!BH$2,'Cash Flow Statement'!BH$2&lt;=Summary!$O27),IF((BH$2-Summary!$N27)&lt;12,Summary!$P27,IF(MOD(BH$2,12)=MOD(Summary!$N27,12),(Summary!$P27*((1+Summary!$K$20)^((BH$2-12-MOD(Summary!$N27,12))/12))),HLOOKUP(BG$3,$E$3:$DV32,27,FALSE))))</f>
        <v>0</v>
      </c>
      <c r="BI29" s="46" t="b">
        <f>IF(AND(Summary!$N27&lt;='Cash Flow Statement'!BI$2,'Cash Flow Statement'!BI$2&lt;=Summary!$O27),IF((BI$2-Summary!$N27)&lt;12,Summary!$P27,IF(MOD(BI$2,12)=MOD(Summary!$N27,12),(Summary!$P27*((1+Summary!$K$20)^((BI$2-12-MOD(Summary!$N27,12))/12))),HLOOKUP(BH$3,$E$3:$DV32,27,FALSE))))</f>
        <v>0</v>
      </c>
      <c r="BJ29" s="46" t="b">
        <f>IF(AND(Summary!$N27&lt;='Cash Flow Statement'!BJ$2,'Cash Flow Statement'!BJ$2&lt;=Summary!$O27),IF((BJ$2-Summary!$N27)&lt;12,Summary!$P27,IF(MOD(BJ$2,12)=MOD(Summary!$N27,12),(Summary!$P27*((1+Summary!$K$20)^((BJ$2-12-MOD(Summary!$N27,12))/12))),HLOOKUP(BI$3,$E$3:$DV32,27,FALSE))))</f>
        <v>0</v>
      </c>
      <c r="BK29" s="46" t="b">
        <f>IF(AND(Summary!$N27&lt;='Cash Flow Statement'!BK$2,'Cash Flow Statement'!BK$2&lt;=Summary!$O27),IF((BK$2-Summary!$N27)&lt;12,Summary!$P27,IF(MOD(BK$2,12)=MOD(Summary!$N27,12),(Summary!$P27*((1+Summary!$K$20)^((BK$2-12-MOD(Summary!$N27,12))/12))),HLOOKUP(BJ$3,$E$3:$DV32,27,FALSE))))</f>
        <v>0</v>
      </c>
      <c r="BL29" s="46" t="b">
        <f>IF(AND(Summary!$N27&lt;='Cash Flow Statement'!BL$2,'Cash Flow Statement'!BL$2&lt;=Summary!$O27),IF((BL$2-Summary!$N27)&lt;12,Summary!$P27,IF(MOD(BL$2,12)=MOD(Summary!$N27,12),(Summary!$P27*((1+Summary!$K$20)^((BL$2-12-MOD(Summary!$N27,12))/12))),HLOOKUP(BK$3,$E$3:$DV32,27,FALSE))))</f>
        <v>0</v>
      </c>
      <c r="BM29" s="46" t="b">
        <f>IF(AND(Summary!$N27&lt;='Cash Flow Statement'!BM$2,'Cash Flow Statement'!BM$2&lt;=Summary!$O27),IF((BM$2-Summary!$N27)&lt;12,Summary!$P27,IF(MOD(BM$2,12)=MOD(Summary!$N27,12),(Summary!$P27*((1+Summary!$K$20)^((BM$2-12-MOD(Summary!$N27,12))/12))),HLOOKUP(BL$3,$E$3:$DV32,27,FALSE))))</f>
        <v>0</v>
      </c>
      <c r="BN29" s="46" t="b">
        <f>IF(AND(Summary!$N27&lt;='Cash Flow Statement'!BN$2,'Cash Flow Statement'!BN$2&lt;=Summary!$O27),IF((BN$2-Summary!$N27)&lt;12,Summary!$P27,IF(MOD(BN$2,12)=MOD(Summary!$N27,12),(Summary!$P27*((1+Summary!$K$20)^((BN$2-12-MOD(Summary!$N27,12))/12))),HLOOKUP(BM$3,$E$3:$DV32,27,FALSE))))</f>
        <v>0</v>
      </c>
      <c r="BO29" s="46" t="b">
        <f>IF(AND(Summary!$N27&lt;='Cash Flow Statement'!BO$2,'Cash Flow Statement'!BO$2&lt;=Summary!$O27),IF((BO$2-Summary!$N27)&lt;12,Summary!$P27,IF(MOD(BO$2,12)=MOD(Summary!$N27,12),(Summary!$P27*((1+Summary!$K$20)^((BO$2-12-MOD(Summary!$N27,12))/12))),HLOOKUP(BN$3,$E$3:$DV32,27,FALSE))))</f>
        <v>0</v>
      </c>
      <c r="BP29" s="46" t="b">
        <f>IF(AND(Summary!$N27&lt;='Cash Flow Statement'!BP$2,'Cash Flow Statement'!BP$2&lt;=Summary!$O27),IF((BP$2-Summary!$N27)&lt;12,Summary!$P27,IF(MOD(BP$2,12)=MOD(Summary!$N27,12),(Summary!$P27*((1+Summary!$K$20)^((BP$2-12-MOD(Summary!$N27,12))/12))),HLOOKUP(BO$3,$E$3:$DV32,27,FALSE))))</f>
        <v>0</v>
      </c>
      <c r="BQ29" s="46" t="b">
        <f>IF(AND(Summary!$N27&lt;='Cash Flow Statement'!BQ$2,'Cash Flow Statement'!BQ$2&lt;=Summary!$O27),IF((BQ$2-Summary!$N27)&lt;12,Summary!$P27,IF(MOD(BQ$2,12)=MOD(Summary!$N27,12),(Summary!$P27*((1+Summary!$K$20)^((BQ$2-12-MOD(Summary!$N27,12))/12))),HLOOKUP(BP$3,$E$3:$DV32,27,FALSE))))</f>
        <v>0</v>
      </c>
      <c r="BR29" s="46" t="b">
        <f>IF(AND(Summary!$N27&lt;='Cash Flow Statement'!BR$2,'Cash Flow Statement'!BR$2&lt;=Summary!$O27),IF((BR$2-Summary!$N27)&lt;12,Summary!$P27,IF(MOD(BR$2,12)=MOD(Summary!$N27,12),(Summary!$P27*((1+Summary!$K$20)^((BR$2-12-MOD(Summary!$N27,12))/12))),HLOOKUP(BQ$3,$E$3:$DV32,27,FALSE))))</f>
        <v>0</v>
      </c>
      <c r="BS29" s="46" t="b">
        <f>IF(AND(Summary!$N27&lt;='Cash Flow Statement'!BS$2,'Cash Flow Statement'!BS$2&lt;=Summary!$O27),IF((BS$2-Summary!$N27)&lt;12,Summary!$P27,IF(MOD(BS$2,12)=MOD(Summary!$N27,12),(Summary!$P27*((1+Summary!$K$20)^((BS$2-12-MOD(Summary!$N27,12))/12))),HLOOKUP(BR$3,$E$3:$DV32,27,FALSE))))</f>
        <v>0</v>
      </c>
      <c r="BT29" s="46" t="b">
        <f>IF(AND(Summary!$N27&lt;='Cash Flow Statement'!BT$2,'Cash Flow Statement'!BT$2&lt;=Summary!$O27),IF((BT$2-Summary!$N27)&lt;12,Summary!$P27,IF(MOD(BT$2,12)=MOD(Summary!$N27,12),(Summary!$P27*((1+Summary!$K$20)^((BT$2-12-MOD(Summary!$N27,12))/12))),HLOOKUP(BS$3,$E$3:$DV32,27,FALSE))))</f>
        <v>0</v>
      </c>
      <c r="BU29" s="46" t="b">
        <f>IF(AND(Summary!$N27&lt;='Cash Flow Statement'!BU$2,'Cash Flow Statement'!BU$2&lt;=Summary!$O27),IF((BU$2-Summary!$N27)&lt;12,Summary!$P27,IF(MOD(BU$2,12)=MOD(Summary!$N27,12),(Summary!$P27*((1+Summary!$K$20)^((BU$2-12-MOD(Summary!$N27,12))/12))),HLOOKUP(BT$3,$E$3:$DV32,27,FALSE))))</f>
        <v>0</v>
      </c>
      <c r="BV29" s="46" t="b">
        <f>IF(AND(Summary!$N27&lt;='Cash Flow Statement'!BV$2,'Cash Flow Statement'!BV$2&lt;=Summary!$O27),IF((BV$2-Summary!$N27)&lt;12,Summary!$P27,IF(MOD(BV$2,12)=MOD(Summary!$N27,12),(Summary!$P27*((1+Summary!$K$20)^((BV$2-12-MOD(Summary!$N27,12))/12))),HLOOKUP(BU$3,$E$3:$DV32,27,FALSE))))</f>
        <v>0</v>
      </c>
      <c r="BW29" s="46" t="b">
        <f>IF(AND(Summary!$N27&lt;='Cash Flow Statement'!BW$2,'Cash Flow Statement'!BW$2&lt;=Summary!$O27),IF((BW$2-Summary!$N27)&lt;12,Summary!$P27,IF(MOD(BW$2,12)=MOD(Summary!$N27,12),(Summary!$P27*((1+Summary!$K$20)^((BW$2-12-MOD(Summary!$N27,12))/12))),HLOOKUP(BV$3,$E$3:$DV32,27,FALSE))))</f>
        <v>0</v>
      </c>
      <c r="BX29" s="46" t="b">
        <f>IF(AND(Summary!$N27&lt;='Cash Flow Statement'!BX$2,'Cash Flow Statement'!BX$2&lt;=Summary!$O27),IF((BX$2-Summary!$N27)&lt;12,Summary!$P27,IF(MOD(BX$2,12)=MOD(Summary!$N27,12),(Summary!$P27*((1+Summary!$K$20)^((BX$2-12-MOD(Summary!$N27,12))/12))),HLOOKUP(BW$3,$E$3:$DV32,27,FALSE))))</f>
        <v>0</v>
      </c>
      <c r="BY29" s="46" t="b">
        <f>IF(AND(Summary!$N27&lt;='Cash Flow Statement'!BY$2,'Cash Flow Statement'!BY$2&lt;=Summary!$O27),IF((BY$2-Summary!$N27)&lt;12,Summary!$P27,IF(MOD(BY$2,12)=MOD(Summary!$N27,12),(Summary!$P27*((1+Summary!$K$20)^((BY$2-12-MOD(Summary!$N27,12))/12))),HLOOKUP(BX$3,$E$3:$DV32,27,FALSE))))</f>
        <v>0</v>
      </c>
      <c r="BZ29" s="46" t="b">
        <f>IF(AND(Summary!$N27&lt;='Cash Flow Statement'!BZ$2,'Cash Flow Statement'!BZ$2&lt;=Summary!$O27),IF((BZ$2-Summary!$N27)&lt;12,Summary!$P27,IF(MOD(BZ$2,12)=MOD(Summary!$N27,12),(Summary!$P27*((1+Summary!$K$20)^((BZ$2-12-MOD(Summary!$N27,12))/12))),HLOOKUP(BY$3,$E$3:$DV32,27,FALSE))))</f>
        <v>0</v>
      </c>
      <c r="CA29" s="46" t="b">
        <f>IF(AND(Summary!$N27&lt;='Cash Flow Statement'!CA$2,'Cash Flow Statement'!CA$2&lt;=Summary!$O27),IF((CA$2-Summary!$N27)&lt;12,Summary!$P27,IF(MOD(CA$2,12)=MOD(Summary!$N27,12),(Summary!$P27*((1+Summary!$K$20)^((CA$2-12-MOD(Summary!$N27,12))/12))),HLOOKUP(BZ$3,$E$3:$DV32,27,FALSE))))</f>
        <v>0</v>
      </c>
      <c r="CB29" s="46" t="b">
        <f>IF(AND(Summary!$N27&lt;='Cash Flow Statement'!CB$2,'Cash Flow Statement'!CB$2&lt;=Summary!$O27),IF((CB$2-Summary!$N27)&lt;12,Summary!$P27,IF(MOD(CB$2,12)=MOD(Summary!$N27,12),(Summary!$P27*((1+Summary!$K$20)^((CB$2-12-MOD(Summary!$N27,12))/12))),HLOOKUP(CA$3,$E$3:$DV32,27,FALSE))))</f>
        <v>0</v>
      </c>
      <c r="CC29" s="46" t="b">
        <f>IF(AND(Summary!$N27&lt;='Cash Flow Statement'!CC$2,'Cash Flow Statement'!CC$2&lt;=Summary!$O27),IF((CC$2-Summary!$N27)&lt;12,Summary!$P27,IF(MOD(CC$2,12)=MOD(Summary!$N27,12),(Summary!$P27*((1+Summary!$K$20)^((CC$2-12-MOD(Summary!$N27,12))/12))),HLOOKUP(CB$3,$E$3:$DV32,27,FALSE))))</f>
        <v>0</v>
      </c>
      <c r="CD29" s="46" t="b">
        <f>IF(AND(Summary!$N27&lt;='Cash Flow Statement'!CD$2,'Cash Flow Statement'!CD$2&lt;=Summary!$O27),IF((CD$2-Summary!$N27)&lt;12,Summary!$P27,IF(MOD(CD$2,12)=MOD(Summary!$N27,12),(Summary!$P27*((1+Summary!$K$20)^((CD$2-12-MOD(Summary!$N27,12))/12))),HLOOKUP(CC$3,$E$3:$DV32,27,FALSE))))</f>
        <v>0</v>
      </c>
      <c r="CE29" s="46" t="b">
        <f>IF(AND(Summary!$N27&lt;='Cash Flow Statement'!CE$2,'Cash Flow Statement'!CE$2&lt;=Summary!$O27),IF((CE$2-Summary!$N27)&lt;12,Summary!$P27,IF(MOD(CE$2,12)=MOD(Summary!$N27,12),(Summary!$P27*((1+Summary!$K$20)^((CE$2-12-MOD(Summary!$N27,12))/12))),HLOOKUP(CD$3,$E$3:$DV32,27,FALSE))))</f>
        <v>0</v>
      </c>
      <c r="CF29" s="46" t="b">
        <f>IF(AND(Summary!$N27&lt;='Cash Flow Statement'!CF$2,'Cash Flow Statement'!CF$2&lt;=Summary!$O27),IF((CF$2-Summary!$N27)&lt;12,Summary!$P27,IF(MOD(CF$2,12)=MOD(Summary!$N27,12),(Summary!$P27*((1+Summary!$K$20)^((CF$2-12-MOD(Summary!$N27,12))/12))),HLOOKUP(CE$3,$E$3:$DV32,27,FALSE))))</f>
        <v>0</v>
      </c>
      <c r="CG29" s="46" t="b">
        <f>IF(AND(Summary!$N27&lt;='Cash Flow Statement'!CG$2,'Cash Flow Statement'!CG$2&lt;=Summary!$O27),IF((CG$2-Summary!$N27)&lt;12,Summary!$P27,IF(MOD(CG$2,12)=MOD(Summary!$N27,12),(Summary!$P27*((1+Summary!$K$20)^((CG$2-12-MOD(Summary!$N27,12))/12))),HLOOKUP(CF$3,$E$3:$DV32,27,FALSE))))</f>
        <v>0</v>
      </c>
      <c r="CH29" s="46" t="b">
        <f>IF(AND(Summary!$N27&lt;='Cash Flow Statement'!CH$2,'Cash Flow Statement'!CH$2&lt;=Summary!$O27),IF((CH$2-Summary!$N27)&lt;12,Summary!$P27,IF(MOD(CH$2,12)=MOD(Summary!$N27,12),(Summary!$P27*((1+Summary!$K$20)^((CH$2-12-MOD(Summary!$N27,12))/12))),HLOOKUP(CG$3,$E$3:$DV32,27,FALSE))))</f>
        <v>0</v>
      </c>
      <c r="CI29" s="46" t="b">
        <f>IF(AND(Summary!$N27&lt;='Cash Flow Statement'!CI$2,'Cash Flow Statement'!CI$2&lt;=Summary!$O27),IF((CI$2-Summary!$N27)&lt;12,Summary!$P27,IF(MOD(CI$2,12)=MOD(Summary!$N27,12),(Summary!$P27*((1+Summary!$K$20)^((CI$2-12-MOD(Summary!$N27,12))/12))),HLOOKUP(CH$3,$E$3:$DV32,27,FALSE))))</f>
        <v>0</v>
      </c>
      <c r="CJ29" s="46" t="b">
        <f>IF(AND(Summary!$N27&lt;='Cash Flow Statement'!CJ$2,'Cash Flow Statement'!CJ$2&lt;=Summary!$O27),IF((CJ$2-Summary!$N27)&lt;12,Summary!$P27,IF(MOD(CJ$2,12)=MOD(Summary!$N27,12),(Summary!$P27*((1+Summary!$K$20)^((CJ$2-12-MOD(Summary!$N27,12))/12))),HLOOKUP(CI$3,$E$3:$DV32,27,FALSE))))</f>
        <v>0</v>
      </c>
      <c r="CK29" s="46" t="b">
        <f>IF(AND(Summary!$N27&lt;='Cash Flow Statement'!CK$2,'Cash Flow Statement'!CK$2&lt;=Summary!$O27),IF((CK$2-Summary!$N27)&lt;12,Summary!$P27,IF(MOD(CK$2,12)=MOD(Summary!$N27,12),(Summary!$P27*((1+Summary!$K$20)^((CK$2-12-MOD(Summary!$N27,12))/12))),HLOOKUP(CJ$3,$E$3:$DV32,27,FALSE))))</f>
        <v>0</v>
      </c>
      <c r="CL29" s="46" t="b">
        <f>IF(AND(Summary!$N27&lt;='Cash Flow Statement'!CL$2,'Cash Flow Statement'!CL$2&lt;=Summary!$O27),IF((CL$2-Summary!$N27)&lt;12,Summary!$P27,IF(MOD(CL$2,12)=MOD(Summary!$N27,12),(Summary!$P27*((1+Summary!$K$20)^((CL$2-12-MOD(Summary!$N27,12))/12))),HLOOKUP(CK$3,$E$3:$DV32,27,FALSE))))</f>
        <v>0</v>
      </c>
      <c r="CM29" s="46" t="b">
        <f>IF(AND(Summary!$N27&lt;='Cash Flow Statement'!CM$2,'Cash Flow Statement'!CM$2&lt;=Summary!$O27),IF((CM$2-Summary!$N27)&lt;12,Summary!$P27,IF(MOD(CM$2,12)=MOD(Summary!$N27,12),(Summary!$P27*((1+Summary!$K$20)^((CM$2-12-MOD(Summary!$N27,12))/12))),HLOOKUP(CL$3,$E$3:$DV32,27,FALSE))))</f>
        <v>0</v>
      </c>
      <c r="CN29" s="46" t="b">
        <f>IF(AND(Summary!$N27&lt;='Cash Flow Statement'!CN$2,'Cash Flow Statement'!CN$2&lt;=Summary!$O27),IF((CN$2-Summary!$N27)&lt;12,Summary!$P27,IF(MOD(CN$2,12)=MOD(Summary!$N27,12),(Summary!$P27*((1+Summary!$K$20)^((CN$2-12-MOD(Summary!$N27,12))/12))),HLOOKUP(CM$3,$E$3:$DV32,27,FALSE))))</f>
        <v>0</v>
      </c>
      <c r="CO29" s="46" t="b">
        <f>IF(AND(Summary!$N27&lt;='Cash Flow Statement'!CO$2,'Cash Flow Statement'!CO$2&lt;=Summary!$O27),IF((CO$2-Summary!$N27)&lt;12,Summary!$P27,IF(MOD(CO$2,12)=MOD(Summary!$N27,12),(Summary!$P27*((1+Summary!$K$20)^((CO$2-12-MOD(Summary!$N27,12))/12))),HLOOKUP(CN$3,$E$3:$DV32,27,FALSE))))</f>
        <v>0</v>
      </c>
      <c r="CP29" s="46" t="b">
        <f>IF(AND(Summary!$N27&lt;='Cash Flow Statement'!CP$2,'Cash Flow Statement'!CP$2&lt;=Summary!$O27),IF((CP$2-Summary!$N27)&lt;12,Summary!$P27,IF(MOD(CP$2,12)=MOD(Summary!$N27,12),(Summary!$P27*((1+Summary!$K$20)^((CP$2-12-MOD(Summary!$N27,12))/12))),HLOOKUP(CO$3,$E$3:$DV32,27,FALSE))))</f>
        <v>0</v>
      </c>
      <c r="CQ29" s="46" t="b">
        <f>IF(AND(Summary!$N27&lt;='Cash Flow Statement'!CQ$2,'Cash Flow Statement'!CQ$2&lt;=Summary!$O27),IF((CQ$2-Summary!$N27)&lt;12,Summary!$P27,IF(MOD(CQ$2,12)=MOD(Summary!$N27,12),(Summary!$P27*((1+Summary!$K$20)^((CQ$2-12-MOD(Summary!$N27,12))/12))),HLOOKUP(CP$3,$E$3:$DV32,27,FALSE))))</f>
        <v>0</v>
      </c>
      <c r="CR29" s="46" t="b">
        <f>IF(AND(Summary!$N27&lt;='Cash Flow Statement'!CR$2,'Cash Flow Statement'!CR$2&lt;=Summary!$O27),IF((CR$2-Summary!$N27)&lt;12,Summary!$P27,IF(MOD(CR$2,12)=MOD(Summary!$N27,12),(Summary!$P27*((1+Summary!$K$20)^((CR$2-12-MOD(Summary!$N27,12))/12))),HLOOKUP(CQ$3,$E$3:$DV32,27,FALSE))))</f>
        <v>0</v>
      </c>
      <c r="CS29" s="46" t="b">
        <f>IF(AND(Summary!$N27&lt;='Cash Flow Statement'!CS$2,'Cash Flow Statement'!CS$2&lt;=Summary!$O27),IF((CS$2-Summary!$N27)&lt;12,Summary!$P27,IF(MOD(CS$2,12)=MOD(Summary!$N27,12),(Summary!$P27*((1+Summary!$K$20)^((CS$2-12-MOD(Summary!$N27,12))/12))),HLOOKUP(CR$3,$E$3:$DV32,27,FALSE))))</f>
        <v>0</v>
      </c>
      <c r="CT29" s="46" t="b">
        <f>IF(AND(Summary!$N27&lt;='Cash Flow Statement'!CT$2,'Cash Flow Statement'!CT$2&lt;=Summary!$O27),IF((CT$2-Summary!$N27)&lt;12,Summary!$P27,IF(MOD(CT$2,12)=MOD(Summary!$N27,12),(Summary!$P27*((1+Summary!$K$20)^((CT$2-12-MOD(Summary!$N27,12))/12))),HLOOKUP(CS$3,$E$3:$DV32,27,FALSE))))</f>
        <v>0</v>
      </c>
      <c r="CU29" s="46" t="b">
        <f>IF(AND(Summary!$N27&lt;='Cash Flow Statement'!CU$2,'Cash Flow Statement'!CU$2&lt;=Summary!$O27),IF((CU$2-Summary!$N27)&lt;12,Summary!$P27,IF(MOD(CU$2,12)=MOD(Summary!$N27,12),(Summary!$P27*((1+Summary!$K$20)^((CU$2-12-MOD(Summary!$N27,12))/12))),HLOOKUP(CT$3,$E$3:$DV32,27,FALSE))))</f>
        <v>0</v>
      </c>
      <c r="CV29" s="46" t="b">
        <f>IF(AND(Summary!$N27&lt;='Cash Flow Statement'!CV$2,'Cash Flow Statement'!CV$2&lt;=Summary!$O27),IF((CV$2-Summary!$N27)&lt;12,Summary!$P27,IF(MOD(CV$2,12)=MOD(Summary!$N27,12),(Summary!$P27*((1+Summary!$K$20)^((CV$2-12-MOD(Summary!$N27,12))/12))),HLOOKUP(CU$3,$E$3:$DV32,27,FALSE))))</f>
        <v>0</v>
      </c>
      <c r="CW29" s="46" t="b">
        <f>IF(AND(Summary!$N27&lt;='Cash Flow Statement'!CW$2,'Cash Flow Statement'!CW$2&lt;=Summary!$O27),IF((CW$2-Summary!$N27)&lt;12,Summary!$P27,IF(MOD(CW$2,12)=MOD(Summary!$N27,12),(Summary!$P27*((1+Summary!$K$20)^((CW$2-12-MOD(Summary!$N27,12))/12))),HLOOKUP(CV$3,$E$3:$DV32,27,FALSE))))</f>
        <v>0</v>
      </c>
      <c r="CX29" s="46" t="b">
        <f>IF(AND(Summary!$N27&lt;='Cash Flow Statement'!CX$2,'Cash Flow Statement'!CX$2&lt;=Summary!$O27),IF((CX$2-Summary!$N27)&lt;12,Summary!$P27,IF(MOD(CX$2,12)=MOD(Summary!$N27,12),(Summary!$P27*((1+Summary!$K$20)^((CX$2-12-MOD(Summary!$N27,12))/12))),HLOOKUP(CW$3,$E$3:$DV32,27,FALSE))))</f>
        <v>0</v>
      </c>
      <c r="CY29" s="46" t="b">
        <f>IF(AND(Summary!$N27&lt;='Cash Flow Statement'!CY$2,'Cash Flow Statement'!CY$2&lt;=Summary!$O27),IF((CY$2-Summary!$N27)&lt;12,Summary!$P27,IF(MOD(CY$2,12)=MOD(Summary!$N27,12),(Summary!$P27*((1+Summary!$K$20)^((CY$2-12-MOD(Summary!$N27,12))/12))),HLOOKUP(CX$3,$E$3:$DV32,27,FALSE))))</f>
        <v>0</v>
      </c>
      <c r="CZ29" s="46" t="b">
        <f>IF(AND(Summary!$N27&lt;='Cash Flow Statement'!CZ$2,'Cash Flow Statement'!CZ$2&lt;=Summary!$O27),IF((CZ$2-Summary!$N27)&lt;12,Summary!$P27,IF(MOD(CZ$2,12)=MOD(Summary!$N27,12),(Summary!$P27*((1+Summary!$K$20)^((CZ$2-12-MOD(Summary!$N27,12))/12))),HLOOKUP(CY$3,$E$3:$DV32,27,FALSE))))</f>
        <v>0</v>
      </c>
      <c r="DA29" s="46" t="b">
        <f>IF(AND(Summary!$N27&lt;='Cash Flow Statement'!DA$2,'Cash Flow Statement'!DA$2&lt;=Summary!$O27),IF((DA$2-Summary!$N27)&lt;12,Summary!$P27,IF(MOD(DA$2,12)=MOD(Summary!$N27,12),(Summary!$P27*((1+Summary!$K$20)^((DA$2-12-MOD(Summary!$N27,12))/12))),HLOOKUP(CZ$3,$E$3:$DV32,27,FALSE))))</f>
        <v>0</v>
      </c>
      <c r="DB29" s="46" t="b">
        <f>IF(AND(Summary!$N27&lt;='Cash Flow Statement'!DB$2,'Cash Flow Statement'!DB$2&lt;=Summary!$O27),IF((DB$2-Summary!$N27)&lt;12,Summary!$P27,IF(MOD(DB$2,12)=MOD(Summary!$N27,12),(Summary!$P27*((1+Summary!$K$20)^((DB$2-12-MOD(Summary!$N27,12))/12))),HLOOKUP(DA$3,$E$3:$DV32,27,FALSE))))</f>
        <v>0</v>
      </c>
      <c r="DC29" s="46" t="b">
        <f>IF(AND(Summary!$N27&lt;='Cash Flow Statement'!DC$2,'Cash Flow Statement'!DC$2&lt;=Summary!$O27),IF((DC$2-Summary!$N27)&lt;12,Summary!$P27,IF(MOD(DC$2,12)=MOD(Summary!$N27,12),(Summary!$P27*((1+Summary!$K$20)^((DC$2-12-MOD(Summary!$N27,12))/12))),HLOOKUP(DB$3,$E$3:$DV32,27,FALSE))))</f>
        <v>0</v>
      </c>
      <c r="DD29" s="46" t="b">
        <f>IF(AND(Summary!$N27&lt;='Cash Flow Statement'!DD$2,'Cash Flow Statement'!DD$2&lt;=Summary!$O27),IF((DD$2-Summary!$N27)&lt;12,Summary!$P27,IF(MOD(DD$2,12)=MOD(Summary!$N27,12),(Summary!$P27*((1+Summary!$K$20)^((DD$2-12-MOD(Summary!$N27,12))/12))),HLOOKUP(DC$3,$E$3:$DV32,27,FALSE))))</f>
        <v>0</v>
      </c>
      <c r="DE29" s="46" t="b">
        <f>IF(AND(Summary!$N27&lt;='Cash Flow Statement'!DE$2,'Cash Flow Statement'!DE$2&lt;=Summary!$O27),IF((DE$2-Summary!$N27)&lt;12,Summary!$P27,IF(MOD(DE$2,12)=MOD(Summary!$N27,12),(Summary!$P27*((1+Summary!$K$20)^((DE$2-12-MOD(Summary!$N27,12))/12))),HLOOKUP(DD$3,$E$3:$DV32,27,FALSE))))</f>
        <v>0</v>
      </c>
      <c r="DF29" s="46" t="b">
        <f>IF(AND(Summary!$N27&lt;='Cash Flow Statement'!DF$2,'Cash Flow Statement'!DF$2&lt;=Summary!$O27),IF((DF$2-Summary!$N27)&lt;12,Summary!$P27,IF(MOD(DF$2,12)=MOD(Summary!$N27,12),(Summary!$P27*((1+Summary!$K$20)^((DF$2-12-MOD(Summary!$N27,12))/12))),HLOOKUP(DE$3,$E$3:$DV32,27,FALSE))))</f>
        <v>0</v>
      </c>
      <c r="DG29" s="46" t="b">
        <f>IF(AND(Summary!$N27&lt;='Cash Flow Statement'!DG$2,'Cash Flow Statement'!DG$2&lt;=Summary!$O27),IF((DG$2-Summary!$N27)&lt;12,Summary!$P27,IF(MOD(DG$2,12)=MOD(Summary!$N27,12),(Summary!$P27*((1+Summary!$K$20)^((DG$2-12-MOD(Summary!$N27,12))/12))),HLOOKUP(DF$3,$E$3:$DV32,27,FALSE))))</f>
        <v>0</v>
      </c>
      <c r="DH29" s="46" t="b">
        <f>IF(AND(Summary!$N27&lt;='Cash Flow Statement'!DH$2,'Cash Flow Statement'!DH$2&lt;=Summary!$O27),IF((DH$2-Summary!$N27)&lt;12,Summary!$P27,IF(MOD(DH$2,12)=MOD(Summary!$N27,12),(Summary!$P27*((1+Summary!$K$20)^((DH$2-12-MOD(Summary!$N27,12))/12))),HLOOKUP(DG$3,$E$3:$DV32,27,FALSE))))</f>
        <v>0</v>
      </c>
      <c r="DI29" s="46" t="b">
        <f>IF(AND(Summary!$N27&lt;='Cash Flow Statement'!DI$2,'Cash Flow Statement'!DI$2&lt;=Summary!$O27),IF((DI$2-Summary!$N27)&lt;12,Summary!$P27,IF(MOD(DI$2,12)=MOD(Summary!$N27,12),(Summary!$P27*((1+Summary!$K$20)^((DI$2-12-MOD(Summary!$N27,12))/12))),HLOOKUP(DH$3,$E$3:$DV32,27,FALSE))))</f>
        <v>0</v>
      </c>
      <c r="DJ29" s="46" t="b">
        <f>IF(AND(Summary!$N27&lt;='Cash Flow Statement'!DJ$2,'Cash Flow Statement'!DJ$2&lt;=Summary!$O27),IF((DJ$2-Summary!$N27)&lt;12,Summary!$P27,IF(MOD(DJ$2,12)=MOD(Summary!$N27,12),(Summary!$P27*((1+Summary!$K$20)^((DJ$2-12-MOD(Summary!$N27,12))/12))),HLOOKUP(DI$3,$E$3:$DV32,27,FALSE))))</f>
        <v>0</v>
      </c>
      <c r="DK29" s="46" t="b">
        <f>IF(AND(Summary!$N27&lt;='Cash Flow Statement'!DK$2,'Cash Flow Statement'!DK$2&lt;=Summary!$O27),IF((DK$2-Summary!$N27)&lt;12,Summary!$P27,IF(MOD(DK$2,12)=MOD(Summary!$N27,12),(Summary!$P27*((1+Summary!$K$20)^((DK$2-12-MOD(Summary!$N27,12))/12))),HLOOKUP(DJ$3,$E$3:$DV32,27,FALSE))))</f>
        <v>0</v>
      </c>
      <c r="DL29" s="46" t="b">
        <f>IF(AND(Summary!$N27&lt;='Cash Flow Statement'!DL$2,'Cash Flow Statement'!DL$2&lt;=Summary!$O27),IF((DL$2-Summary!$N27)&lt;12,Summary!$P27,IF(MOD(DL$2,12)=MOD(Summary!$N27,12),(Summary!$P27*((1+Summary!$K$20)^((DL$2-12-MOD(Summary!$N27,12))/12))),HLOOKUP(DK$3,$E$3:$DV32,27,FALSE))))</f>
        <v>0</v>
      </c>
      <c r="DM29" s="46" t="b">
        <f>IF(AND(Summary!$N27&lt;='Cash Flow Statement'!DM$2,'Cash Flow Statement'!DM$2&lt;=Summary!$O27),IF((DM$2-Summary!$N27)&lt;12,Summary!$P27,IF(MOD(DM$2,12)=MOD(Summary!$N27,12),(Summary!$P27*((1+Summary!$K$20)^((DM$2-12-MOD(Summary!$N27,12))/12))),HLOOKUP(DL$3,$E$3:$DV32,27,FALSE))))</f>
        <v>0</v>
      </c>
      <c r="DN29" s="46" t="b">
        <f>IF(AND(Summary!$N27&lt;='Cash Flow Statement'!DN$2,'Cash Flow Statement'!DN$2&lt;=Summary!$O27),IF((DN$2-Summary!$N27)&lt;12,Summary!$P27,IF(MOD(DN$2,12)=MOD(Summary!$N27,12),(Summary!$P27*((1+Summary!$K$20)^((DN$2-12-MOD(Summary!$N27,12))/12))),HLOOKUP(DM$3,$E$3:$DV32,27,FALSE))))</f>
        <v>0</v>
      </c>
      <c r="DO29" s="46" t="b">
        <f>IF(AND(Summary!$N27&lt;='Cash Flow Statement'!DO$2,'Cash Flow Statement'!DO$2&lt;=Summary!$O27),IF((DO$2-Summary!$N27)&lt;12,Summary!$P27,IF(MOD(DO$2,12)=MOD(Summary!$N27,12),(Summary!$P27*((1+Summary!$K$20)^((DO$2-12-MOD(Summary!$N27,12))/12))),HLOOKUP(DN$3,$E$3:$DV32,27,FALSE))))</f>
        <v>0</v>
      </c>
      <c r="DP29" s="46" t="b">
        <f>IF(AND(Summary!$N27&lt;='Cash Flow Statement'!DP$2,'Cash Flow Statement'!DP$2&lt;=Summary!$O27),IF((DP$2-Summary!$N27)&lt;12,Summary!$P27,IF(MOD(DP$2,12)=MOD(Summary!$N27,12),(Summary!$P27*((1+Summary!$K$20)^((DP$2-12-MOD(Summary!$N27,12))/12))),HLOOKUP(DO$3,$E$3:$DV32,27,FALSE))))</f>
        <v>0</v>
      </c>
      <c r="DQ29" s="46" t="b">
        <f>IF(AND(Summary!$N27&lt;='Cash Flow Statement'!DQ$2,'Cash Flow Statement'!DQ$2&lt;=Summary!$O27),IF((DQ$2-Summary!$N27)&lt;12,Summary!$P27,IF(MOD(DQ$2,12)=MOD(Summary!$N27,12),(Summary!$P27*((1+Summary!$K$20)^((DQ$2-12-MOD(Summary!$N27,12))/12))),HLOOKUP(DP$3,$E$3:$DV32,27,FALSE))))</f>
        <v>0</v>
      </c>
      <c r="DR29" s="46" t="b">
        <f>IF(AND(Summary!$N27&lt;='Cash Flow Statement'!DR$2,'Cash Flow Statement'!DR$2&lt;=Summary!$O27),IF((DR$2-Summary!$N27)&lt;12,Summary!$P27,IF(MOD(DR$2,12)=MOD(Summary!$N27,12),(Summary!$P27*((1+Summary!$K$20)^((DR$2-12-MOD(Summary!$N27,12))/12))),HLOOKUP(DQ$3,$E$3:$DV32,27,FALSE))))</f>
        <v>0</v>
      </c>
      <c r="DS29" s="46" t="b">
        <f>IF(AND(Summary!$N27&lt;='Cash Flow Statement'!DS$2,'Cash Flow Statement'!DS$2&lt;=Summary!$O27),IF((DS$2-Summary!$N27)&lt;12,Summary!$P27,IF(MOD(DS$2,12)=MOD(Summary!$N27,12),(Summary!$P27*((1+Summary!$K$20)^((DS$2-12-MOD(Summary!$N27,12))/12))),HLOOKUP(DR$3,$E$3:$DV32,27,FALSE))))</f>
        <v>0</v>
      </c>
      <c r="DT29" s="46" t="b">
        <f>IF(AND(Summary!$N27&lt;='Cash Flow Statement'!DT$2,'Cash Flow Statement'!DT$2&lt;=Summary!$O27),IF((DT$2-Summary!$N27)&lt;12,Summary!$P27,IF(MOD(DT$2,12)=MOD(Summary!$N27,12),(Summary!$P27*((1+Summary!$K$20)^((DT$2-12-MOD(Summary!$N27,12))/12))),HLOOKUP(DS$3,$E$3:$DV32,27,FALSE))))</f>
        <v>0</v>
      </c>
      <c r="DU29" s="46" t="b">
        <f>IF(AND(Summary!$N27&lt;='Cash Flow Statement'!DU$2,'Cash Flow Statement'!DU$2&lt;=Summary!$O27),IF((DU$2-Summary!$N27)&lt;12,Summary!$P27,IF(MOD(DU$2,12)=MOD(Summary!$N27,12),(Summary!$P27*((1+Summary!$K$20)^((DU$2-12-MOD(Summary!$N27,12))/12))),HLOOKUP(DT$3,$E$3:$DV32,27,FALSE))))</f>
        <v>0</v>
      </c>
      <c r="DV29" s="135"/>
    </row>
    <row r="30" spans="1:126" x14ac:dyDescent="0.2">
      <c r="A30" s="88"/>
      <c r="B30" s="81" t="str">
        <f>Summary!J28</f>
        <v>Management Fee</v>
      </c>
      <c r="C30" s="44"/>
      <c r="D30" s="132">
        <f t="shared" si="17"/>
        <v>50825.794270154904</v>
      </c>
      <c r="E30" s="134" t="b">
        <f>IF(AND(Summary!$N28&lt;='Cash Flow Statement'!E$2,'Cash Flow Statement'!E$2&lt;=Summary!$O28),IF((E$2-Summary!$N28)&lt;12,Summary!$P28,IF(MOD(E$2,12)=MOD(Summary!$N28,12),(Summary!$P28*((1+Summary!$K$20)^((E$2-12-MOD(Summary!$N28,12))/12))),HLOOKUP(D$3,$E$3:$DV32,28,FALSE))))</f>
        <v>0</v>
      </c>
      <c r="F30" s="46" t="b">
        <f>IF(AND(Summary!$N28&lt;='Cash Flow Statement'!F$2,'Cash Flow Statement'!F$2&lt;=Summary!$O28),IF((F$2-Summary!$N28)&lt;12,Summary!$P28,IF(MOD(F$2,12)=MOD(Summary!$N28,12),(Summary!$P28*((1+Summary!$K$20)^((F$2-12-MOD(Summary!$N28,12))/12))),HLOOKUP(E$3,$E$3:$DV32,28,FALSE))))</f>
        <v>0</v>
      </c>
      <c r="G30" s="46" t="b">
        <f>IF(AND(Summary!$N28&lt;='Cash Flow Statement'!G$2,'Cash Flow Statement'!G$2&lt;=Summary!$O28),IF((G$2-Summary!$N28)&lt;12,Summary!$P28,IF(MOD(G$2,12)=MOD(Summary!$N28,12),(Summary!$P28*((1+Summary!$K$20)^((G$2-12-MOD(Summary!$N28,12))/12))),HLOOKUP(F$3,$E$3:$DV32,28,FALSE))))</f>
        <v>0</v>
      </c>
      <c r="H30" s="46" t="b">
        <f>IF(AND(Summary!$N28&lt;='Cash Flow Statement'!H$2,'Cash Flow Statement'!H$2&lt;=Summary!$O28),IF((H$2-Summary!$N28)&lt;12,Summary!$P28,IF(MOD(H$2,12)=MOD(Summary!$N28,12),(Summary!$P28*((1+Summary!$K$20)^((H$2-12-MOD(Summary!$N28,12))/12))),HLOOKUP(G$3,$E$3:$DV32,28,FALSE))))</f>
        <v>0</v>
      </c>
      <c r="I30" s="46" t="b">
        <f>IF(AND(Summary!$N28&lt;='Cash Flow Statement'!I$2,'Cash Flow Statement'!I$2&lt;=Summary!$O28),IF((I$2-Summary!$N28)&lt;12,Summary!$P28,IF(MOD(I$2,12)=MOD(Summary!$N28,12),(Summary!$P28*((1+Summary!$K$20)^((I$2-12-MOD(Summary!$N28,12))/12))),HLOOKUP(H$3,$E$3:$DV32,28,FALSE))))</f>
        <v>0</v>
      </c>
      <c r="J30" s="46" t="b">
        <f>IF(AND(Summary!$N28&lt;='Cash Flow Statement'!J$2,'Cash Flow Statement'!J$2&lt;=Summary!$O28),IF((J$2-Summary!$N28)&lt;12,Summary!$P28,IF(MOD(J$2,12)=MOD(Summary!$N28,12),(Summary!$P28*((1+Summary!$K$20)^((J$2-12-MOD(Summary!$N28,12))/12))),HLOOKUP(I$3,$E$3:$DV32,28,FALSE))))</f>
        <v>0</v>
      </c>
      <c r="K30" s="46" t="b">
        <f>IF(AND(Summary!$N28&lt;='Cash Flow Statement'!K$2,'Cash Flow Statement'!K$2&lt;=Summary!$O28),IF((K$2-Summary!$N28)&lt;12,Summary!$P28,IF(MOD(K$2,12)=MOD(Summary!$N28,12),(Summary!$P28*((1+Summary!$K$20)^((K$2-12-MOD(Summary!$N28,12))/12))),HLOOKUP(J$3,$E$3:$DV32,28,FALSE))))</f>
        <v>0</v>
      </c>
      <c r="L30" s="46" t="b">
        <f>IF(AND(Summary!$N28&lt;='Cash Flow Statement'!L$2,'Cash Flow Statement'!L$2&lt;=Summary!$O28),IF((L$2-Summary!$N28)&lt;12,Summary!$P28,IF(MOD(L$2,12)=MOD(Summary!$N28,12),(Summary!$P28*((1+Summary!$K$20)^((L$2-12-MOD(Summary!$N28,12))/12))),HLOOKUP(K$3,$E$3:$DV32,28,FALSE))))</f>
        <v>0</v>
      </c>
      <c r="M30" s="46" t="b">
        <f>IF(AND(Summary!$N28&lt;='Cash Flow Statement'!M$2,'Cash Flow Statement'!M$2&lt;=Summary!$O28),IF((M$2-Summary!$N28)&lt;12,Summary!$P28,IF(MOD(M$2,12)=MOD(Summary!$N28,12),(Summary!$P28*((1+Summary!$K$20)^((M$2-12-MOD(Summary!$N28,12))/12))),HLOOKUP(L$3,$E$3:$DV32,28,FALSE))))</f>
        <v>0</v>
      </c>
      <c r="N30" s="46" t="b">
        <f>IF(AND(Summary!$N28&lt;='Cash Flow Statement'!N$2,'Cash Flow Statement'!N$2&lt;=Summary!$O28),IF((N$2-Summary!$N28)&lt;12,Summary!$P28,IF(MOD(N$2,12)=MOD(Summary!$N28,12),(Summary!$P28*((1+Summary!$K$20)^((N$2-12-MOD(Summary!$N28,12))/12))),HLOOKUP(M$3,$E$3:$DV32,28,FALSE))))</f>
        <v>0</v>
      </c>
      <c r="O30" s="46" t="b">
        <f>IF(AND(Summary!$N28&lt;='Cash Flow Statement'!O$2,'Cash Flow Statement'!O$2&lt;=Summary!$O28),IF((O$2-Summary!$N28)&lt;12,Summary!$P28,IF(MOD(O$2,12)=MOD(Summary!$N28,12),(Summary!$P28*((1+Summary!$K$20)^((O$2-12-MOD(Summary!$N28,12))/12))),HLOOKUP(N$3,$E$3:$DV32,28,FALSE))))</f>
        <v>0</v>
      </c>
      <c r="P30" s="46" t="b">
        <f>IF(AND(Summary!$N28&lt;='Cash Flow Statement'!P$2,'Cash Flow Statement'!P$2&lt;=Summary!$O28),IF((P$2-Summary!$N28)&lt;12,Summary!$P28,IF(MOD(P$2,12)=MOD(Summary!$N28,12),(Summary!$P28*((1+Summary!$K$20)^((P$2-12-MOD(Summary!$N28,12))/12))),HLOOKUP(O$3,$E$3:$DV32,28,FALSE))))</f>
        <v>0</v>
      </c>
      <c r="Q30" s="46">
        <f>IF(AND(Summary!$N28&lt;='Cash Flow Statement'!Q$2,'Cash Flow Statement'!Q$2&lt;=Summary!$O28),IF((Q$2-Summary!$N28)&lt;12,Summary!$P28,IF(MOD(Q$2,12)=MOD(Summary!$N28,12),(Summary!$P28*((1+Summary!$K$20)^((Q$2-12-MOD(Summary!$N28,12))/12))),HLOOKUP(P$3,$E$3:$DV32,28,FALSE))))</f>
        <v>412.5</v>
      </c>
      <c r="R30" s="46">
        <f>IF(AND(Summary!$N28&lt;='Cash Flow Statement'!R$2,'Cash Flow Statement'!R$2&lt;=Summary!$O28),IF((R$2-Summary!$N28)&lt;12,Summary!$P28,IF(MOD(R$2,12)=MOD(Summary!$N28,12),(Summary!$P28*((1+Summary!$K$20)^((R$2-12-MOD(Summary!$N28,12))/12))),HLOOKUP(Q$3,$E$3:$DV32,28,FALSE))))</f>
        <v>412.5</v>
      </c>
      <c r="S30" s="46">
        <f>IF(AND(Summary!$N28&lt;='Cash Flow Statement'!S$2,'Cash Flow Statement'!S$2&lt;=Summary!$O28),IF((S$2-Summary!$N28)&lt;12,Summary!$P28,IF(MOD(S$2,12)=MOD(Summary!$N28,12),(Summary!$P28*((1+Summary!$K$20)^((S$2-12-MOD(Summary!$N28,12))/12))),HLOOKUP(R$3,$E$3:$DV32,28,FALSE))))</f>
        <v>412.5</v>
      </c>
      <c r="T30" s="46">
        <f>IF(AND(Summary!$N28&lt;='Cash Flow Statement'!T$2,'Cash Flow Statement'!T$2&lt;=Summary!$O28),IF((T$2-Summary!$N28)&lt;12,Summary!$P28,IF(MOD(T$2,12)=MOD(Summary!$N28,12),(Summary!$P28*((1+Summary!$K$20)^((T$2-12-MOD(Summary!$N28,12))/12))),HLOOKUP(S$3,$E$3:$DV32,28,FALSE))))</f>
        <v>412.5</v>
      </c>
      <c r="U30" s="46">
        <f>IF(AND(Summary!$N28&lt;='Cash Flow Statement'!U$2,'Cash Flow Statement'!U$2&lt;=Summary!$O28),IF((U$2-Summary!$N28)&lt;12,Summary!$P28,IF(MOD(U$2,12)=MOD(Summary!$N28,12),(Summary!$P28*((1+Summary!$K$20)^((U$2-12-MOD(Summary!$N28,12))/12))),HLOOKUP(T$3,$E$3:$DV32,28,FALSE))))</f>
        <v>412.5</v>
      </c>
      <c r="V30" s="46">
        <f>IF(AND(Summary!$N28&lt;='Cash Flow Statement'!V$2,'Cash Flow Statement'!V$2&lt;=Summary!$O28),IF((V$2-Summary!$N28)&lt;12,Summary!$P28,IF(MOD(V$2,12)=MOD(Summary!$N28,12),(Summary!$P28*((1+Summary!$K$20)^((V$2-12-MOD(Summary!$N28,12))/12))),HLOOKUP(U$3,$E$3:$DV32,28,FALSE))))</f>
        <v>412.5</v>
      </c>
      <c r="W30" s="46">
        <f>IF(AND(Summary!$N28&lt;='Cash Flow Statement'!W$2,'Cash Flow Statement'!W$2&lt;=Summary!$O28),IF((W$2-Summary!$N28)&lt;12,Summary!$P28,IF(MOD(W$2,12)=MOD(Summary!$N28,12),(Summary!$P28*((1+Summary!$K$20)^((W$2-12-MOD(Summary!$N28,12))/12))),HLOOKUP(V$3,$E$3:$DV32,28,FALSE))))</f>
        <v>412.5</v>
      </c>
      <c r="X30" s="46">
        <f>IF(AND(Summary!$N28&lt;='Cash Flow Statement'!X$2,'Cash Flow Statement'!X$2&lt;=Summary!$O28),IF((X$2-Summary!$N28)&lt;12,Summary!$P28,IF(MOD(X$2,12)=MOD(Summary!$N28,12),(Summary!$P28*((1+Summary!$K$20)^((X$2-12-MOD(Summary!$N28,12))/12))),HLOOKUP(W$3,$E$3:$DV32,28,FALSE))))</f>
        <v>412.5</v>
      </c>
      <c r="Y30" s="46">
        <f>IF(AND(Summary!$N28&lt;='Cash Flow Statement'!Y$2,'Cash Flow Statement'!Y$2&lt;=Summary!$O28),IF((Y$2-Summary!$N28)&lt;12,Summary!$P28,IF(MOD(Y$2,12)=MOD(Summary!$N28,12),(Summary!$P28*((1+Summary!$K$20)^((Y$2-12-MOD(Summary!$N28,12))/12))),HLOOKUP(X$3,$E$3:$DV32,28,FALSE))))</f>
        <v>412.5</v>
      </c>
      <c r="Z30" s="46">
        <f>IF(AND(Summary!$N28&lt;='Cash Flow Statement'!Z$2,'Cash Flow Statement'!Z$2&lt;=Summary!$O28),IF((Z$2-Summary!$N28)&lt;12,Summary!$P28,IF(MOD(Z$2,12)=MOD(Summary!$N28,12),(Summary!$P28*((1+Summary!$K$20)^((Z$2-12-MOD(Summary!$N28,12))/12))),HLOOKUP(Y$3,$E$3:$DV32,28,FALSE))))</f>
        <v>412.5</v>
      </c>
      <c r="AA30" s="46">
        <f>IF(AND(Summary!$N28&lt;='Cash Flow Statement'!AA$2,'Cash Flow Statement'!AA$2&lt;=Summary!$O28),IF((AA$2-Summary!$N28)&lt;12,Summary!$P28,IF(MOD(AA$2,12)=MOD(Summary!$N28,12),(Summary!$P28*((1+Summary!$K$20)^((AA$2-12-MOD(Summary!$N28,12))/12))),HLOOKUP(Z$3,$E$3:$DV32,28,FALSE))))</f>
        <v>412.5</v>
      </c>
      <c r="AB30" s="46">
        <f>IF(AND(Summary!$N28&lt;='Cash Flow Statement'!AB$2,'Cash Flow Statement'!AB$2&lt;=Summary!$O28),IF((AB$2-Summary!$N28)&lt;12,Summary!$P28,IF(MOD(AB$2,12)=MOD(Summary!$N28,12),(Summary!$P28*((1+Summary!$K$20)^((AB$2-12-MOD(Summary!$N28,12))/12))),HLOOKUP(AA$3,$E$3:$DV32,28,FALSE))))</f>
        <v>412.5</v>
      </c>
      <c r="AC30" s="46">
        <f>IF(AND(Summary!$N28&lt;='Cash Flow Statement'!AC$2,'Cash Flow Statement'!AC$2&lt;=Summary!$O28),IF((AC$2-Summary!$N28)&lt;12,Summary!$P28,IF(MOD(AC$2,12)=MOD(Summary!$N28,12),(Summary!$P28*((1+Summary!$K$20)^((AC$2-12-MOD(Summary!$N28,12))/12))),HLOOKUP(AB$3,$E$3:$DV32,28,FALSE))))</f>
        <v>424.875</v>
      </c>
      <c r="AD30" s="46">
        <f>IF(AND(Summary!$N28&lt;='Cash Flow Statement'!AD$2,'Cash Flow Statement'!AD$2&lt;=Summary!$O28),IF((AD$2-Summary!$N28)&lt;12,Summary!$P28,IF(MOD(AD$2,12)=MOD(Summary!$N28,12),(Summary!$P28*((1+Summary!$K$20)^((AD$2-12-MOD(Summary!$N28,12))/12))),HLOOKUP(AC$3,$E$3:$DV32,28,FALSE))))</f>
        <v>424.875</v>
      </c>
      <c r="AE30" s="46">
        <f>IF(AND(Summary!$N28&lt;='Cash Flow Statement'!AE$2,'Cash Flow Statement'!AE$2&lt;=Summary!$O28),IF((AE$2-Summary!$N28)&lt;12,Summary!$P28,IF(MOD(AE$2,12)=MOD(Summary!$N28,12),(Summary!$P28*((1+Summary!$K$20)^((AE$2-12-MOD(Summary!$N28,12))/12))),HLOOKUP(AD$3,$E$3:$DV32,28,FALSE))))</f>
        <v>424.875</v>
      </c>
      <c r="AF30" s="46">
        <f>IF(AND(Summary!$N28&lt;='Cash Flow Statement'!AF$2,'Cash Flow Statement'!AF$2&lt;=Summary!$O28),IF((AF$2-Summary!$N28)&lt;12,Summary!$P28,IF(MOD(AF$2,12)=MOD(Summary!$N28,12),(Summary!$P28*((1+Summary!$K$20)^((AF$2-12-MOD(Summary!$N28,12))/12))),HLOOKUP(AE$3,$E$3:$DV32,28,FALSE))))</f>
        <v>424.875</v>
      </c>
      <c r="AG30" s="46">
        <f>IF(AND(Summary!$N28&lt;='Cash Flow Statement'!AG$2,'Cash Flow Statement'!AG$2&lt;=Summary!$O28),IF((AG$2-Summary!$N28)&lt;12,Summary!$P28,IF(MOD(AG$2,12)=MOD(Summary!$N28,12),(Summary!$P28*((1+Summary!$K$20)^((AG$2-12-MOD(Summary!$N28,12))/12))),HLOOKUP(AF$3,$E$3:$DV32,28,FALSE))))</f>
        <v>424.875</v>
      </c>
      <c r="AH30" s="46">
        <f>IF(AND(Summary!$N28&lt;='Cash Flow Statement'!AH$2,'Cash Flow Statement'!AH$2&lt;=Summary!$O28),IF((AH$2-Summary!$N28)&lt;12,Summary!$P28,IF(MOD(AH$2,12)=MOD(Summary!$N28,12),(Summary!$P28*((1+Summary!$K$20)^((AH$2-12-MOD(Summary!$N28,12))/12))),HLOOKUP(AG$3,$E$3:$DV32,28,FALSE))))</f>
        <v>424.875</v>
      </c>
      <c r="AI30" s="46">
        <f>IF(AND(Summary!$N28&lt;='Cash Flow Statement'!AI$2,'Cash Flow Statement'!AI$2&lt;=Summary!$O28),IF((AI$2-Summary!$N28)&lt;12,Summary!$P28,IF(MOD(AI$2,12)=MOD(Summary!$N28,12),(Summary!$P28*((1+Summary!$K$20)^((AI$2-12-MOD(Summary!$N28,12))/12))),HLOOKUP(AH$3,$E$3:$DV32,28,FALSE))))</f>
        <v>424.875</v>
      </c>
      <c r="AJ30" s="46">
        <f>IF(AND(Summary!$N28&lt;='Cash Flow Statement'!AJ$2,'Cash Flow Statement'!AJ$2&lt;=Summary!$O28),IF((AJ$2-Summary!$N28)&lt;12,Summary!$P28,IF(MOD(AJ$2,12)=MOD(Summary!$N28,12),(Summary!$P28*((1+Summary!$K$20)^((AJ$2-12-MOD(Summary!$N28,12))/12))),HLOOKUP(AI$3,$E$3:$DV32,28,FALSE))))</f>
        <v>424.875</v>
      </c>
      <c r="AK30" s="46">
        <f>IF(AND(Summary!$N28&lt;='Cash Flow Statement'!AK$2,'Cash Flow Statement'!AK$2&lt;=Summary!$O28),IF((AK$2-Summary!$N28)&lt;12,Summary!$P28,IF(MOD(AK$2,12)=MOD(Summary!$N28,12),(Summary!$P28*((1+Summary!$K$20)^((AK$2-12-MOD(Summary!$N28,12))/12))),HLOOKUP(AJ$3,$E$3:$DV32,28,FALSE))))</f>
        <v>424.875</v>
      </c>
      <c r="AL30" s="46">
        <f>IF(AND(Summary!$N28&lt;='Cash Flow Statement'!AL$2,'Cash Flow Statement'!AL$2&lt;=Summary!$O28),IF((AL$2-Summary!$N28)&lt;12,Summary!$P28,IF(MOD(AL$2,12)=MOD(Summary!$N28,12),(Summary!$P28*((1+Summary!$K$20)^((AL$2-12-MOD(Summary!$N28,12))/12))),HLOOKUP(AK$3,$E$3:$DV32,28,FALSE))))</f>
        <v>424.875</v>
      </c>
      <c r="AM30" s="46">
        <f>IF(AND(Summary!$N28&lt;='Cash Flow Statement'!AM$2,'Cash Flow Statement'!AM$2&lt;=Summary!$O28),IF((AM$2-Summary!$N28)&lt;12,Summary!$P28,IF(MOD(AM$2,12)=MOD(Summary!$N28,12),(Summary!$P28*((1+Summary!$K$20)^((AM$2-12-MOD(Summary!$N28,12))/12))),HLOOKUP(AL$3,$E$3:$DV32,28,FALSE))))</f>
        <v>424.875</v>
      </c>
      <c r="AN30" s="46">
        <f>IF(AND(Summary!$N28&lt;='Cash Flow Statement'!AN$2,'Cash Flow Statement'!AN$2&lt;=Summary!$O28),IF((AN$2-Summary!$N28)&lt;12,Summary!$P28,IF(MOD(AN$2,12)=MOD(Summary!$N28,12),(Summary!$P28*((1+Summary!$K$20)^((AN$2-12-MOD(Summary!$N28,12))/12))),HLOOKUP(AM$3,$E$3:$DV32,28,FALSE))))</f>
        <v>424.875</v>
      </c>
      <c r="AO30" s="46">
        <f>IF(AND(Summary!$N28&lt;='Cash Flow Statement'!AO$2,'Cash Flow Statement'!AO$2&lt;=Summary!$O28),IF((AO$2-Summary!$N28)&lt;12,Summary!$P28,IF(MOD(AO$2,12)=MOD(Summary!$N28,12),(Summary!$P28*((1+Summary!$K$20)^((AO$2-12-MOD(Summary!$N28,12))/12))),HLOOKUP(AN$3,$E$3:$DV32,28,FALSE))))</f>
        <v>437.62124999999997</v>
      </c>
      <c r="AP30" s="46">
        <f>IF(AND(Summary!$N28&lt;='Cash Flow Statement'!AP$2,'Cash Flow Statement'!AP$2&lt;=Summary!$O28),IF((AP$2-Summary!$N28)&lt;12,Summary!$P28,IF(MOD(AP$2,12)=MOD(Summary!$N28,12),(Summary!$P28*((1+Summary!$K$20)^((AP$2-12-MOD(Summary!$N28,12))/12))),HLOOKUP(AO$3,$E$3:$DV32,28,FALSE))))</f>
        <v>437.62124999999997</v>
      </c>
      <c r="AQ30" s="46">
        <f>IF(AND(Summary!$N28&lt;='Cash Flow Statement'!AQ$2,'Cash Flow Statement'!AQ$2&lt;=Summary!$O28),IF((AQ$2-Summary!$N28)&lt;12,Summary!$P28,IF(MOD(AQ$2,12)=MOD(Summary!$N28,12),(Summary!$P28*((1+Summary!$K$20)^((AQ$2-12-MOD(Summary!$N28,12))/12))),HLOOKUP(AP$3,$E$3:$DV32,28,FALSE))))</f>
        <v>437.62124999999997</v>
      </c>
      <c r="AR30" s="46">
        <f>IF(AND(Summary!$N28&lt;='Cash Flow Statement'!AR$2,'Cash Flow Statement'!AR$2&lt;=Summary!$O28),IF((AR$2-Summary!$N28)&lt;12,Summary!$P28,IF(MOD(AR$2,12)=MOD(Summary!$N28,12),(Summary!$P28*((1+Summary!$K$20)^((AR$2-12-MOD(Summary!$N28,12))/12))),HLOOKUP(AQ$3,$E$3:$DV32,28,FALSE))))</f>
        <v>437.62124999999997</v>
      </c>
      <c r="AS30" s="46">
        <f>IF(AND(Summary!$N28&lt;='Cash Flow Statement'!AS$2,'Cash Flow Statement'!AS$2&lt;=Summary!$O28),IF((AS$2-Summary!$N28)&lt;12,Summary!$P28,IF(MOD(AS$2,12)=MOD(Summary!$N28,12),(Summary!$P28*((1+Summary!$K$20)^((AS$2-12-MOD(Summary!$N28,12))/12))),HLOOKUP(AR$3,$E$3:$DV32,28,FALSE))))</f>
        <v>437.62124999999997</v>
      </c>
      <c r="AT30" s="46">
        <f>IF(AND(Summary!$N28&lt;='Cash Flow Statement'!AT$2,'Cash Flow Statement'!AT$2&lt;=Summary!$O28),IF((AT$2-Summary!$N28)&lt;12,Summary!$P28,IF(MOD(AT$2,12)=MOD(Summary!$N28,12),(Summary!$P28*((1+Summary!$K$20)^((AT$2-12-MOD(Summary!$N28,12))/12))),HLOOKUP(AS$3,$E$3:$DV32,28,FALSE))))</f>
        <v>437.62124999999997</v>
      </c>
      <c r="AU30" s="46">
        <f>IF(AND(Summary!$N28&lt;='Cash Flow Statement'!AU$2,'Cash Flow Statement'!AU$2&lt;=Summary!$O28),IF((AU$2-Summary!$N28)&lt;12,Summary!$P28,IF(MOD(AU$2,12)=MOD(Summary!$N28,12),(Summary!$P28*((1+Summary!$K$20)^((AU$2-12-MOD(Summary!$N28,12))/12))),HLOOKUP(AT$3,$E$3:$DV32,28,FALSE))))</f>
        <v>437.62124999999997</v>
      </c>
      <c r="AV30" s="46">
        <f>IF(AND(Summary!$N28&lt;='Cash Flow Statement'!AV$2,'Cash Flow Statement'!AV$2&lt;=Summary!$O28),IF((AV$2-Summary!$N28)&lt;12,Summary!$P28,IF(MOD(AV$2,12)=MOD(Summary!$N28,12),(Summary!$P28*((1+Summary!$K$20)^((AV$2-12-MOD(Summary!$N28,12))/12))),HLOOKUP(AU$3,$E$3:$DV32,28,FALSE))))</f>
        <v>437.62124999999997</v>
      </c>
      <c r="AW30" s="46">
        <f>IF(AND(Summary!$N28&lt;='Cash Flow Statement'!AW$2,'Cash Flow Statement'!AW$2&lt;=Summary!$O28),IF((AW$2-Summary!$N28)&lt;12,Summary!$P28,IF(MOD(AW$2,12)=MOD(Summary!$N28,12),(Summary!$P28*((1+Summary!$K$20)^((AW$2-12-MOD(Summary!$N28,12))/12))),HLOOKUP(AV$3,$E$3:$DV32,28,FALSE))))</f>
        <v>437.62124999999997</v>
      </c>
      <c r="AX30" s="46">
        <f>IF(AND(Summary!$N28&lt;='Cash Flow Statement'!AX$2,'Cash Flow Statement'!AX$2&lt;=Summary!$O28),IF((AX$2-Summary!$N28)&lt;12,Summary!$P28,IF(MOD(AX$2,12)=MOD(Summary!$N28,12),(Summary!$P28*((1+Summary!$K$20)^((AX$2-12-MOD(Summary!$N28,12))/12))),HLOOKUP(AW$3,$E$3:$DV32,28,FALSE))))</f>
        <v>437.62124999999997</v>
      </c>
      <c r="AY30" s="46">
        <f>IF(AND(Summary!$N28&lt;='Cash Flow Statement'!AY$2,'Cash Flow Statement'!AY$2&lt;=Summary!$O28),IF((AY$2-Summary!$N28)&lt;12,Summary!$P28,IF(MOD(AY$2,12)=MOD(Summary!$N28,12),(Summary!$P28*((1+Summary!$K$20)^((AY$2-12-MOD(Summary!$N28,12))/12))),HLOOKUP(AX$3,$E$3:$DV32,28,FALSE))))</f>
        <v>437.62124999999997</v>
      </c>
      <c r="AZ30" s="46">
        <f>IF(AND(Summary!$N28&lt;='Cash Flow Statement'!AZ$2,'Cash Flow Statement'!AZ$2&lt;=Summary!$O28),IF((AZ$2-Summary!$N28)&lt;12,Summary!$P28,IF(MOD(AZ$2,12)=MOD(Summary!$N28,12),(Summary!$P28*((1+Summary!$K$20)^((AZ$2-12-MOD(Summary!$N28,12))/12))),HLOOKUP(AY$3,$E$3:$DV32,28,FALSE))))</f>
        <v>437.62124999999997</v>
      </c>
      <c r="BA30" s="46">
        <f>IF(AND(Summary!$N28&lt;='Cash Flow Statement'!BA$2,'Cash Flow Statement'!BA$2&lt;=Summary!$O28),IF((BA$2-Summary!$N28)&lt;12,Summary!$P28,IF(MOD(BA$2,12)=MOD(Summary!$N28,12),(Summary!$P28*((1+Summary!$K$20)^((BA$2-12-MOD(Summary!$N28,12))/12))),HLOOKUP(AZ$3,$E$3:$DV32,28,FALSE))))</f>
        <v>450.7498875</v>
      </c>
      <c r="BB30" s="46">
        <f>IF(AND(Summary!$N28&lt;='Cash Flow Statement'!BB$2,'Cash Flow Statement'!BB$2&lt;=Summary!$O28),IF((BB$2-Summary!$N28)&lt;12,Summary!$P28,IF(MOD(BB$2,12)=MOD(Summary!$N28,12),(Summary!$P28*((1+Summary!$K$20)^((BB$2-12-MOD(Summary!$N28,12))/12))),HLOOKUP(BA$3,$E$3:$DV32,28,FALSE))))</f>
        <v>450.7498875</v>
      </c>
      <c r="BC30" s="46">
        <f>IF(AND(Summary!$N28&lt;='Cash Flow Statement'!BC$2,'Cash Flow Statement'!BC$2&lt;=Summary!$O28),IF((BC$2-Summary!$N28)&lt;12,Summary!$P28,IF(MOD(BC$2,12)=MOD(Summary!$N28,12),(Summary!$P28*((1+Summary!$K$20)^((BC$2-12-MOD(Summary!$N28,12))/12))),HLOOKUP(BB$3,$E$3:$DV32,28,FALSE))))</f>
        <v>450.7498875</v>
      </c>
      <c r="BD30" s="46">
        <f>IF(AND(Summary!$N28&lt;='Cash Flow Statement'!BD$2,'Cash Flow Statement'!BD$2&lt;=Summary!$O28),IF((BD$2-Summary!$N28)&lt;12,Summary!$P28,IF(MOD(BD$2,12)=MOD(Summary!$N28,12),(Summary!$P28*((1+Summary!$K$20)^((BD$2-12-MOD(Summary!$N28,12))/12))),HLOOKUP(BC$3,$E$3:$DV32,28,FALSE))))</f>
        <v>450.7498875</v>
      </c>
      <c r="BE30" s="46">
        <f>IF(AND(Summary!$N28&lt;='Cash Flow Statement'!BE$2,'Cash Flow Statement'!BE$2&lt;=Summary!$O28),IF((BE$2-Summary!$N28)&lt;12,Summary!$P28,IF(MOD(BE$2,12)=MOD(Summary!$N28,12),(Summary!$P28*((1+Summary!$K$20)^((BE$2-12-MOD(Summary!$N28,12))/12))),HLOOKUP(BD$3,$E$3:$DV32,28,FALSE))))</f>
        <v>450.7498875</v>
      </c>
      <c r="BF30" s="46">
        <f>IF(AND(Summary!$N28&lt;='Cash Flow Statement'!BF$2,'Cash Flow Statement'!BF$2&lt;=Summary!$O28),IF((BF$2-Summary!$N28)&lt;12,Summary!$P28,IF(MOD(BF$2,12)=MOD(Summary!$N28,12),(Summary!$P28*((1+Summary!$K$20)^((BF$2-12-MOD(Summary!$N28,12))/12))),HLOOKUP(BE$3,$E$3:$DV32,28,FALSE))))</f>
        <v>450.7498875</v>
      </c>
      <c r="BG30" s="46">
        <f>IF(AND(Summary!$N28&lt;='Cash Flow Statement'!BG$2,'Cash Flow Statement'!BG$2&lt;=Summary!$O28),IF((BG$2-Summary!$N28)&lt;12,Summary!$P28,IF(MOD(BG$2,12)=MOD(Summary!$N28,12),(Summary!$P28*((1+Summary!$K$20)^((BG$2-12-MOD(Summary!$N28,12))/12))),HLOOKUP(BF$3,$E$3:$DV32,28,FALSE))))</f>
        <v>450.7498875</v>
      </c>
      <c r="BH30" s="46">
        <f>IF(AND(Summary!$N28&lt;='Cash Flow Statement'!BH$2,'Cash Flow Statement'!BH$2&lt;=Summary!$O28),IF((BH$2-Summary!$N28)&lt;12,Summary!$P28,IF(MOD(BH$2,12)=MOD(Summary!$N28,12),(Summary!$P28*((1+Summary!$K$20)^((BH$2-12-MOD(Summary!$N28,12))/12))),HLOOKUP(BG$3,$E$3:$DV32,28,FALSE))))</f>
        <v>450.7498875</v>
      </c>
      <c r="BI30" s="46">
        <f>IF(AND(Summary!$N28&lt;='Cash Flow Statement'!BI$2,'Cash Flow Statement'!BI$2&lt;=Summary!$O28),IF((BI$2-Summary!$N28)&lt;12,Summary!$P28,IF(MOD(BI$2,12)=MOD(Summary!$N28,12),(Summary!$P28*((1+Summary!$K$20)^((BI$2-12-MOD(Summary!$N28,12))/12))),HLOOKUP(BH$3,$E$3:$DV32,28,FALSE))))</f>
        <v>450.7498875</v>
      </c>
      <c r="BJ30" s="46">
        <f>IF(AND(Summary!$N28&lt;='Cash Flow Statement'!BJ$2,'Cash Flow Statement'!BJ$2&lt;=Summary!$O28),IF((BJ$2-Summary!$N28)&lt;12,Summary!$P28,IF(MOD(BJ$2,12)=MOD(Summary!$N28,12),(Summary!$P28*((1+Summary!$K$20)^((BJ$2-12-MOD(Summary!$N28,12))/12))),HLOOKUP(BI$3,$E$3:$DV32,28,FALSE))))</f>
        <v>450.7498875</v>
      </c>
      <c r="BK30" s="46">
        <f>IF(AND(Summary!$N28&lt;='Cash Flow Statement'!BK$2,'Cash Flow Statement'!BK$2&lt;=Summary!$O28),IF((BK$2-Summary!$N28)&lt;12,Summary!$P28,IF(MOD(BK$2,12)=MOD(Summary!$N28,12),(Summary!$P28*((1+Summary!$K$20)^((BK$2-12-MOD(Summary!$N28,12))/12))),HLOOKUP(BJ$3,$E$3:$DV32,28,FALSE))))</f>
        <v>450.7498875</v>
      </c>
      <c r="BL30" s="46">
        <f>IF(AND(Summary!$N28&lt;='Cash Flow Statement'!BL$2,'Cash Flow Statement'!BL$2&lt;=Summary!$O28),IF((BL$2-Summary!$N28)&lt;12,Summary!$P28,IF(MOD(BL$2,12)=MOD(Summary!$N28,12),(Summary!$P28*((1+Summary!$K$20)^((BL$2-12-MOD(Summary!$N28,12))/12))),HLOOKUP(BK$3,$E$3:$DV32,28,FALSE))))</f>
        <v>450.7498875</v>
      </c>
      <c r="BM30" s="46">
        <f>IF(AND(Summary!$N28&lt;='Cash Flow Statement'!BM$2,'Cash Flow Statement'!BM$2&lt;=Summary!$O28),IF((BM$2-Summary!$N28)&lt;12,Summary!$P28,IF(MOD(BM$2,12)=MOD(Summary!$N28,12),(Summary!$P28*((1+Summary!$K$20)^((BM$2-12-MOD(Summary!$N28,12))/12))),HLOOKUP(BL$3,$E$3:$DV32,28,FALSE))))</f>
        <v>464.27238412499997</v>
      </c>
      <c r="BN30" s="46">
        <f>IF(AND(Summary!$N28&lt;='Cash Flow Statement'!BN$2,'Cash Flow Statement'!BN$2&lt;=Summary!$O28),IF((BN$2-Summary!$N28)&lt;12,Summary!$P28,IF(MOD(BN$2,12)=MOD(Summary!$N28,12),(Summary!$P28*((1+Summary!$K$20)^((BN$2-12-MOD(Summary!$N28,12))/12))),HLOOKUP(BM$3,$E$3:$DV32,28,FALSE))))</f>
        <v>464.27238412499997</v>
      </c>
      <c r="BO30" s="46">
        <f>IF(AND(Summary!$N28&lt;='Cash Flow Statement'!BO$2,'Cash Flow Statement'!BO$2&lt;=Summary!$O28),IF((BO$2-Summary!$N28)&lt;12,Summary!$P28,IF(MOD(BO$2,12)=MOD(Summary!$N28,12),(Summary!$P28*((1+Summary!$K$20)^((BO$2-12-MOD(Summary!$N28,12))/12))),HLOOKUP(BN$3,$E$3:$DV32,28,FALSE))))</f>
        <v>464.27238412499997</v>
      </c>
      <c r="BP30" s="46">
        <f>IF(AND(Summary!$N28&lt;='Cash Flow Statement'!BP$2,'Cash Flow Statement'!BP$2&lt;=Summary!$O28),IF((BP$2-Summary!$N28)&lt;12,Summary!$P28,IF(MOD(BP$2,12)=MOD(Summary!$N28,12),(Summary!$P28*((1+Summary!$K$20)^((BP$2-12-MOD(Summary!$N28,12))/12))),HLOOKUP(BO$3,$E$3:$DV32,28,FALSE))))</f>
        <v>464.27238412499997</v>
      </c>
      <c r="BQ30" s="46">
        <f>IF(AND(Summary!$N28&lt;='Cash Flow Statement'!BQ$2,'Cash Flow Statement'!BQ$2&lt;=Summary!$O28),IF((BQ$2-Summary!$N28)&lt;12,Summary!$P28,IF(MOD(BQ$2,12)=MOD(Summary!$N28,12),(Summary!$P28*((1+Summary!$K$20)^((BQ$2-12-MOD(Summary!$N28,12))/12))),HLOOKUP(BP$3,$E$3:$DV32,28,FALSE))))</f>
        <v>464.27238412499997</v>
      </c>
      <c r="BR30" s="46">
        <f>IF(AND(Summary!$N28&lt;='Cash Flow Statement'!BR$2,'Cash Flow Statement'!BR$2&lt;=Summary!$O28),IF((BR$2-Summary!$N28)&lt;12,Summary!$P28,IF(MOD(BR$2,12)=MOD(Summary!$N28,12),(Summary!$P28*((1+Summary!$K$20)^((BR$2-12-MOD(Summary!$N28,12))/12))),HLOOKUP(BQ$3,$E$3:$DV32,28,FALSE))))</f>
        <v>464.27238412499997</v>
      </c>
      <c r="BS30" s="46">
        <f>IF(AND(Summary!$N28&lt;='Cash Flow Statement'!BS$2,'Cash Flow Statement'!BS$2&lt;=Summary!$O28),IF((BS$2-Summary!$N28)&lt;12,Summary!$P28,IF(MOD(BS$2,12)=MOD(Summary!$N28,12),(Summary!$P28*((1+Summary!$K$20)^((BS$2-12-MOD(Summary!$N28,12))/12))),HLOOKUP(BR$3,$E$3:$DV32,28,FALSE))))</f>
        <v>464.27238412499997</v>
      </c>
      <c r="BT30" s="46">
        <f>IF(AND(Summary!$N28&lt;='Cash Flow Statement'!BT$2,'Cash Flow Statement'!BT$2&lt;=Summary!$O28),IF((BT$2-Summary!$N28)&lt;12,Summary!$P28,IF(MOD(BT$2,12)=MOD(Summary!$N28,12),(Summary!$P28*((1+Summary!$K$20)^((BT$2-12-MOD(Summary!$N28,12))/12))),HLOOKUP(BS$3,$E$3:$DV32,28,FALSE))))</f>
        <v>464.27238412499997</v>
      </c>
      <c r="BU30" s="46">
        <f>IF(AND(Summary!$N28&lt;='Cash Flow Statement'!BU$2,'Cash Flow Statement'!BU$2&lt;=Summary!$O28),IF((BU$2-Summary!$N28)&lt;12,Summary!$P28,IF(MOD(BU$2,12)=MOD(Summary!$N28,12),(Summary!$P28*((1+Summary!$K$20)^((BU$2-12-MOD(Summary!$N28,12))/12))),HLOOKUP(BT$3,$E$3:$DV32,28,FALSE))))</f>
        <v>464.27238412499997</v>
      </c>
      <c r="BV30" s="46">
        <f>IF(AND(Summary!$N28&lt;='Cash Flow Statement'!BV$2,'Cash Flow Statement'!BV$2&lt;=Summary!$O28),IF((BV$2-Summary!$N28)&lt;12,Summary!$P28,IF(MOD(BV$2,12)=MOD(Summary!$N28,12),(Summary!$P28*((1+Summary!$K$20)^((BV$2-12-MOD(Summary!$N28,12))/12))),HLOOKUP(BU$3,$E$3:$DV32,28,FALSE))))</f>
        <v>464.27238412499997</v>
      </c>
      <c r="BW30" s="46">
        <f>IF(AND(Summary!$N28&lt;='Cash Flow Statement'!BW$2,'Cash Flow Statement'!BW$2&lt;=Summary!$O28),IF((BW$2-Summary!$N28)&lt;12,Summary!$P28,IF(MOD(BW$2,12)=MOD(Summary!$N28,12),(Summary!$P28*((1+Summary!$K$20)^((BW$2-12-MOD(Summary!$N28,12))/12))),HLOOKUP(BV$3,$E$3:$DV32,28,FALSE))))</f>
        <v>464.27238412499997</v>
      </c>
      <c r="BX30" s="46">
        <f>IF(AND(Summary!$N28&lt;='Cash Flow Statement'!BX$2,'Cash Flow Statement'!BX$2&lt;=Summary!$O28),IF((BX$2-Summary!$N28)&lt;12,Summary!$P28,IF(MOD(BX$2,12)=MOD(Summary!$N28,12),(Summary!$P28*((1+Summary!$K$20)^((BX$2-12-MOD(Summary!$N28,12))/12))),HLOOKUP(BW$3,$E$3:$DV32,28,FALSE))))</f>
        <v>464.27238412499997</v>
      </c>
      <c r="BY30" s="46">
        <f>IF(AND(Summary!$N28&lt;='Cash Flow Statement'!BY$2,'Cash Flow Statement'!BY$2&lt;=Summary!$O28),IF((BY$2-Summary!$N28)&lt;12,Summary!$P28,IF(MOD(BY$2,12)=MOD(Summary!$N28,12),(Summary!$P28*((1+Summary!$K$20)^((BY$2-12-MOD(Summary!$N28,12))/12))),HLOOKUP(BX$3,$E$3:$DV32,28,FALSE))))</f>
        <v>478.20055564874991</v>
      </c>
      <c r="BZ30" s="46">
        <f>IF(AND(Summary!$N28&lt;='Cash Flow Statement'!BZ$2,'Cash Flow Statement'!BZ$2&lt;=Summary!$O28),IF((BZ$2-Summary!$N28)&lt;12,Summary!$P28,IF(MOD(BZ$2,12)=MOD(Summary!$N28,12),(Summary!$P28*((1+Summary!$K$20)^((BZ$2-12-MOD(Summary!$N28,12))/12))),HLOOKUP(BY$3,$E$3:$DV32,28,FALSE))))</f>
        <v>478.20055564874991</v>
      </c>
      <c r="CA30" s="46">
        <f>IF(AND(Summary!$N28&lt;='Cash Flow Statement'!CA$2,'Cash Flow Statement'!CA$2&lt;=Summary!$O28),IF((CA$2-Summary!$N28)&lt;12,Summary!$P28,IF(MOD(CA$2,12)=MOD(Summary!$N28,12),(Summary!$P28*((1+Summary!$K$20)^((CA$2-12-MOD(Summary!$N28,12))/12))),HLOOKUP(BZ$3,$E$3:$DV32,28,FALSE))))</f>
        <v>478.20055564874991</v>
      </c>
      <c r="CB30" s="46">
        <f>IF(AND(Summary!$N28&lt;='Cash Flow Statement'!CB$2,'Cash Flow Statement'!CB$2&lt;=Summary!$O28),IF((CB$2-Summary!$N28)&lt;12,Summary!$P28,IF(MOD(CB$2,12)=MOD(Summary!$N28,12),(Summary!$P28*((1+Summary!$K$20)^((CB$2-12-MOD(Summary!$N28,12))/12))),HLOOKUP(CA$3,$E$3:$DV32,28,FALSE))))</f>
        <v>478.20055564874991</v>
      </c>
      <c r="CC30" s="46">
        <f>IF(AND(Summary!$N28&lt;='Cash Flow Statement'!CC$2,'Cash Flow Statement'!CC$2&lt;=Summary!$O28),IF((CC$2-Summary!$N28)&lt;12,Summary!$P28,IF(MOD(CC$2,12)=MOD(Summary!$N28,12),(Summary!$P28*((1+Summary!$K$20)^((CC$2-12-MOD(Summary!$N28,12))/12))),HLOOKUP(CB$3,$E$3:$DV32,28,FALSE))))</f>
        <v>478.20055564874991</v>
      </c>
      <c r="CD30" s="46">
        <f>IF(AND(Summary!$N28&lt;='Cash Flow Statement'!CD$2,'Cash Flow Statement'!CD$2&lt;=Summary!$O28),IF((CD$2-Summary!$N28)&lt;12,Summary!$P28,IF(MOD(CD$2,12)=MOD(Summary!$N28,12),(Summary!$P28*((1+Summary!$K$20)^((CD$2-12-MOD(Summary!$N28,12))/12))),HLOOKUP(CC$3,$E$3:$DV32,28,FALSE))))</f>
        <v>478.20055564874991</v>
      </c>
      <c r="CE30" s="46">
        <f>IF(AND(Summary!$N28&lt;='Cash Flow Statement'!CE$2,'Cash Flow Statement'!CE$2&lt;=Summary!$O28),IF((CE$2-Summary!$N28)&lt;12,Summary!$P28,IF(MOD(CE$2,12)=MOD(Summary!$N28,12),(Summary!$P28*((1+Summary!$K$20)^((CE$2-12-MOD(Summary!$N28,12))/12))),HLOOKUP(CD$3,$E$3:$DV32,28,FALSE))))</f>
        <v>478.20055564874991</v>
      </c>
      <c r="CF30" s="46">
        <f>IF(AND(Summary!$N28&lt;='Cash Flow Statement'!CF$2,'Cash Flow Statement'!CF$2&lt;=Summary!$O28),IF((CF$2-Summary!$N28)&lt;12,Summary!$P28,IF(MOD(CF$2,12)=MOD(Summary!$N28,12),(Summary!$P28*((1+Summary!$K$20)^((CF$2-12-MOD(Summary!$N28,12))/12))),HLOOKUP(CE$3,$E$3:$DV32,28,FALSE))))</f>
        <v>478.20055564874991</v>
      </c>
      <c r="CG30" s="46">
        <f>IF(AND(Summary!$N28&lt;='Cash Flow Statement'!CG$2,'Cash Flow Statement'!CG$2&lt;=Summary!$O28),IF((CG$2-Summary!$N28)&lt;12,Summary!$P28,IF(MOD(CG$2,12)=MOD(Summary!$N28,12),(Summary!$P28*((1+Summary!$K$20)^((CG$2-12-MOD(Summary!$N28,12))/12))),HLOOKUP(CF$3,$E$3:$DV32,28,FALSE))))</f>
        <v>478.20055564874991</v>
      </c>
      <c r="CH30" s="46">
        <f>IF(AND(Summary!$N28&lt;='Cash Flow Statement'!CH$2,'Cash Flow Statement'!CH$2&lt;=Summary!$O28),IF((CH$2-Summary!$N28)&lt;12,Summary!$P28,IF(MOD(CH$2,12)=MOD(Summary!$N28,12),(Summary!$P28*((1+Summary!$K$20)^((CH$2-12-MOD(Summary!$N28,12))/12))),HLOOKUP(CG$3,$E$3:$DV32,28,FALSE))))</f>
        <v>478.20055564874991</v>
      </c>
      <c r="CI30" s="46">
        <f>IF(AND(Summary!$N28&lt;='Cash Flow Statement'!CI$2,'Cash Flow Statement'!CI$2&lt;=Summary!$O28),IF((CI$2-Summary!$N28)&lt;12,Summary!$P28,IF(MOD(CI$2,12)=MOD(Summary!$N28,12),(Summary!$P28*((1+Summary!$K$20)^((CI$2-12-MOD(Summary!$N28,12))/12))),HLOOKUP(CH$3,$E$3:$DV32,28,FALSE))))</f>
        <v>478.20055564874991</v>
      </c>
      <c r="CJ30" s="46">
        <f>IF(AND(Summary!$N28&lt;='Cash Flow Statement'!CJ$2,'Cash Flow Statement'!CJ$2&lt;=Summary!$O28),IF((CJ$2-Summary!$N28)&lt;12,Summary!$P28,IF(MOD(CJ$2,12)=MOD(Summary!$N28,12),(Summary!$P28*((1+Summary!$K$20)^((CJ$2-12-MOD(Summary!$N28,12))/12))),HLOOKUP(CI$3,$E$3:$DV32,28,FALSE))))</f>
        <v>478.20055564874991</v>
      </c>
      <c r="CK30" s="46">
        <f>IF(AND(Summary!$N28&lt;='Cash Flow Statement'!CK$2,'Cash Flow Statement'!CK$2&lt;=Summary!$O28),IF((CK$2-Summary!$N28)&lt;12,Summary!$P28,IF(MOD(CK$2,12)=MOD(Summary!$N28,12),(Summary!$P28*((1+Summary!$K$20)^((CK$2-12-MOD(Summary!$N28,12))/12))),HLOOKUP(CJ$3,$E$3:$DV32,28,FALSE))))</f>
        <v>492.54657231821244</v>
      </c>
      <c r="CL30" s="46">
        <f>IF(AND(Summary!$N28&lt;='Cash Flow Statement'!CL$2,'Cash Flow Statement'!CL$2&lt;=Summary!$O28),IF((CL$2-Summary!$N28)&lt;12,Summary!$P28,IF(MOD(CL$2,12)=MOD(Summary!$N28,12),(Summary!$P28*((1+Summary!$K$20)^((CL$2-12-MOD(Summary!$N28,12))/12))),HLOOKUP(CK$3,$E$3:$DV32,28,FALSE))))</f>
        <v>492.54657231821244</v>
      </c>
      <c r="CM30" s="46">
        <f>IF(AND(Summary!$N28&lt;='Cash Flow Statement'!CM$2,'Cash Flow Statement'!CM$2&lt;=Summary!$O28),IF((CM$2-Summary!$N28)&lt;12,Summary!$P28,IF(MOD(CM$2,12)=MOD(Summary!$N28,12),(Summary!$P28*((1+Summary!$K$20)^((CM$2-12-MOD(Summary!$N28,12))/12))),HLOOKUP(CL$3,$E$3:$DV32,28,FALSE))))</f>
        <v>492.54657231821244</v>
      </c>
      <c r="CN30" s="46">
        <f>IF(AND(Summary!$N28&lt;='Cash Flow Statement'!CN$2,'Cash Flow Statement'!CN$2&lt;=Summary!$O28),IF((CN$2-Summary!$N28)&lt;12,Summary!$P28,IF(MOD(CN$2,12)=MOD(Summary!$N28,12),(Summary!$P28*((1+Summary!$K$20)^((CN$2-12-MOD(Summary!$N28,12))/12))),HLOOKUP(CM$3,$E$3:$DV32,28,FALSE))))</f>
        <v>492.54657231821244</v>
      </c>
      <c r="CO30" s="46">
        <f>IF(AND(Summary!$N28&lt;='Cash Flow Statement'!CO$2,'Cash Flow Statement'!CO$2&lt;=Summary!$O28),IF((CO$2-Summary!$N28)&lt;12,Summary!$P28,IF(MOD(CO$2,12)=MOD(Summary!$N28,12),(Summary!$P28*((1+Summary!$K$20)^((CO$2-12-MOD(Summary!$N28,12))/12))),HLOOKUP(CN$3,$E$3:$DV32,28,FALSE))))</f>
        <v>492.54657231821244</v>
      </c>
      <c r="CP30" s="46">
        <f>IF(AND(Summary!$N28&lt;='Cash Flow Statement'!CP$2,'Cash Flow Statement'!CP$2&lt;=Summary!$O28),IF((CP$2-Summary!$N28)&lt;12,Summary!$P28,IF(MOD(CP$2,12)=MOD(Summary!$N28,12),(Summary!$P28*((1+Summary!$K$20)^((CP$2-12-MOD(Summary!$N28,12))/12))),HLOOKUP(CO$3,$E$3:$DV32,28,FALSE))))</f>
        <v>492.54657231821244</v>
      </c>
      <c r="CQ30" s="46">
        <f>IF(AND(Summary!$N28&lt;='Cash Flow Statement'!CQ$2,'Cash Flow Statement'!CQ$2&lt;=Summary!$O28),IF((CQ$2-Summary!$N28)&lt;12,Summary!$P28,IF(MOD(CQ$2,12)=MOD(Summary!$N28,12),(Summary!$P28*((1+Summary!$K$20)^((CQ$2-12-MOD(Summary!$N28,12))/12))),HLOOKUP(CP$3,$E$3:$DV32,28,FALSE))))</f>
        <v>492.54657231821244</v>
      </c>
      <c r="CR30" s="46">
        <f>IF(AND(Summary!$N28&lt;='Cash Flow Statement'!CR$2,'Cash Flow Statement'!CR$2&lt;=Summary!$O28),IF((CR$2-Summary!$N28)&lt;12,Summary!$P28,IF(MOD(CR$2,12)=MOD(Summary!$N28,12),(Summary!$P28*((1+Summary!$K$20)^((CR$2-12-MOD(Summary!$N28,12))/12))),HLOOKUP(CQ$3,$E$3:$DV32,28,FALSE))))</f>
        <v>492.54657231821244</v>
      </c>
      <c r="CS30" s="46">
        <f>IF(AND(Summary!$N28&lt;='Cash Flow Statement'!CS$2,'Cash Flow Statement'!CS$2&lt;=Summary!$O28),IF((CS$2-Summary!$N28)&lt;12,Summary!$P28,IF(MOD(CS$2,12)=MOD(Summary!$N28,12),(Summary!$P28*((1+Summary!$K$20)^((CS$2-12-MOD(Summary!$N28,12))/12))),HLOOKUP(CR$3,$E$3:$DV32,28,FALSE))))</f>
        <v>492.54657231821244</v>
      </c>
      <c r="CT30" s="46">
        <f>IF(AND(Summary!$N28&lt;='Cash Flow Statement'!CT$2,'Cash Flow Statement'!CT$2&lt;=Summary!$O28),IF((CT$2-Summary!$N28)&lt;12,Summary!$P28,IF(MOD(CT$2,12)=MOD(Summary!$N28,12),(Summary!$P28*((1+Summary!$K$20)^((CT$2-12-MOD(Summary!$N28,12))/12))),HLOOKUP(CS$3,$E$3:$DV32,28,FALSE))))</f>
        <v>492.54657231821244</v>
      </c>
      <c r="CU30" s="46">
        <f>IF(AND(Summary!$N28&lt;='Cash Flow Statement'!CU$2,'Cash Flow Statement'!CU$2&lt;=Summary!$O28),IF((CU$2-Summary!$N28)&lt;12,Summary!$P28,IF(MOD(CU$2,12)=MOD(Summary!$N28,12),(Summary!$P28*((1+Summary!$K$20)^((CU$2-12-MOD(Summary!$N28,12))/12))),HLOOKUP(CT$3,$E$3:$DV32,28,FALSE))))</f>
        <v>492.54657231821244</v>
      </c>
      <c r="CV30" s="46">
        <f>IF(AND(Summary!$N28&lt;='Cash Flow Statement'!CV$2,'Cash Flow Statement'!CV$2&lt;=Summary!$O28),IF((CV$2-Summary!$N28)&lt;12,Summary!$P28,IF(MOD(CV$2,12)=MOD(Summary!$N28,12),(Summary!$P28*((1+Summary!$K$20)^((CV$2-12-MOD(Summary!$N28,12))/12))),HLOOKUP(CU$3,$E$3:$DV32,28,FALSE))))</f>
        <v>492.54657231821244</v>
      </c>
      <c r="CW30" s="46">
        <f>IF(AND(Summary!$N28&lt;='Cash Flow Statement'!CW$2,'Cash Flow Statement'!CW$2&lt;=Summary!$O28),IF((CW$2-Summary!$N28)&lt;12,Summary!$P28,IF(MOD(CW$2,12)=MOD(Summary!$N28,12),(Summary!$P28*((1+Summary!$K$20)^((CW$2-12-MOD(Summary!$N28,12))/12))),HLOOKUP(CV$3,$E$3:$DV32,28,FALSE))))</f>
        <v>507.32296948775888</v>
      </c>
      <c r="CX30" s="46">
        <f>IF(AND(Summary!$N28&lt;='Cash Flow Statement'!CX$2,'Cash Flow Statement'!CX$2&lt;=Summary!$O28),IF((CX$2-Summary!$N28)&lt;12,Summary!$P28,IF(MOD(CX$2,12)=MOD(Summary!$N28,12),(Summary!$P28*((1+Summary!$K$20)^((CX$2-12-MOD(Summary!$N28,12))/12))),HLOOKUP(CW$3,$E$3:$DV32,28,FALSE))))</f>
        <v>507.32296948775888</v>
      </c>
      <c r="CY30" s="46">
        <f>IF(AND(Summary!$N28&lt;='Cash Flow Statement'!CY$2,'Cash Flow Statement'!CY$2&lt;=Summary!$O28),IF((CY$2-Summary!$N28)&lt;12,Summary!$P28,IF(MOD(CY$2,12)=MOD(Summary!$N28,12),(Summary!$P28*((1+Summary!$K$20)^((CY$2-12-MOD(Summary!$N28,12))/12))),HLOOKUP(CX$3,$E$3:$DV32,28,FALSE))))</f>
        <v>507.32296948775888</v>
      </c>
      <c r="CZ30" s="46">
        <f>IF(AND(Summary!$N28&lt;='Cash Flow Statement'!CZ$2,'Cash Flow Statement'!CZ$2&lt;=Summary!$O28),IF((CZ$2-Summary!$N28)&lt;12,Summary!$P28,IF(MOD(CZ$2,12)=MOD(Summary!$N28,12),(Summary!$P28*((1+Summary!$K$20)^((CZ$2-12-MOD(Summary!$N28,12))/12))),HLOOKUP(CY$3,$E$3:$DV32,28,FALSE))))</f>
        <v>507.32296948775888</v>
      </c>
      <c r="DA30" s="46">
        <f>IF(AND(Summary!$N28&lt;='Cash Flow Statement'!DA$2,'Cash Flow Statement'!DA$2&lt;=Summary!$O28),IF((DA$2-Summary!$N28)&lt;12,Summary!$P28,IF(MOD(DA$2,12)=MOD(Summary!$N28,12),(Summary!$P28*((1+Summary!$K$20)^((DA$2-12-MOD(Summary!$N28,12))/12))),HLOOKUP(CZ$3,$E$3:$DV32,28,FALSE))))</f>
        <v>507.32296948775888</v>
      </c>
      <c r="DB30" s="46">
        <f>IF(AND(Summary!$N28&lt;='Cash Flow Statement'!DB$2,'Cash Flow Statement'!DB$2&lt;=Summary!$O28),IF((DB$2-Summary!$N28)&lt;12,Summary!$P28,IF(MOD(DB$2,12)=MOD(Summary!$N28,12),(Summary!$P28*((1+Summary!$K$20)^((DB$2-12-MOD(Summary!$N28,12))/12))),HLOOKUP(DA$3,$E$3:$DV32,28,FALSE))))</f>
        <v>507.32296948775888</v>
      </c>
      <c r="DC30" s="46">
        <f>IF(AND(Summary!$N28&lt;='Cash Flow Statement'!DC$2,'Cash Flow Statement'!DC$2&lt;=Summary!$O28),IF((DC$2-Summary!$N28)&lt;12,Summary!$P28,IF(MOD(DC$2,12)=MOD(Summary!$N28,12),(Summary!$P28*((1+Summary!$K$20)^((DC$2-12-MOD(Summary!$N28,12))/12))),HLOOKUP(DB$3,$E$3:$DV32,28,FALSE))))</f>
        <v>507.32296948775888</v>
      </c>
      <c r="DD30" s="46">
        <f>IF(AND(Summary!$N28&lt;='Cash Flow Statement'!DD$2,'Cash Flow Statement'!DD$2&lt;=Summary!$O28),IF((DD$2-Summary!$N28)&lt;12,Summary!$P28,IF(MOD(DD$2,12)=MOD(Summary!$N28,12),(Summary!$P28*((1+Summary!$K$20)^((DD$2-12-MOD(Summary!$N28,12))/12))),HLOOKUP(DC$3,$E$3:$DV32,28,FALSE))))</f>
        <v>507.32296948775888</v>
      </c>
      <c r="DE30" s="46">
        <f>IF(AND(Summary!$N28&lt;='Cash Flow Statement'!DE$2,'Cash Flow Statement'!DE$2&lt;=Summary!$O28),IF((DE$2-Summary!$N28)&lt;12,Summary!$P28,IF(MOD(DE$2,12)=MOD(Summary!$N28,12),(Summary!$P28*((1+Summary!$K$20)^((DE$2-12-MOD(Summary!$N28,12))/12))),HLOOKUP(DD$3,$E$3:$DV32,28,FALSE))))</f>
        <v>507.32296948775888</v>
      </c>
      <c r="DF30" s="46">
        <f>IF(AND(Summary!$N28&lt;='Cash Flow Statement'!DF$2,'Cash Flow Statement'!DF$2&lt;=Summary!$O28),IF((DF$2-Summary!$N28)&lt;12,Summary!$P28,IF(MOD(DF$2,12)=MOD(Summary!$N28,12),(Summary!$P28*((1+Summary!$K$20)^((DF$2-12-MOD(Summary!$N28,12))/12))),HLOOKUP(DE$3,$E$3:$DV32,28,FALSE))))</f>
        <v>507.32296948775888</v>
      </c>
      <c r="DG30" s="46">
        <f>IF(AND(Summary!$N28&lt;='Cash Flow Statement'!DG$2,'Cash Flow Statement'!DG$2&lt;=Summary!$O28),IF((DG$2-Summary!$N28)&lt;12,Summary!$P28,IF(MOD(DG$2,12)=MOD(Summary!$N28,12),(Summary!$P28*((1+Summary!$K$20)^((DG$2-12-MOD(Summary!$N28,12))/12))),HLOOKUP(DF$3,$E$3:$DV32,28,FALSE))))</f>
        <v>507.32296948775888</v>
      </c>
      <c r="DH30" s="46">
        <f>IF(AND(Summary!$N28&lt;='Cash Flow Statement'!DH$2,'Cash Flow Statement'!DH$2&lt;=Summary!$O28),IF((DH$2-Summary!$N28)&lt;12,Summary!$P28,IF(MOD(DH$2,12)=MOD(Summary!$N28,12),(Summary!$P28*((1+Summary!$K$20)^((DH$2-12-MOD(Summary!$N28,12))/12))),HLOOKUP(DG$3,$E$3:$DV32,28,FALSE))))</f>
        <v>507.32296948775888</v>
      </c>
      <c r="DI30" s="46">
        <f>IF(AND(Summary!$N28&lt;='Cash Flow Statement'!DI$2,'Cash Flow Statement'!DI$2&lt;=Summary!$O28),IF((DI$2-Summary!$N28)&lt;12,Summary!$P28,IF(MOD(DI$2,12)=MOD(Summary!$N28,12),(Summary!$P28*((1+Summary!$K$20)^((DI$2-12-MOD(Summary!$N28,12))/12))),HLOOKUP(DH$3,$E$3:$DV32,28,FALSE))))</f>
        <v>522.54265857239159</v>
      </c>
      <c r="DJ30" s="46">
        <f>IF(AND(Summary!$N28&lt;='Cash Flow Statement'!DJ$2,'Cash Flow Statement'!DJ$2&lt;=Summary!$O28),IF((DJ$2-Summary!$N28)&lt;12,Summary!$P28,IF(MOD(DJ$2,12)=MOD(Summary!$N28,12),(Summary!$P28*((1+Summary!$K$20)^((DJ$2-12-MOD(Summary!$N28,12))/12))),HLOOKUP(DI$3,$E$3:$DV32,28,FALSE))))</f>
        <v>522.54265857239159</v>
      </c>
      <c r="DK30" s="46">
        <f>IF(AND(Summary!$N28&lt;='Cash Flow Statement'!DK$2,'Cash Flow Statement'!DK$2&lt;=Summary!$O28),IF((DK$2-Summary!$N28)&lt;12,Summary!$P28,IF(MOD(DK$2,12)=MOD(Summary!$N28,12),(Summary!$P28*((1+Summary!$K$20)^((DK$2-12-MOD(Summary!$N28,12))/12))),HLOOKUP(DJ$3,$E$3:$DV32,28,FALSE))))</f>
        <v>522.54265857239159</v>
      </c>
      <c r="DL30" s="46">
        <f>IF(AND(Summary!$N28&lt;='Cash Flow Statement'!DL$2,'Cash Flow Statement'!DL$2&lt;=Summary!$O28),IF((DL$2-Summary!$N28)&lt;12,Summary!$P28,IF(MOD(DL$2,12)=MOD(Summary!$N28,12),(Summary!$P28*((1+Summary!$K$20)^((DL$2-12-MOD(Summary!$N28,12))/12))),HLOOKUP(DK$3,$E$3:$DV32,28,FALSE))))</f>
        <v>522.54265857239159</v>
      </c>
      <c r="DM30" s="46">
        <f>IF(AND(Summary!$N28&lt;='Cash Flow Statement'!DM$2,'Cash Flow Statement'!DM$2&lt;=Summary!$O28),IF((DM$2-Summary!$N28)&lt;12,Summary!$P28,IF(MOD(DM$2,12)=MOD(Summary!$N28,12),(Summary!$P28*((1+Summary!$K$20)^((DM$2-12-MOD(Summary!$N28,12))/12))),HLOOKUP(DL$3,$E$3:$DV32,28,FALSE))))</f>
        <v>522.54265857239159</v>
      </c>
      <c r="DN30" s="46">
        <f>IF(AND(Summary!$N28&lt;='Cash Flow Statement'!DN$2,'Cash Flow Statement'!DN$2&lt;=Summary!$O28),IF((DN$2-Summary!$N28)&lt;12,Summary!$P28,IF(MOD(DN$2,12)=MOD(Summary!$N28,12),(Summary!$P28*((1+Summary!$K$20)^((DN$2-12-MOD(Summary!$N28,12))/12))),HLOOKUP(DM$3,$E$3:$DV32,28,FALSE))))</f>
        <v>522.54265857239159</v>
      </c>
      <c r="DO30" s="46">
        <f>IF(AND(Summary!$N28&lt;='Cash Flow Statement'!DO$2,'Cash Flow Statement'!DO$2&lt;=Summary!$O28),IF((DO$2-Summary!$N28)&lt;12,Summary!$P28,IF(MOD(DO$2,12)=MOD(Summary!$N28,12),(Summary!$P28*((1+Summary!$K$20)^((DO$2-12-MOD(Summary!$N28,12))/12))),HLOOKUP(DN$3,$E$3:$DV32,28,FALSE))))</f>
        <v>522.54265857239159</v>
      </c>
      <c r="DP30" s="46">
        <f>IF(AND(Summary!$N28&lt;='Cash Flow Statement'!DP$2,'Cash Flow Statement'!DP$2&lt;=Summary!$O28),IF((DP$2-Summary!$N28)&lt;12,Summary!$P28,IF(MOD(DP$2,12)=MOD(Summary!$N28,12),(Summary!$P28*((1+Summary!$K$20)^((DP$2-12-MOD(Summary!$N28,12))/12))),HLOOKUP(DO$3,$E$3:$DV32,28,FALSE))))</f>
        <v>522.54265857239159</v>
      </c>
      <c r="DQ30" s="46">
        <f>IF(AND(Summary!$N28&lt;='Cash Flow Statement'!DQ$2,'Cash Flow Statement'!DQ$2&lt;=Summary!$O28),IF((DQ$2-Summary!$N28)&lt;12,Summary!$P28,IF(MOD(DQ$2,12)=MOD(Summary!$N28,12),(Summary!$P28*((1+Summary!$K$20)^((DQ$2-12-MOD(Summary!$N28,12))/12))),HLOOKUP(DP$3,$E$3:$DV32,28,FALSE))))</f>
        <v>522.54265857239159</v>
      </c>
      <c r="DR30" s="46">
        <f>IF(AND(Summary!$N28&lt;='Cash Flow Statement'!DR$2,'Cash Flow Statement'!DR$2&lt;=Summary!$O28),IF((DR$2-Summary!$N28)&lt;12,Summary!$P28,IF(MOD(DR$2,12)=MOD(Summary!$N28,12),(Summary!$P28*((1+Summary!$K$20)^((DR$2-12-MOD(Summary!$N28,12))/12))),HLOOKUP(DQ$3,$E$3:$DV32,28,FALSE))))</f>
        <v>522.54265857239159</v>
      </c>
      <c r="DS30" s="46">
        <f>IF(AND(Summary!$N28&lt;='Cash Flow Statement'!DS$2,'Cash Flow Statement'!DS$2&lt;=Summary!$O28),IF((DS$2-Summary!$N28)&lt;12,Summary!$P28,IF(MOD(DS$2,12)=MOD(Summary!$N28,12),(Summary!$P28*((1+Summary!$K$20)^((DS$2-12-MOD(Summary!$N28,12))/12))),HLOOKUP(DR$3,$E$3:$DV32,28,FALSE))))</f>
        <v>522.54265857239159</v>
      </c>
      <c r="DT30" s="46">
        <f>IF(AND(Summary!$N28&lt;='Cash Flow Statement'!DT$2,'Cash Flow Statement'!DT$2&lt;=Summary!$O28),IF((DT$2-Summary!$N28)&lt;12,Summary!$P28,IF(MOD(DT$2,12)=MOD(Summary!$N28,12),(Summary!$P28*((1+Summary!$K$20)^((DT$2-12-MOD(Summary!$N28,12))/12))),HLOOKUP(DS$3,$E$3:$DV32,28,FALSE))))</f>
        <v>522.54265857239159</v>
      </c>
      <c r="DU30" s="46">
        <f>IF(AND(Summary!$N28&lt;='Cash Flow Statement'!DU$2,'Cash Flow Statement'!DU$2&lt;=Summary!$O28),IF((DU$2-Summary!$N28)&lt;12,Summary!$P28,IF(MOD(DU$2,12)=MOD(Summary!$N28,12),(Summary!$P28*((1+Summary!$K$20)^((DU$2-12-MOD(Summary!$N28,12))/12))),HLOOKUP(DT$3,$E$3:$DV32,28,FALSE))))</f>
        <v>538.21893832956334</v>
      </c>
      <c r="DV30" s="135"/>
    </row>
    <row r="31" spans="1:126" x14ac:dyDescent="0.2">
      <c r="A31" s="88"/>
      <c r="B31" s="81" t="str">
        <f>Summary!J29</f>
        <v>Insurance</v>
      </c>
      <c r="C31" s="44"/>
      <c r="D31" s="132">
        <f t="shared" si="17"/>
        <v>50055.706478182932</v>
      </c>
      <c r="E31" s="134" t="b">
        <f>IF(AND(Summary!$N29&lt;='Cash Flow Statement'!E$2,'Cash Flow Statement'!E$2&lt;=Summary!$O29),IF((E$2-Summary!$N29)&lt;12,Summary!$P29,IF(MOD(E$2,12)=MOD(Summary!$N29,12),(Summary!$P29*((1+Summary!$K$20)^((E$2-12-MOD(Summary!$N29,12))/12))),HLOOKUP(D$3,$E$3:$DV32,29,FALSE))))</f>
        <v>0</v>
      </c>
      <c r="F31" s="46" t="b">
        <f>IF(AND(Summary!$N29&lt;='Cash Flow Statement'!F$2,'Cash Flow Statement'!F$2&lt;=Summary!$O29),IF((F$2-Summary!$N29)&lt;12,Summary!$P29,IF(MOD(F$2,12)=MOD(Summary!$N29,12),(Summary!$P29*((1+Summary!$K$20)^((F$2-12-MOD(Summary!$N29,12))/12))),HLOOKUP(E$3,$E$3:$DV32,29,FALSE))))</f>
        <v>0</v>
      </c>
      <c r="G31" s="46" t="b">
        <f>IF(AND(Summary!$N29&lt;='Cash Flow Statement'!G$2,'Cash Flow Statement'!G$2&lt;=Summary!$O29),IF((G$2-Summary!$N29)&lt;12,Summary!$P29,IF(MOD(G$2,12)=MOD(Summary!$N29,12),(Summary!$P29*((1+Summary!$K$20)^((G$2-12-MOD(Summary!$N29,12))/12))),HLOOKUP(F$3,$E$3:$DV32,29,FALSE))))</f>
        <v>0</v>
      </c>
      <c r="H31" s="46" t="b">
        <f>IF(AND(Summary!$N29&lt;='Cash Flow Statement'!H$2,'Cash Flow Statement'!H$2&lt;=Summary!$O29),IF((H$2-Summary!$N29)&lt;12,Summary!$P29,IF(MOD(H$2,12)=MOD(Summary!$N29,12),(Summary!$P29*((1+Summary!$K$20)^((H$2-12-MOD(Summary!$N29,12))/12))),HLOOKUP(G$3,$E$3:$DV32,29,FALSE))))</f>
        <v>0</v>
      </c>
      <c r="I31" s="46" t="b">
        <f>IF(AND(Summary!$N29&lt;='Cash Flow Statement'!I$2,'Cash Flow Statement'!I$2&lt;=Summary!$O29),IF((I$2-Summary!$N29)&lt;12,Summary!$P29,IF(MOD(I$2,12)=MOD(Summary!$N29,12),(Summary!$P29*((1+Summary!$K$20)^((I$2-12-MOD(Summary!$N29,12))/12))),HLOOKUP(H$3,$E$3:$DV32,29,FALSE))))</f>
        <v>0</v>
      </c>
      <c r="J31" s="46" t="b">
        <f>IF(AND(Summary!$N29&lt;='Cash Flow Statement'!J$2,'Cash Flow Statement'!J$2&lt;=Summary!$O29),IF((J$2-Summary!$N29)&lt;12,Summary!$P29,IF(MOD(J$2,12)=MOD(Summary!$N29,12),(Summary!$P29*((1+Summary!$K$20)^((J$2-12-MOD(Summary!$N29,12))/12))),HLOOKUP(I$3,$E$3:$DV32,29,FALSE))))</f>
        <v>0</v>
      </c>
      <c r="K31" s="46" t="b">
        <f>IF(AND(Summary!$N29&lt;='Cash Flow Statement'!K$2,'Cash Flow Statement'!K$2&lt;=Summary!$O29),IF((K$2-Summary!$N29)&lt;12,Summary!$P29,IF(MOD(K$2,12)=MOD(Summary!$N29,12),(Summary!$P29*((1+Summary!$K$20)^((K$2-12-MOD(Summary!$N29,12))/12))),HLOOKUP(J$3,$E$3:$DV32,29,FALSE))))</f>
        <v>0</v>
      </c>
      <c r="L31" s="46" t="b">
        <f>IF(AND(Summary!$N29&lt;='Cash Flow Statement'!L$2,'Cash Flow Statement'!L$2&lt;=Summary!$O29),IF((L$2-Summary!$N29)&lt;12,Summary!$P29,IF(MOD(L$2,12)=MOD(Summary!$N29,12),(Summary!$P29*((1+Summary!$K$20)^((L$2-12-MOD(Summary!$N29,12))/12))),HLOOKUP(K$3,$E$3:$DV32,29,FALSE))))</f>
        <v>0</v>
      </c>
      <c r="M31" s="46" t="b">
        <f>IF(AND(Summary!$N29&lt;='Cash Flow Statement'!M$2,'Cash Flow Statement'!M$2&lt;=Summary!$O29),IF((M$2-Summary!$N29)&lt;12,Summary!$P29,IF(MOD(M$2,12)=MOD(Summary!$N29,12),(Summary!$P29*((1+Summary!$K$20)^((M$2-12-MOD(Summary!$N29,12))/12))),HLOOKUP(L$3,$E$3:$DV32,29,FALSE))))</f>
        <v>0</v>
      </c>
      <c r="N31" s="46" t="b">
        <f>IF(AND(Summary!$N29&lt;='Cash Flow Statement'!N$2,'Cash Flow Statement'!N$2&lt;=Summary!$O29),IF((N$2-Summary!$N29)&lt;12,Summary!$P29,IF(MOD(N$2,12)=MOD(Summary!$N29,12),(Summary!$P29*((1+Summary!$K$20)^((N$2-12-MOD(Summary!$N29,12))/12))),HLOOKUP(M$3,$E$3:$DV32,29,FALSE))))</f>
        <v>0</v>
      </c>
      <c r="O31" s="46" t="b">
        <f>IF(AND(Summary!$N29&lt;='Cash Flow Statement'!O$2,'Cash Flow Statement'!O$2&lt;=Summary!$O29),IF((O$2-Summary!$N29)&lt;12,Summary!$P29,IF(MOD(O$2,12)=MOD(Summary!$N29,12),(Summary!$P29*((1+Summary!$K$20)^((O$2-12-MOD(Summary!$N29,12))/12))),HLOOKUP(N$3,$E$3:$DV32,29,FALSE))))</f>
        <v>0</v>
      </c>
      <c r="P31" s="46" t="b">
        <f>IF(AND(Summary!$N29&lt;='Cash Flow Statement'!P$2,'Cash Flow Statement'!P$2&lt;=Summary!$O29),IF((P$2-Summary!$N29)&lt;12,Summary!$P29,IF(MOD(P$2,12)=MOD(Summary!$N29,12),(Summary!$P29*((1+Summary!$K$20)^((P$2-12-MOD(Summary!$N29,12))/12))),HLOOKUP(O$3,$E$3:$DV32,29,FALSE))))</f>
        <v>0</v>
      </c>
      <c r="Q31" s="46">
        <f>IF(AND(Summary!$N29&lt;='Cash Flow Statement'!Q$2,'Cash Flow Statement'!Q$2&lt;=Summary!$O29),IF((Q$2-Summary!$N29)&lt;12,Summary!$P29,IF(MOD(Q$2,12)=MOD(Summary!$N29,12),(Summary!$P29*((1+Summary!$K$20)^((Q$2-12-MOD(Summary!$N29,12))/12))),HLOOKUP(P$3,$E$3:$DV32,29,FALSE))))</f>
        <v>406.25</v>
      </c>
      <c r="R31" s="46">
        <f>IF(AND(Summary!$N29&lt;='Cash Flow Statement'!R$2,'Cash Flow Statement'!R$2&lt;=Summary!$O29),IF((R$2-Summary!$N29)&lt;12,Summary!$P29,IF(MOD(R$2,12)=MOD(Summary!$N29,12),(Summary!$P29*((1+Summary!$K$20)^((R$2-12-MOD(Summary!$N29,12))/12))),HLOOKUP(Q$3,$E$3:$DV32,29,FALSE))))</f>
        <v>406.25</v>
      </c>
      <c r="S31" s="46">
        <f>IF(AND(Summary!$N29&lt;='Cash Flow Statement'!S$2,'Cash Flow Statement'!S$2&lt;=Summary!$O29),IF((S$2-Summary!$N29)&lt;12,Summary!$P29,IF(MOD(S$2,12)=MOD(Summary!$N29,12),(Summary!$P29*((1+Summary!$K$20)^((S$2-12-MOD(Summary!$N29,12))/12))),HLOOKUP(R$3,$E$3:$DV32,29,FALSE))))</f>
        <v>406.25</v>
      </c>
      <c r="T31" s="46">
        <f>IF(AND(Summary!$N29&lt;='Cash Flow Statement'!T$2,'Cash Flow Statement'!T$2&lt;=Summary!$O29),IF((T$2-Summary!$N29)&lt;12,Summary!$P29,IF(MOD(T$2,12)=MOD(Summary!$N29,12),(Summary!$P29*((1+Summary!$K$20)^((T$2-12-MOD(Summary!$N29,12))/12))),HLOOKUP(S$3,$E$3:$DV32,29,FALSE))))</f>
        <v>406.25</v>
      </c>
      <c r="U31" s="46">
        <f>IF(AND(Summary!$N29&lt;='Cash Flow Statement'!U$2,'Cash Flow Statement'!U$2&lt;=Summary!$O29),IF((U$2-Summary!$N29)&lt;12,Summary!$P29,IF(MOD(U$2,12)=MOD(Summary!$N29,12),(Summary!$P29*((1+Summary!$K$20)^((U$2-12-MOD(Summary!$N29,12))/12))),HLOOKUP(T$3,$E$3:$DV32,29,FALSE))))</f>
        <v>406.25</v>
      </c>
      <c r="V31" s="46">
        <f>IF(AND(Summary!$N29&lt;='Cash Flow Statement'!V$2,'Cash Flow Statement'!V$2&lt;=Summary!$O29),IF((V$2-Summary!$N29)&lt;12,Summary!$P29,IF(MOD(V$2,12)=MOD(Summary!$N29,12),(Summary!$P29*((1+Summary!$K$20)^((V$2-12-MOD(Summary!$N29,12))/12))),HLOOKUP(U$3,$E$3:$DV32,29,FALSE))))</f>
        <v>406.25</v>
      </c>
      <c r="W31" s="46">
        <f>IF(AND(Summary!$N29&lt;='Cash Flow Statement'!W$2,'Cash Flow Statement'!W$2&lt;=Summary!$O29),IF((W$2-Summary!$N29)&lt;12,Summary!$P29,IF(MOD(W$2,12)=MOD(Summary!$N29,12),(Summary!$P29*((1+Summary!$K$20)^((W$2-12-MOD(Summary!$N29,12))/12))),HLOOKUP(V$3,$E$3:$DV32,29,FALSE))))</f>
        <v>406.25</v>
      </c>
      <c r="X31" s="46">
        <f>IF(AND(Summary!$N29&lt;='Cash Flow Statement'!X$2,'Cash Flow Statement'!X$2&lt;=Summary!$O29),IF((X$2-Summary!$N29)&lt;12,Summary!$P29,IF(MOD(X$2,12)=MOD(Summary!$N29,12),(Summary!$P29*((1+Summary!$K$20)^((X$2-12-MOD(Summary!$N29,12))/12))),HLOOKUP(W$3,$E$3:$DV32,29,FALSE))))</f>
        <v>406.25</v>
      </c>
      <c r="Y31" s="46">
        <f>IF(AND(Summary!$N29&lt;='Cash Flow Statement'!Y$2,'Cash Flow Statement'!Y$2&lt;=Summary!$O29),IF((Y$2-Summary!$N29)&lt;12,Summary!$P29,IF(MOD(Y$2,12)=MOD(Summary!$N29,12),(Summary!$P29*((1+Summary!$K$20)^((Y$2-12-MOD(Summary!$N29,12))/12))),HLOOKUP(X$3,$E$3:$DV32,29,FALSE))))</f>
        <v>406.25</v>
      </c>
      <c r="Z31" s="46">
        <f>IF(AND(Summary!$N29&lt;='Cash Flow Statement'!Z$2,'Cash Flow Statement'!Z$2&lt;=Summary!$O29),IF((Z$2-Summary!$N29)&lt;12,Summary!$P29,IF(MOD(Z$2,12)=MOD(Summary!$N29,12),(Summary!$P29*((1+Summary!$K$20)^((Z$2-12-MOD(Summary!$N29,12))/12))),HLOOKUP(Y$3,$E$3:$DV32,29,FALSE))))</f>
        <v>406.25</v>
      </c>
      <c r="AA31" s="46">
        <f>IF(AND(Summary!$N29&lt;='Cash Flow Statement'!AA$2,'Cash Flow Statement'!AA$2&lt;=Summary!$O29),IF((AA$2-Summary!$N29)&lt;12,Summary!$P29,IF(MOD(AA$2,12)=MOD(Summary!$N29,12),(Summary!$P29*((1+Summary!$K$20)^((AA$2-12-MOD(Summary!$N29,12))/12))),HLOOKUP(Z$3,$E$3:$DV32,29,FALSE))))</f>
        <v>406.25</v>
      </c>
      <c r="AB31" s="46">
        <f>IF(AND(Summary!$N29&lt;='Cash Flow Statement'!AB$2,'Cash Flow Statement'!AB$2&lt;=Summary!$O29),IF((AB$2-Summary!$N29)&lt;12,Summary!$P29,IF(MOD(AB$2,12)=MOD(Summary!$N29,12),(Summary!$P29*((1+Summary!$K$20)^((AB$2-12-MOD(Summary!$N29,12))/12))),HLOOKUP(AA$3,$E$3:$DV32,29,FALSE))))</f>
        <v>406.25</v>
      </c>
      <c r="AC31" s="46">
        <f>IF(AND(Summary!$N29&lt;='Cash Flow Statement'!AC$2,'Cash Flow Statement'!AC$2&lt;=Summary!$O29),IF((AC$2-Summary!$N29)&lt;12,Summary!$P29,IF(MOD(AC$2,12)=MOD(Summary!$N29,12),(Summary!$P29*((1+Summary!$K$20)^((AC$2-12-MOD(Summary!$N29,12))/12))),HLOOKUP(AB$3,$E$3:$DV32,29,FALSE))))</f>
        <v>418.4375</v>
      </c>
      <c r="AD31" s="46">
        <f>IF(AND(Summary!$N29&lt;='Cash Flow Statement'!AD$2,'Cash Flow Statement'!AD$2&lt;=Summary!$O29),IF((AD$2-Summary!$N29)&lt;12,Summary!$P29,IF(MOD(AD$2,12)=MOD(Summary!$N29,12),(Summary!$P29*((1+Summary!$K$20)^((AD$2-12-MOD(Summary!$N29,12))/12))),HLOOKUP(AC$3,$E$3:$DV32,29,FALSE))))</f>
        <v>418.4375</v>
      </c>
      <c r="AE31" s="46">
        <f>IF(AND(Summary!$N29&lt;='Cash Flow Statement'!AE$2,'Cash Flow Statement'!AE$2&lt;=Summary!$O29),IF((AE$2-Summary!$N29)&lt;12,Summary!$P29,IF(MOD(AE$2,12)=MOD(Summary!$N29,12),(Summary!$P29*((1+Summary!$K$20)^((AE$2-12-MOD(Summary!$N29,12))/12))),HLOOKUP(AD$3,$E$3:$DV32,29,FALSE))))</f>
        <v>418.4375</v>
      </c>
      <c r="AF31" s="46">
        <f>IF(AND(Summary!$N29&lt;='Cash Flow Statement'!AF$2,'Cash Flow Statement'!AF$2&lt;=Summary!$O29),IF((AF$2-Summary!$N29)&lt;12,Summary!$P29,IF(MOD(AF$2,12)=MOD(Summary!$N29,12),(Summary!$P29*((1+Summary!$K$20)^((AF$2-12-MOD(Summary!$N29,12))/12))),HLOOKUP(AE$3,$E$3:$DV32,29,FALSE))))</f>
        <v>418.4375</v>
      </c>
      <c r="AG31" s="46">
        <f>IF(AND(Summary!$N29&lt;='Cash Flow Statement'!AG$2,'Cash Flow Statement'!AG$2&lt;=Summary!$O29),IF((AG$2-Summary!$N29)&lt;12,Summary!$P29,IF(MOD(AG$2,12)=MOD(Summary!$N29,12),(Summary!$P29*((1+Summary!$K$20)^((AG$2-12-MOD(Summary!$N29,12))/12))),HLOOKUP(AF$3,$E$3:$DV32,29,FALSE))))</f>
        <v>418.4375</v>
      </c>
      <c r="AH31" s="46">
        <f>IF(AND(Summary!$N29&lt;='Cash Flow Statement'!AH$2,'Cash Flow Statement'!AH$2&lt;=Summary!$O29),IF((AH$2-Summary!$N29)&lt;12,Summary!$P29,IF(MOD(AH$2,12)=MOD(Summary!$N29,12),(Summary!$P29*((1+Summary!$K$20)^((AH$2-12-MOD(Summary!$N29,12))/12))),HLOOKUP(AG$3,$E$3:$DV32,29,FALSE))))</f>
        <v>418.4375</v>
      </c>
      <c r="AI31" s="46">
        <f>IF(AND(Summary!$N29&lt;='Cash Flow Statement'!AI$2,'Cash Flow Statement'!AI$2&lt;=Summary!$O29),IF((AI$2-Summary!$N29)&lt;12,Summary!$P29,IF(MOD(AI$2,12)=MOD(Summary!$N29,12),(Summary!$P29*((1+Summary!$K$20)^((AI$2-12-MOD(Summary!$N29,12))/12))),HLOOKUP(AH$3,$E$3:$DV32,29,FALSE))))</f>
        <v>418.4375</v>
      </c>
      <c r="AJ31" s="46">
        <f>IF(AND(Summary!$N29&lt;='Cash Flow Statement'!AJ$2,'Cash Flow Statement'!AJ$2&lt;=Summary!$O29),IF((AJ$2-Summary!$N29)&lt;12,Summary!$P29,IF(MOD(AJ$2,12)=MOD(Summary!$N29,12),(Summary!$P29*((1+Summary!$K$20)^((AJ$2-12-MOD(Summary!$N29,12))/12))),HLOOKUP(AI$3,$E$3:$DV32,29,FALSE))))</f>
        <v>418.4375</v>
      </c>
      <c r="AK31" s="46">
        <f>IF(AND(Summary!$N29&lt;='Cash Flow Statement'!AK$2,'Cash Flow Statement'!AK$2&lt;=Summary!$O29),IF((AK$2-Summary!$N29)&lt;12,Summary!$P29,IF(MOD(AK$2,12)=MOD(Summary!$N29,12),(Summary!$P29*((1+Summary!$K$20)^((AK$2-12-MOD(Summary!$N29,12))/12))),HLOOKUP(AJ$3,$E$3:$DV32,29,FALSE))))</f>
        <v>418.4375</v>
      </c>
      <c r="AL31" s="46">
        <f>IF(AND(Summary!$N29&lt;='Cash Flow Statement'!AL$2,'Cash Flow Statement'!AL$2&lt;=Summary!$O29),IF((AL$2-Summary!$N29)&lt;12,Summary!$P29,IF(MOD(AL$2,12)=MOD(Summary!$N29,12),(Summary!$P29*((1+Summary!$K$20)^((AL$2-12-MOD(Summary!$N29,12))/12))),HLOOKUP(AK$3,$E$3:$DV32,29,FALSE))))</f>
        <v>418.4375</v>
      </c>
      <c r="AM31" s="46">
        <f>IF(AND(Summary!$N29&lt;='Cash Flow Statement'!AM$2,'Cash Flow Statement'!AM$2&lt;=Summary!$O29),IF((AM$2-Summary!$N29)&lt;12,Summary!$P29,IF(MOD(AM$2,12)=MOD(Summary!$N29,12),(Summary!$P29*((1+Summary!$K$20)^((AM$2-12-MOD(Summary!$N29,12))/12))),HLOOKUP(AL$3,$E$3:$DV32,29,FALSE))))</f>
        <v>418.4375</v>
      </c>
      <c r="AN31" s="46">
        <f>IF(AND(Summary!$N29&lt;='Cash Flow Statement'!AN$2,'Cash Flow Statement'!AN$2&lt;=Summary!$O29),IF((AN$2-Summary!$N29)&lt;12,Summary!$P29,IF(MOD(AN$2,12)=MOD(Summary!$N29,12),(Summary!$P29*((1+Summary!$K$20)^((AN$2-12-MOD(Summary!$N29,12))/12))),HLOOKUP(AM$3,$E$3:$DV32,29,FALSE))))</f>
        <v>418.4375</v>
      </c>
      <c r="AO31" s="46">
        <f>IF(AND(Summary!$N29&lt;='Cash Flow Statement'!AO$2,'Cash Flow Statement'!AO$2&lt;=Summary!$O29),IF((AO$2-Summary!$N29)&lt;12,Summary!$P29,IF(MOD(AO$2,12)=MOD(Summary!$N29,12),(Summary!$P29*((1+Summary!$K$20)^((AO$2-12-MOD(Summary!$N29,12))/12))),HLOOKUP(AN$3,$E$3:$DV32,29,FALSE))))</f>
        <v>430.99062499999997</v>
      </c>
      <c r="AP31" s="46">
        <f>IF(AND(Summary!$N29&lt;='Cash Flow Statement'!AP$2,'Cash Flow Statement'!AP$2&lt;=Summary!$O29),IF((AP$2-Summary!$N29)&lt;12,Summary!$P29,IF(MOD(AP$2,12)=MOD(Summary!$N29,12),(Summary!$P29*((1+Summary!$K$20)^((AP$2-12-MOD(Summary!$N29,12))/12))),HLOOKUP(AO$3,$E$3:$DV32,29,FALSE))))</f>
        <v>430.99062499999997</v>
      </c>
      <c r="AQ31" s="46">
        <f>IF(AND(Summary!$N29&lt;='Cash Flow Statement'!AQ$2,'Cash Flow Statement'!AQ$2&lt;=Summary!$O29),IF((AQ$2-Summary!$N29)&lt;12,Summary!$P29,IF(MOD(AQ$2,12)=MOD(Summary!$N29,12),(Summary!$P29*((1+Summary!$K$20)^((AQ$2-12-MOD(Summary!$N29,12))/12))),HLOOKUP(AP$3,$E$3:$DV32,29,FALSE))))</f>
        <v>430.99062499999997</v>
      </c>
      <c r="AR31" s="46">
        <f>IF(AND(Summary!$N29&lt;='Cash Flow Statement'!AR$2,'Cash Flow Statement'!AR$2&lt;=Summary!$O29),IF((AR$2-Summary!$N29)&lt;12,Summary!$P29,IF(MOD(AR$2,12)=MOD(Summary!$N29,12),(Summary!$P29*((1+Summary!$K$20)^((AR$2-12-MOD(Summary!$N29,12))/12))),HLOOKUP(AQ$3,$E$3:$DV32,29,FALSE))))</f>
        <v>430.99062499999997</v>
      </c>
      <c r="AS31" s="46">
        <f>IF(AND(Summary!$N29&lt;='Cash Flow Statement'!AS$2,'Cash Flow Statement'!AS$2&lt;=Summary!$O29),IF((AS$2-Summary!$N29)&lt;12,Summary!$P29,IF(MOD(AS$2,12)=MOD(Summary!$N29,12),(Summary!$P29*((1+Summary!$K$20)^((AS$2-12-MOD(Summary!$N29,12))/12))),HLOOKUP(AR$3,$E$3:$DV32,29,FALSE))))</f>
        <v>430.99062499999997</v>
      </c>
      <c r="AT31" s="46">
        <f>IF(AND(Summary!$N29&lt;='Cash Flow Statement'!AT$2,'Cash Flow Statement'!AT$2&lt;=Summary!$O29),IF((AT$2-Summary!$N29)&lt;12,Summary!$P29,IF(MOD(AT$2,12)=MOD(Summary!$N29,12),(Summary!$P29*((1+Summary!$K$20)^((AT$2-12-MOD(Summary!$N29,12))/12))),HLOOKUP(AS$3,$E$3:$DV32,29,FALSE))))</f>
        <v>430.99062499999997</v>
      </c>
      <c r="AU31" s="46">
        <f>IF(AND(Summary!$N29&lt;='Cash Flow Statement'!AU$2,'Cash Flow Statement'!AU$2&lt;=Summary!$O29),IF((AU$2-Summary!$N29)&lt;12,Summary!$P29,IF(MOD(AU$2,12)=MOD(Summary!$N29,12),(Summary!$P29*((1+Summary!$K$20)^((AU$2-12-MOD(Summary!$N29,12))/12))),HLOOKUP(AT$3,$E$3:$DV32,29,FALSE))))</f>
        <v>430.99062499999997</v>
      </c>
      <c r="AV31" s="46">
        <f>IF(AND(Summary!$N29&lt;='Cash Flow Statement'!AV$2,'Cash Flow Statement'!AV$2&lt;=Summary!$O29),IF((AV$2-Summary!$N29)&lt;12,Summary!$P29,IF(MOD(AV$2,12)=MOD(Summary!$N29,12),(Summary!$P29*((1+Summary!$K$20)^((AV$2-12-MOD(Summary!$N29,12))/12))),HLOOKUP(AU$3,$E$3:$DV32,29,FALSE))))</f>
        <v>430.99062499999997</v>
      </c>
      <c r="AW31" s="46">
        <f>IF(AND(Summary!$N29&lt;='Cash Flow Statement'!AW$2,'Cash Flow Statement'!AW$2&lt;=Summary!$O29),IF((AW$2-Summary!$N29)&lt;12,Summary!$P29,IF(MOD(AW$2,12)=MOD(Summary!$N29,12),(Summary!$P29*((1+Summary!$K$20)^((AW$2-12-MOD(Summary!$N29,12))/12))),HLOOKUP(AV$3,$E$3:$DV32,29,FALSE))))</f>
        <v>430.99062499999997</v>
      </c>
      <c r="AX31" s="46">
        <f>IF(AND(Summary!$N29&lt;='Cash Flow Statement'!AX$2,'Cash Flow Statement'!AX$2&lt;=Summary!$O29),IF((AX$2-Summary!$N29)&lt;12,Summary!$P29,IF(MOD(AX$2,12)=MOD(Summary!$N29,12),(Summary!$P29*((1+Summary!$K$20)^((AX$2-12-MOD(Summary!$N29,12))/12))),HLOOKUP(AW$3,$E$3:$DV32,29,FALSE))))</f>
        <v>430.99062499999997</v>
      </c>
      <c r="AY31" s="46">
        <f>IF(AND(Summary!$N29&lt;='Cash Flow Statement'!AY$2,'Cash Flow Statement'!AY$2&lt;=Summary!$O29),IF((AY$2-Summary!$N29)&lt;12,Summary!$P29,IF(MOD(AY$2,12)=MOD(Summary!$N29,12),(Summary!$P29*((1+Summary!$K$20)^((AY$2-12-MOD(Summary!$N29,12))/12))),HLOOKUP(AX$3,$E$3:$DV32,29,FALSE))))</f>
        <v>430.99062499999997</v>
      </c>
      <c r="AZ31" s="46">
        <f>IF(AND(Summary!$N29&lt;='Cash Flow Statement'!AZ$2,'Cash Flow Statement'!AZ$2&lt;=Summary!$O29),IF((AZ$2-Summary!$N29)&lt;12,Summary!$P29,IF(MOD(AZ$2,12)=MOD(Summary!$N29,12),(Summary!$P29*((1+Summary!$K$20)^((AZ$2-12-MOD(Summary!$N29,12))/12))),HLOOKUP(AY$3,$E$3:$DV32,29,FALSE))))</f>
        <v>430.99062499999997</v>
      </c>
      <c r="BA31" s="46">
        <f>IF(AND(Summary!$N29&lt;='Cash Flow Statement'!BA$2,'Cash Flow Statement'!BA$2&lt;=Summary!$O29),IF((BA$2-Summary!$N29)&lt;12,Summary!$P29,IF(MOD(BA$2,12)=MOD(Summary!$N29,12),(Summary!$P29*((1+Summary!$K$20)^((BA$2-12-MOD(Summary!$N29,12))/12))),HLOOKUP(AZ$3,$E$3:$DV32,29,FALSE))))</f>
        <v>443.92034375000003</v>
      </c>
      <c r="BB31" s="46">
        <f>IF(AND(Summary!$N29&lt;='Cash Flow Statement'!BB$2,'Cash Flow Statement'!BB$2&lt;=Summary!$O29),IF((BB$2-Summary!$N29)&lt;12,Summary!$P29,IF(MOD(BB$2,12)=MOD(Summary!$N29,12),(Summary!$P29*((1+Summary!$K$20)^((BB$2-12-MOD(Summary!$N29,12))/12))),HLOOKUP(BA$3,$E$3:$DV32,29,FALSE))))</f>
        <v>443.92034375000003</v>
      </c>
      <c r="BC31" s="46">
        <f>IF(AND(Summary!$N29&lt;='Cash Flow Statement'!BC$2,'Cash Flow Statement'!BC$2&lt;=Summary!$O29),IF((BC$2-Summary!$N29)&lt;12,Summary!$P29,IF(MOD(BC$2,12)=MOD(Summary!$N29,12),(Summary!$P29*((1+Summary!$K$20)^((BC$2-12-MOD(Summary!$N29,12))/12))),HLOOKUP(BB$3,$E$3:$DV32,29,FALSE))))</f>
        <v>443.92034375000003</v>
      </c>
      <c r="BD31" s="46">
        <f>IF(AND(Summary!$N29&lt;='Cash Flow Statement'!BD$2,'Cash Flow Statement'!BD$2&lt;=Summary!$O29),IF((BD$2-Summary!$N29)&lt;12,Summary!$P29,IF(MOD(BD$2,12)=MOD(Summary!$N29,12),(Summary!$P29*((1+Summary!$K$20)^((BD$2-12-MOD(Summary!$N29,12))/12))),HLOOKUP(BC$3,$E$3:$DV32,29,FALSE))))</f>
        <v>443.92034375000003</v>
      </c>
      <c r="BE31" s="46">
        <f>IF(AND(Summary!$N29&lt;='Cash Flow Statement'!BE$2,'Cash Flow Statement'!BE$2&lt;=Summary!$O29),IF((BE$2-Summary!$N29)&lt;12,Summary!$P29,IF(MOD(BE$2,12)=MOD(Summary!$N29,12),(Summary!$P29*((1+Summary!$K$20)^((BE$2-12-MOD(Summary!$N29,12))/12))),HLOOKUP(BD$3,$E$3:$DV32,29,FALSE))))</f>
        <v>443.92034375000003</v>
      </c>
      <c r="BF31" s="46">
        <f>IF(AND(Summary!$N29&lt;='Cash Flow Statement'!BF$2,'Cash Flow Statement'!BF$2&lt;=Summary!$O29),IF((BF$2-Summary!$N29)&lt;12,Summary!$P29,IF(MOD(BF$2,12)=MOD(Summary!$N29,12),(Summary!$P29*((1+Summary!$K$20)^((BF$2-12-MOD(Summary!$N29,12))/12))),HLOOKUP(BE$3,$E$3:$DV32,29,FALSE))))</f>
        <v>443.92034375000003</v>
      </c>
      <c r="BG31" s="46">
        <f>IF(AND(Summary!$N29&lt;='Cash Flow Statement'!BG$2,'Cash Flow Statement'!BG$2&lt;=Summary!$O29),IF((BG$2-Summary!$N29)&lt;12,Summary!$P29,IF(MOD(BG$2,12)=MOD(Summary!$N29,12),(Summary!$P29*((1+Summary!$K$20)^((BG$2-12-MOD(Summary!$N29,12))/12))),HLOOKUP(BF$3,$E$3:$DV32,29,FALSE))))</f>
        <v>443.92034375000003</v>
      </c>
      <c r="BH31" s="46">
        <f>IF(AND(Summary!$N29&lt;='Cash Flow Statement'!BH$2,'Cash Flow Statement'!BH$2&lt;=Summary!$O29),IF((BH$2-Summary!$N29)&lt;12,Summary!$P29,IF(MOD(BH$2,12)=MOD(Summary!$N29,12),(Summary!$P29*((1+Summary!$K$20)^((BH$2-12-MOD(Summary!$N29,12))/12))),HLOOKUP(BG$3,$E$3:$DV32,29,FALSE))))</f>
        <v>443.92034375000003</v>
      </c>
      <c r="BI31" s="46">
        <f>IF(AND(Summary!$N29&lt;='Cash Flow Statement'!BI$2,'Cash Flow Statement'!BI$2&lt;=Summary!$O29),IF((BI$2-Summary!$N29)&lt;12,Summary!$P29,IF(MOD(BI$2,12)=MOD(Summary!$N29,12),(Summary!$P29*((1+Summary!$K$20)^((BI$2-12-MOD(Summary!$N29,12))/12))),HLOOKUP(BH$3,$E$3:$DV32,29,FALSE))))</f>
        <v>443.92034375000003</v>
      </c>
      <c r="BJ31" s="46">
        <f>IF(AND(Summary!$N29&lt;='Cash Flow Statement'!BJ$2,'Cash Flow Statement'!BJ$2&lt;=Summary!$O29),IF((BJ$2-Summary!$N29)&lt;12,Summary!$P29,IF(MOD(BJ$2,12)=MOD(Summary!$N29,12),(Summary!$P29*((1+Summary!$K$20)^((BJ$2-12-MOD(Summary!$N29,12))/12))),HLOOKUP(BI$3,$E$3:$DV32,29,FALSE))))</f>
        <v>443.92034375000003</v>
      </c>
      <c r="BK31" s="46">
        <f>IF(AND(Summary!$N29&lt;='Cash Flow Statement'!BK$2,'Cash Flow Statement'!BK$2&lt;=Summary!$O29),IF((BK$2-Summary!$N29)&lt;12,Summary!$P29,IF(MOD(BK$2,12)=MOD(Summary!$N29,12),(Summary!$P29*((1+Summary!$K$20)^((BK$2-12-MOD(Summary!$N29,12))/12))),HLOOKUP(BJ$3,$E$3:$DV32,29,FALSE))))</f>
        <v>443.92034375000003</v>
      </c>
      <c r="BL31" s="46">
        <f>IF(AND(Summary!$N29&lt;='Cash Flow Statement'!BL$2,'Cash Flow Statement'!BL$2&lt;=Summary!$O29),IF((BL$2-Summary!$N29)&lt;12,Summary!$P29,IF(MOD(BL$2,12)=MOD(Summary!$N29,12),(Summary!$P29*((1+Summary!$K$20)^((BL$2-12-MOD(Summary!$N29,12))/12))),HLOOKUP(BK$3,$E$3:$DV32,29,FALSE))))</f>
        <v>443.92034375000003</v>
      </c>
      <c r="BM31" s="46">
        <f>IF(AND(Summary!$N29&lt;='Cash Flow Statement'!BM$2,'Cash Flow Statement'!BM$2&lt;=Summary!$O29),IF((BM$2-Summary!$N29)&lt;12,Summary!$P29,IF(MOD(BM$2,12)=MOD(Summary!$N29,12),(Summary!$P29*((1+Summary!$K$20)^((BM$2-12-MOD(Summary!$N29,12))/12))),HLOOKUP(BL$3,$E$3:$DV32,29,FALSE))))</f>
        <v>457.23795406249997</v>
      </c>
      <c r="BN31" s="46">
        <f>IF(AND(Summary!$N29&lt;='Cash Flow Statement'!BN$2,'Cash Flow Statement'!BN$2&lt;=Summary!$O29),IF((BN$2-Summary!$N29)&lt;12,Summary!$P29,IF(MOD(BN$2,12)=MOD(Summary!$N29,12),(Summary!$P29*((1+Summary!$K$20)^((BN$2-12-MOD(Summary!$N29,12))/12))),HLOOKUP(BM$3,$E$3:$DV32,29,FALSE))))</f>
        <v>457.23795406249997</v>
      </c>
      <c r="BO31" s="46">
        <f>IF(AND(Summary!$N29&lt;='Cash Flow Statement'!BO$2,'Cash Flow Statement'!BO$2&lt;=Summary!$O29),IF((BO$2-Summary!$N29)&lt;12,Summary!$P29,IF(MOD(BO$2,12)=MOD(Summary!$N29,12),(Summary!$P29*((1+Summary!$K$20)^((BO$2-12-MOD(Summary!$N29,12))/12))),HLOOKUP(BN$3,$E$3:$DV32,29,FALSE))))</f>
        <v>457.23795406249997</v>
      </c>
      <c r="BP31" s="46">
        <f>IF(AND(Summary!$N29&lt;='Cash Flow Statement'!BP$2,'Cash Flow Statement'!BP$2&lt;=Summary!$O29),IF((BP$2-Summary!$N29)&lt;12,Summary!$P29,IF(MOD(BP$2,12)=MOD(Summary!$N29,12),(Summary!$P29*((1+Summary!$K$20)^((BP$2-12-MOD(Summary!$N29,12))/12))),HLOOKUP(BO$3,$E$3:$DV32,29,FALSE))))</f>
        <v>457.23795406249997</v>
      </c>
      <c r="BQ31" s="46">
        <f>IF(AND(Summary!$N29&lt;='Cash Flow Statement'!BQ$2,'Cash Flow Statement'!BQ$2&lt;=Summary!$O29),IF((BQ$2-Summary!$N29)&lt;12,Summary!$P29,IF(MOD(BQ$2,12)=MOD(Summary!$N29,12),(Summary!$P29*((1+Summary!$K$20)^((BQ$2-12-MOD(Summary!$N29,12))/12))),HLOOKUP(BP$3,$E$3:$DV32,29,FALSE))))</f>
        <v>457.23795406249997</v>
      </c>
      <c r="BR31" s="46">
        <f>IF(AND(Summary!$N29&lt;='Cash Flow Statement'!BR$2,'Cash Flow Statement'!BR$2&lt;=Summary!$O29),IF((BR$2-Summary!$N29)&lt;12,Summary!$P29,IF(MOD(BR$2,12)=MOD(Summary!$N29,12),(Summary!$P29*((1+Summary!$K$20)^((BR$2-12-MOD(Summary!$N29,12))/12))),HLOOKUP(BQ$3,$E$3:$DV32,29,FALSE))))</f>
        <v>457.23795406249997</v>
      </c>
      <c r="BS31" s="46">
        <f>IF(AND(Summary!$N29&lt;='Cash Flow Statement'!BS$2,'Cash Flow Statement'!BS$2&lt;=Summary!$O29),IF((BS$2-Summary!$N29)&lt;12,Summary!$P29,IF(MOD(BS$2,12)=MOD(Summary!$N29,12),(Summary!$P29*((1+Summary!$K$20)^((BS$2-12-MOD(Summary!$N29,12))/12))),HLOOKUP(BR$3,$E$3:$DV32,29,FALSE))))</f>
        <v>457.23795406249997</v>
      </c>
      <c r="BT31" s="46">
        <f>IF(AND(Summary!$N29&lt;='Cash Flow Statement'!BT$2,'Cash Flow Statement'!BT$2&lt;=Summary!$O29),IF((BT$2-Summary!$N29)&lt;12,Summary!$P29,IF(MOD(BT$2,12)=MOD(Summary!$N29,12),(Summary!$P29*((1+Summary!$K$20)^((BT$2-12-MOD(Summary!$N29,12))/12))),HLOOKUP(BS$3,$E$3:$DV32,29,FALSE))))</f>
        <v>457.23795406249997</v>
      </c>
      <c r="BU31" s="46">
        <f>IF(AND(Summary!$N29&lt;='Cash Flow Statement'!BU$2,'Cash Flow Statement'!BU$2&lt;=Summary!$O29),IF((BU$2-Summary!$N29)&lt;12,Summary!$P29,IF(MOD(BU$2,12)=MOD(Summary!$N29,12),(Summary!$P29*((1+Summary!$K$20)^((BU$2-12-MOD(Summary!$N29,12))/12))),HLOOKUP(BT$3,$E$3:$DV32,29,FALSE))))</f>
        <v>457.23795406249997</v>
      </c>
      <c r="BV31" s="46">
        <f>IF(AND(Summary!$N29&lt;='Cash Flow Statement'!BV$2,'Cash Flow Statement'!BV$2&lt;=Summary!$O29),IF((BV$2-Summary!$N29)&lt;12,Summary!$P29,IF(MOD(BV$2,12)=MOD(Summary!$N29,12),(Summary!$P29*((1+Summary!$K$20)^((BV$2-12-MOD(Summary!$N29,12))/12))),HLOOKUP(BU$3,$E$3:$DV32,29,FALSE))))</f>
        <v>457.23795406249997</v>
      </c>
      <c r="BW31" s="46">
        <f>IF(AND(Summary!$N29&lt;='Cash Flow Statement'!BW$2,'Cash Flow Statement'!BW$2&lt;=Summary!$O29),IF((BW$2-Summary!$N29)&lt;12,Summary!$P29,IF(MOD(BW$2,12)=MOD(Summary!$N29,12),(Summary!$P29*((1+Summary!$K$20)^((BW$2-12-MOD(Summary!$N29,12))/12))),HLOOKUP(BV$3,$E$3:$DV32,29,FALSE))))</f>
        <v>457.23795406249997</v>
      </c>
      <c r="BX31" s="46">
        <f>IF(AND(Summary!$N29&lt;='Cash Flow Statement'!BX$2,'Cash Flow Statement'!BX$2&lt;=Summary!$O29),IF((BX$2-Summary!$N29)&lt;12,Summary!$P29,IF(MOD(BX$2,12)=MOD(Summary!$N29,12),(Summary!$P29*((1+Summary!$K$20)^((BX$2-12-MOD(Summary!$N29,12))/12))),HLOOKUP(BW$3,$E$3:$DV32,29,FALSE))))</f>
        <v>457.23795406249997</v>
      </c>
      <c r="BY31" s="46">
        <f>IF(AND(Summary!$N29&lt;='Cash Flow Statement'!BY$2,'Cash Flow Statement'!BY$2&lt;=Summary!$O29),IF((BY$2-Summary!$N29)&lt;12,Summary!$P29,IF(MOD(BY$2,12)=MOD(Summary!$N29,12),(Summary!$P29*((1+Summary!$K$20)^((BY$2-12-MOD(Summary!$N29,12))/12))),HLOOKUP(BX$3,$E$3:$DV32,29,FALSE))))</f>
        <v>470.95509268437496</v>
      </c>
      <c r="BZ31" s="46">
        <f>IF(AND(Summary!$N29&lt;='Cash Flow Statement'!BZ$2,'Cash Flow Statement'!BZ$2&lt;=Summary!$O29),IF((BZ$2-Summary!$N29)&lt;12,Summary!$P29,IF(MOD(BZ$2,12)=MOD(Summary!$N29,12),(Summary!$P29*((1+Summary!$K$20)^((BZ$2-12-MOD(Summary!$N29,12))/12))),HLOOKUP(BY$3,$E$3:$DV32,29,FALSE))))</f>
        <v>470.95509268437496</v>
      </c>
      <c r="CA31" s="46">
        <f>IF(AND(Summary!$N29&lt;='Cash Flow Statement'!CA$2,'Cash Flow Statement'!CA$2&lt;=Summary!$O29),IF((CA$2-Summary!$N29)&lt;12,Summary!$P29,IF(MOD(CA$2,12)=MOD(Summary!$N29,12),(Summary!$P29*((1+Summary!$K$20)^((CA$2-12-MOD(Summary!$N29,12))/12))),HLOOKUP(BZ$3,$E$3:$DV32,29,FALSE))))</f>
        <v>470.95509268437496</v>
      </c>
      <c r="CB31" s="46">
        <f>IF(AND(Summary!$N29&lt;='Cash Flow Statement'!CB$2,'Cash Flow Statement'!CB$2&lt;=Summary!$O29),IF((CB$2-Summary!$N29)&lt;12,Summary!$P29,IF(MOD(CB$2,12)=MOD(Summary!$N29,12),(Summary!$P29*((1+Summary!$K$20)^((CB$2-12-MOD(Summary!$N29,12))/12))),HLOOKUP(CA$3,$E$3:$DV32,29,FALSE))))</f>
        <v>470.95509268437496</v>
      </c>
      <c r="CC31" s="46">
        <f>IF(AND(Summary!$N29&lt;='Cash Flow Statement'!CC$2,'Cash Flow Statement'!CC$2&lt;=Summary!$O29),IF((CC$2-Summary!$N29)&lt;12,Summary!$P29,IF(MOD(CC$2,12)=MOD(Summary!$N29,12),(Summary!$P29*((1+Summary!$K$20)^((CC$2-12-MOD(Summary!$N29,12))/12))),HLOOKUP(CB$3,$E$3:$DV32,29,FALSE))))</f>
        <v>470.95509268437496</v>
      </c>
      <c r="CD31" s="46">
        <f>IF(AND(Summary!$N29&lt;='Cash Flow Statement'!CD$2,'Cash Flow Statement'!CD$2&lt;=Summary!$O29),IF((CD$2-Summary!$N29)&lt;12,Summary!$P29,IF(MOD(CD$2,12)=MOD(Summary!$N29,12),(Summary!$P29*((1+Summary!$K$20)^((CD$2-12-MOD(Summary!$N29,12))/12))),HLOOKUP(CC$3,$E$3:$DV32,29,FALSE))))</f>
        <v>470.95509268437496</v>
      </c>
      <c r="CE31" s="46">
        <f>IF(AND(Summary!$N29&lt;='Cash Flow Statement'!CE$2,'Cash Flow Statement'!CE$2&lt;=Summary!$O29),IF((CE$2-Summary!$N29)&lt;12,Summary!$P29,IF(MOD(CE$2,12)=MOD(Summary!$N29,12),(Summary!$P29*((1+Summary!$K$20)^((CE$2-12-MOD(Summary!$N29,12))/12))),HLOOKUP(CD$3,$E$3:$DV32,29,FALSE))))</f>
        <v>470.95509268437496</v>
      </c>
      <c r="CF31" s="46">
        <f>IF(AND(Summary!$N29&lt;='Cash Flow Statement'!CF$2,'Cash Flow Statement'!CF$2&lt;=Summary!$O29),IF((CF$2-Summary!$N29)&lt;12,Summary!$P29,IF(MOD(CF$2,12)=MOD(Summary!$N29,12),(Summary!$P29*((1+Summary!$K$20)^((CF$2-12-MOD(Summary!$N29,12))/12))),HLOOKUP(CE$3,$E$3:$DV32,29,FALSE))))</f>
        <v>470.95509268437496</v>
      </c>
      <c r="CG31" s="46">
        <f>IF(AND(Summary!$N29&lt;='Cash Flow Statement'!CG$2,'Cash Flow Statement'!CG$2&lt;=Summary!$O29),IF((CG$2-Summary!$N29)&lt;12,Summary!$P29,IF(MOD(CG$2,12)=MOD(Summary!$N29,12),(Summary!$P29*((1+Summary!$K$20)^((CG$2-12-MOD(Summary!$N29,12))/12))),HLOOKUP(CF$3,$E$3:$DV32,29,FALSE))))</f>
        <v>470.95509268437496</v>
      </c>
      <c r="CH31" s="46">
        <f>IF(AND(Summary!$N29&lt;='Cash Flow Statement'!CH$2,'Cash Flow Statement'!CH$2&lt;=Summary!$O29),IF((CH$2-Summary!$N29)&lt;12,Summary!$P29,IF(MOD(CH$2,12)=MOD(Summary!$N29,12),(Summary!$P29*((1+Summary!$K$20)^((CH$2-12-MOD(Summary!$N29,12))/12))),HLOOKUP(CG$3,$E$3:$DV32,29,FALSE))))</f>
        <v>470.95509268437496</v>
      </c>
      <c r="CI31" s="46">
        <f>IF(AND(Summary!$N29&lt;='Cash Flow Statement'!CI$2,'Cash Flow Statement'!CI$2&lt;=Summary!$O29),IF((CI$2-Summary!$N29)&lt;12,Summary!$P29,IF(MOD(CI$2,12)=MOD(Summary!$N29,12),(Summary!$P29*((1+Summary!$K$20)^((CI$2-12-MOD(Summary!$N29,12))/12))),HLOOKUP(CH$3,$E$3:$DV32,29,FALSE))))</f>
        <v>470.95509268437496</v>
      </c>
      <c r="CJ31" s="46">
        <f>IF(AND(Summary!$N29&lt;='Cash Flow Statement'!CJ$2,'Cash Flow Statement'!CJ$2&lt;=Summary!$O29),IF((CJ$2-Summary!$N29)&lt;12,Summary!$P29,IF(MOD(CJ$2,12)=MOD(Summary!$N29,12),(Summary!$P29*((1+Summary!$K$20)^((CJ$2-12-MOD(Summary!$N29,12))/12))),HLOOKUP(CI$3,$E$3:$DV32,29,FALSE))))</f>
        <v>470.95509268437496</v>
      </c>
      <c r="CK31" s="46">
        <f>IF(AND(Summary!$N29&lt;='Cash Flow Statement'!CK$2,'Cash Flow Statement'!CK$2&lt;=Summary!$O29),IF((CK$2-Summary!$N29)&lt;12,Summary!$P29,IF(MOD(CK$2,12)=MOD(Summary!$N29,12),(Summary!$P29*((1+Summary!$K$20)^((CK$2-12-MOD(Summary!$N29,12))/12))),HLOOKUP(CJ$3,$E$3:$DV32,29,FALSE))))</f>
        <v>485.0837454649062</v>
      </c>
      <c r="CL31" s="46">
        <f>IF(AND(Summary!$N29&lt;='Cash Flow Statement'!CL$2,'Cash Flow Statement'!CL$2&lt;=Summary!$O29),IF((CL$2-Summary!$N29)&lt;12,Summary!$P29,IF(MOD(CL$2,12)=MOD(Summary!$N29,12),(Summary!$P29*((1+Summary!$K$20)^((CL$2-12-MOD(Summary!$N29,12))/12))),HLOOKUP(CK$3,$E$3:$DV32,29,FALSE))))</f>
        <v>485.0837454649062</v>
      </c>
      <c r="CM31" s="46">
        <f>IF(AND(Summary!$N29&lt;='Cash Flow Statement'!CM$2,'Cash Flow Statement'!CM$2&lt;=Summary!$O29),IF((CM$2-Summary!$N29)&lt;12,Summary!$P29,IF(MOD(CM$2,12)=MOD(Summary!$N29,12),(Summary!$P29*((1+Summary!$K$20)^((CM$2-12-MOD(Summary!$N29,12))/12))),HLOOKUP(CL$3,$E$3:$DV32,29,FALSE))))</f>
        <v>485.0837454649062</v>
      </c>
      <c r="CN31" s="46">
        <f>IF(AND(Summary!$N29&lt;='Cash Flow Statement'!CN$2,'Cash Flow Statement'!CN$2&lt;=Summary!$O29),IF((CN$2-Summary!$N29)&lt;12,Summary!$P29,IF(MOD(CN$2,12)=MOD(Summary!$N29,12),(Summary!$P29*((1+Summary!$K$20)^((CN$2-12-MOD(Summary!$N29,12))/12))),HLOOKUP(CM$3,$E$3:$DV32,29,FALSE))))</f>
        <v>485.0837454649062</v>
      </c>
      <c r="CO31" s="46">
        <f>IF(AND(Summary!$N29&lt;='Cash Flow Statement'!CO$2,'Cash Flow Statement'!CO$2&lt;=Summary!$O29),IF((CO$2-Summary!$N29)&lt;12,Summary!$P29,IF(MOD(CO$2,12)=MOD(Summary!$N29,12),(Summary!$P29*((1+Summary!$K$20)^((CO$2-12-MOD(Summary!$N29,12))/12))),HLOOKUP(CN$3,$E$3:$DV32,29,FALSE))))</f>
        <v>485.0837454649062</v>
      </c>
      <c r="CP31" s="46">
        <f>IF(AND(Summary!$N29&lt;='Cash Flow Statement'!CP$2,'Cash Flow Statement'!CP$2&lt;=Summary!$O29),IF((CP$2-Summary!$N29)&lt;12,Summary!$P29,IF(MOD(CP$2,12)=MOD(Summary!$N29,12),(Summary!$P29*((1+Summary!$K$20)^((CP$2-12-MOD(Summary!$N29,12))/12))),HLOOKUP(CO$3,$E$3:$DV32,29,FALSE))))</f>
        <v>485.0837454649062</v>
      </c>
      <c r="CQ31" s="46">
        <f>IF(AND(Summary!$N29&lt;='Cash Flow Statement'!CQ$2,'Cash Flow Statement'!CQ$2&lt;=Summary!$O29),IF((CQ$2-Summary!$N29)&lt;12,Summary!$P29,IF(MOD(CQ$2,12)=MOD(Summary!$N29,12),(Summary!$P29*((1+Summary!$K$20)^((CQ$2-12-MOD(Summary!$N29,12))/12))),HLOOKUP(CP$3,$E$3:$DV32,29,FALSE))))</f>
        <v>485.0837454649062</v>
      </c>
      <c r="CR31" s="46">
        <f>IF(AND(Summary!$N29&lt;='Cash Flow Statement'!CR$2,'Cash Flow Statement'!CR$2&lt;=Summary!$O29),IF((CR$2-Summary!$N29)&lt;12,Summary!$P29,IF(MOD(CR$2,12)=MOD(Summary!$N29,12),(Summary!$P29*((1+Summary!$K$20)^((CR$2-12-MOD(Summary!$N29,12))/12))),HLOOKUP(CQ$3,$E$3:$DV32,29,FALSE))))</f>
        <v>485.0837454649062</v>
      </c>
      <c r="CS31" s="46">
        <f>IF(AND(Summary!$N29&lt;='Cash Flow Statement'!CS$2,'Cash Flow Statement'!CS$2&lt;=Summary!$O29),IF((CS$2-Summary!$N29)&lt;12,Summary!$P29,IF(MOD(CS$2,12)=MOD(Summary!$N29,12),(Summary!$P29*((1+Summary!$K$20)^((CS$2-12-MOD(Summary!$N29,12))/12))),HLOOKUP(CR$3,$E$3:$DV32,29,FALSE))))</f>
        <v>485.0837454649062</v>
      </c>
      <c r="CT31" s="46">
        <f>IF(AND(Summary!$N29&lt;='Cash Flow Statement'!CT$2,'Cash Flow Statement'!CT$2&lt;=Summary!$O29),IF((CT$2-Summary!$N29)&lt;12,Summary!$P29,IF(MOD(CT$2,12)=MOD(Summary!$N29,12),(Summary!$P29*((1+Summary!$K$20)^((CT$2-12-MOD(Summary!$N29,12))/12))),HLOOKUP(CS$3,$E$3:$DV32,29,FALSE))))</f>
        <v>485.0837454649062</v>
      </c>
      <c r="CU31" s="46">
        <f>IF(AND(Summary!$N29&lt;='Cash Flow Statement'!CU$2,'Cash Flow Statement'!CU$2&lt;=Summary!$O29),IF((CU$2-Summary!$N29)&lt;12,Summary!$P29,IF(MOD(CU$2,12)=MOD(Summary!$N29,12),(Summary!$P29*((1+Summary!$K$20)^((CU$2-12-MOD(Summary!$N29,12))/12))),HLOOKUP(CT$3,$E$3:$DV32,29,FALSE))))</f>
        <v>485.0837454649062</v>
      </c>
      <c r="CV31" s="46">
        <f>IF(AND(Summary!$N29&lt;='Cash Flow Statement'!CV$2,'Cash Flow Statement'!CV$2&lt;=Summary!$O29),IF((CV$2-Summary!$N29)&lt;12,Summary!$P29,IF(MOD(CV$2,12)=MOD(Summary!$N29,12),(Summary!$P29*((1+Summary!$K$20)^((CV$2-12-MOD(Summary!$N29,12))/12))),HLOOKUP(CU$3,$E$3:$DV32,29,FALSE))))</f>
        <v>485.0837454649062</v>
      </c>
      <c r="CW31" s="46">
        <f>IF(AND(Summary!$N29&lt;='Cash Flow Statement'!CW$2,'Cash Flow Statement'!CW$2&lt;=Summary!$O29),IF((CW$2-Summary!$N29)&lt;12,Summary!$P29,IF(MOD(CW$2,12)=MOD(Summary!$N29,12),(Summary!$P29*((1+Summary!$K$20)^((CW$2-12-MOD(Summary!$N29,12))/12))),HLOOKUP(CV$3,$E$3:$DV32,29,FALSE))))</f>
        <v>499.63625782885345</v>
      </c>
      <c r="CX31" s="46">
        <f>IF(AND(Summary!$N29&lt;='Cash Flow Statement'!CX$2,'Cash Flow Statement'!CX$2&lt;=Summary!$O29),IF((CX$2-Summary!$N29)&lt;12,Summary!$P29,IF(MOD(CX$2,12)=MOD(Summary!$N29,12),(Summary!$P29*((1+Summary!$K$20)^((CX$2-12-MOD(Summary!$N29,12))/12))),HLOOKUP(CW$3,$E$3:$DV32,29,FALSE))))</f>
        <v>499.63625782885345</v>
      </c>
      <c r="CY31" s="46">
        <f>IF(AND(Summary!$N29&lt;='Cash Flow Statement'!CY$2,'Cash Flow Statement'!CY$2&lt;=Summary!$O29),IF((CY$2-Summary!$N29)&lt;12,Summary!$P29,IF(MOD(CY$2,12)=MOD(Summary!$N29,12),(Summary!$P29*((1+Summary!$K$20)^((CY$2-12-MOD(Summary!$N29,12))/12))),HLOOKUP(CX$3,$E$3:$DV32,29,FALSE))))</f>
        <v>499.63625782885345</v>
      </c>
      <c r="CZ31" s="46">
        <f>IF(AND(Summary!$N29&lt;='Cash Flow Statement'!CZ$2,'Cash Flow Statement'!CZ$2&lt;=Summary!$O29),IF((CZ$2-Summary!$N29)&lt;12,Summary!$P29,IF(MOD(CZ$2,12)=MOD(Summary!$N29,12),(Summary!$P29*((1+Summary!$K$20)^((CZ$2-12-MOD(Summary!$N29,12))/12))),HLOOKUP(CY$3,$E$3:$DV32,29,FALSE))))</f>
        <v>499.63625782885345</v>
      </c>
      <c r="DA31" s="46">
        <f>IF(AND(Summary!$N29&lt;='Cash Flow Statement'!DA$2,'Cash Flow Statement'!DA$2&lt;=Summary!$O29),IF((DA$2-Summary!$N29)&lt;12,Summary!$P29,IF(MOD(DA$2,12)=MOD(Summary!$N29,12),(Summary!$P29*((1+Summary!$K$20)^((DA$2-12-MOD(Summary!$N29,12))/12))),HLOOKUP(CZ$3,$E$3:$DV32,29,FALSE))))</f>
        <v>499.63625782885345</v>
      </c>
      <c r="DB31" s="46">
        <f>IF(AND(Summary!$N29&lt;='Cash Flow Statement'!DB$2,'Cash Flow Statement'!DB$2&lt;=Summary!$O29),IF((DB$2-Summary!$N29)&lt;12,Summary!$P29,IF(MOD(DB$2,12)=MOD(Summary!$N29,12),(Summary!$P29*((1+Summary!$K$20)^((DB$2-12-MOD(Summary!$N29,12))/12))),HLOOKUP(DA$3,$E$3:$DV32,29,FALSE))))</f>
        <v>499.63625782885345</v>
      </c>
      <c r="DC31" s="46">
        <f>IF(AND(Summary!$N29&lt;='Cash Flow Statement'!DC$2,'Cash Flow Statement'!DC$2&lt;=Summary!$O29),IF((DC$2-Summary!$N29)&lt;12,Summary!$P29,IF(MOD(DC$2,12)=MOD(Summary!$N29,12),(Summary!$P29*((1+Summary!$K$20)^((DC$2-12-MOD(Summary!$N29,12))/12))),HLOOKUP(DB$3,$E$3:$DV32,29,FALSE))))</f>
        <v>499.63625782885345</v>
      </c>
      <c r="DD31" s="46">
        <f>IF(AND(Summary!$N29&lt;='Cash Flow Statement'!DD$2,'Cash Flow Statement'!DD$2&lt;=Summary!$O29),IF((DD$2-Summary!$N29)&lt;12,Summary!$P29,IF(MOD(DD$2,12)=MOD(Summary!$N29,12),(Summary!$P29*((1+Summary!$K$20)^((DD$2-12-MOD(Summary!$N29,12))/12))),HLOOKUP(DC$3,$E$3:$DV32,29,FALSE))))</f>
        <v>499.63625782885345</v>
      </c>
      <c r="DE31" s="46">
        <f>IF(AND(Summary!$N29&lt;='Cash Flow Statement'!DE$2,'Cash Flow Statement'!DE$2&lt;=Summary!$O29),IF((DE$2-Summary!$N29)&lt;12,Summary!$P29,IF(MOD(DE$2,12)=MOD(Summary!$N29,12),(Summary!$P29*((1+Summary!$K$20)^((DE$2-12-MOD(Summary!$N29,12))/12))),HLOOKUP(DD$3,$E$3:$DV32,29,FALSE))))</f>
        <v>499.63625782885345</v>
      </c>
      <c r="DF31" s="46">
        <f>IF(AND(Summary!$N29&lt;='Cash Flow Statement'!DF$2,'Cash Flow Statement'!DF$2&lt;=Summary!$O29),IF((DF$2-Summary!$N29)&lt;12,Summary!$P29,IF(MOD(DF$2,12)=MOD(Summary!$N29,12),(Summary!$P29*((1+Summary!$K$20)^((DF$2-12-MOD(Summary!$N29,12))/12))),HLOOKUP(DE$3,$E$3:$DV32,29,FALSE))))</f>
        <v>499.63625782885345</v>
      </c>
      <c r="DG31" s="46">
        <f>IF(AND(Summary!$N29&lt;='Cash Flow Statement'!DG$2,'Cash Flow Statement'!DG$2&lt;=Summary!$O29),IF((DG$2-Summary!$N29)&lt;12,Summary!$P29,IF(MOD(DG$2,12)=MOD(Summary!$N29,12),(Summary!$P29*((1+Summary!$K$20)^((DG$2-12-MOD(Summary!$N29,12))/12))),HLOOKUP(DF$3,$E$3:$DV32,29,FALSE))))</f>
        <v>499.63625782885345</v>
      </c>
      <c r="DH31" s="46">
        <f>IF(AND(Summary!$N29&lt;='Cash Flow Statement'!DH$2,'Cash Flow Statement'!DH$2&lt;=Summary!$O29),IF((DH$2-Summary!$N29)&lt;12,Summary!$P29,IF(MOD(DH$2,12)=MOD(Summary!$N29,12),(Summary!$P29*((1+Summary!$K$20)^((DH$2-12-MOD(Summary!$N29,12))/12))),HLOOKUP(DG$3,$E$3:$DV32,29,FALSE))))</f>
        <v>499.63625782885345</v>
      </c>
      <c r="DI31" s="46">
        <f>IF(AND(Summary!$N29&lt;='Cash Flow Statement'!DI$2,'Cash Flow Statement'!DI$2&lt;=Summary!$O29),IF((DI$2-Summary!$N29)&lt;12,Summary!$P29,IF(MOD(DI$2,12)=MOD(Summary!$N29,12),(Summary!$P29*((1+Summary!$K$20)^((DI$2-12-MOD(Summary!$N29,12))/12))),HLOOKUP(DH$3,$E$3:$DV32,29,FALSE))))</f>
        <v>514.62534556371895</v>
      </c>
      <c r="DJ31" s="46">
        <f>IF(AND(Summary!$N29&lt;='Cash Flow Statement'!DJ$2,'Cash Flow Statement'!DJ$2&lt;=Summary!$O29),IF((DJ$2-Summary!$N29)&lt;12,Summary!$P29,IF(MOD(DJ$2,12)=MOD(Summary!$N29,12),(Summary!$P29*((1+Summary!$K$20)^((DJ$2-12-MOD(Summary!$N29,12))/12))),HLOOKUP(DI$3,$E$3:$DV32,29,FALSE))))</f>
        <v>514.62534556371895</v>
      </c>
      <c r="DK31" s="46">
        <f>IF(AND(Summary!$N29&lt;='Cash Flow Statement'!DK$2,'Cash Flow Statement'!DK$2&lt;=Summary!$O29),IF((DK$2-Summary!$N29)&lt;12,Summary!$P29,IF(MOD(DK$2,12)=MOD(Summary!$N29,12),(Summary!$P29*((1+Summary!$K$20)^((DK$2-12-MOD(Summary!$N29,12))/12))),HLOOKUP(DJ$3,$E$3:$DV32,29,FALSE))))</f>
        <v>514.62534556371895</v>
      </c>
      <c r="DL31" s="46">
        <f>IF(AND(Summary!$N29&lt;='Cash Flow Statement'!DL$2,'Cash Flow Statement'!DL$2&lt;=Summary!$O29),IF((DL$2-Summary!$N29)&lt;12,Summary!$P29,IF(MOD(DL$2,12)=MOD(Summary!$N29,12),(Summary!$P29*((1+Summary!$K$20)^((DL$2-12-MOD(Summary!$N29,12))/12))),HLOOKUP(DK$3,$E$3:$DV32,29,FALSE))))</f>
        <v>514.62534556371895</v>
      </c>
      <c r="DM31" s="46">
        <f>IF(AND(Summary!$N29&lt;='Cash Flow Statement'!DM$2,'Cash Flow Statement'!DM$2&lt;=Summary!$O29),IF((DM$2-Summary!$N29)&lt;12,Summary!$P29,IF(MOD(DM$2,12)=MOD(Summary!$N29,12),(Summary!$P29*((1+Summary!$K$20)^((DM$2-12-MOD(Summary!$N29,12))/12))),HLOOKUP(DL$3,$E$3:$DV32,29,FALSE))))</f>
        <v>514.62534556371895</v>
      </c>
      <c r="DN31" s="46">
        <f>IF(AND(Summary!$N29&lt;='Cash Flow Statement'!DN$2,'Cash Flow Statement'!DN$2&lt;=Summary!$O29),IF((DN$2-Summary!$N29)&lt;12,Summary!$P29,IF(MOD(DN$2,12)=MOD(Summary!$N29,12),(Summary!$P29*((1+Summary!$K$20)^((DN$2-12-MOD(Summary!$N29,12))/12))),HLOOKUP(DM$3,$E$3:$DV32,29,FALSE))))</f>
        <v>514.62534556371895</v>
      </c>
      <c r="DO31" s="46">
        <f>IF(AND(Summary!$N29&lt;='Cash Flow Statement'!DO$2,'Cash Flow Statement'!DO$2&lt;=Summary!$O29),IF((DO$2-Summary!$N29)&lt;12,Summary!$P29,IF(MOD(DO$2,12)=MOD(Summary!$N29,12),(Summary!$P29*((1+Summary!$K$20)^((DO$2-12-MOD(Summary!$N29,12))/12))),HLOOKUP(DN$3,$E$3:$DV32,29,FALSE))))</f>
        <v>514.62534556371895</v>
      </c>
      <c r="DP31" s="46">
        <f>IF(AND(Summary!$N29&lt;='Cash Flow Statement'!DP$2,'Cash Flow Statement'!DP$2&lt;=Summary!$O29),IF((DP$2-Summary!$N29)&lt;12,Summary!$P29,IF(MOD(DP$2,12)=MOD(Summary!$N29,12),(Summary!$P29*((1+Summary!$K$20)^((DP$2-12-MOD(Summary!$N29,12))/12))),HLOOKUP(DO$3,$E$3:$DV32,29,FALSE))))</f>
        <v>514.62534556371895</v>
      </c>
      <c r="DQ31" s="46">
        <f>IF(AND(Summary!$N29&lt;='Cash Flow Statement'!DQ$2,'Cash Flow Statement'!DQ$2&lt;=Summary!$O29),IF((DQ$2-Summary!$N29)&lt;12,Summary!$P29,IF(MOD(DQ$2,12)=MOD(Summary!$N29,12),(Summary!$P29*((1+Summary!$K$20)^((DQ$2-12-MOD(Summary!$N29,12))/12))),HLOOKUP(DP$3,$E$3:$DV32,29,FALSE))))</f>
        <v>514.62534556371895</v>
      </c>
      <c r="DR31" s="46">
        <f>IF(AND(Summary!$N29&lt;='Cash Flow Statement'!DR$2,'Cash Flow Statement'!DR$2&lt;=Summary!$O29),IF((DR$2-Summary!$N29)&lt;12,Summary!$P29,IF(MOD(DR$2,12)=MOD(Summary!$N29,12),(Summary!$P29*((1+Summary!$K$20)^((DR$2-12-MOD(Summary!$N29,12))/12))),HLOOKUP(DQ$3,$E$3:$DV32,29,FALSE))))</f>
        <v>514.62534556371895</v>
      </c>
      <c r="DS31" s="46">
        <f>IF(AND(Summary!$N29&lt;='Cash Flow Statement'!DS$2,'Cash Flow Statement'!DS$2&lt;=Summary!$O29),IF((DS$2-Summary!$N29)&lt;12,Summary!$P29,IF(MOD(DS$2,12)=MOD(Summary!$N29,12),(Summary!$P29*((1+Summary!$K$20)^((DS$2-12-MOD(Summary!$N29,12))/12))),HLOOKUP(DR$3,$E$3:$DV32,29,FALSE))))</f>
        <v>514.62534556371895</v>
      </c>
      <c r="DT31" s="46">
        <f>IF(AND(Summary!$N29&lt;='Cash Flow Statement'!DT$2,'Cash Flow Statement'!DT$2&lt;=Summary!$O29),IF((DT$2-Summary!$N29)&lt;12,Summary!$P29,IF(MOD(DT$2,12)=MOD(Summary!$N29,12),(Summary!$P29*((1+Summary!$K$20)^((DT$2-12-MOD(Summary!$N29,12))/12))),HLOOKUP(DS$3,$E$3:$DV32,29,FALSE))))</f>
        <v>514.62534556371895</v>
      </c>
      <c r="DU31" s="46">
        <f>IF(AND(Summary!$N29&lt;='Cash Flow Statement'!DU$2,'Cash Flow Statement'!DU$2&lt;=Summary!$O29),IF((DU$2-Summary!$N29)&lt;12,Summary!$P29,IF(MOD(DU$2,12)=MOD(Summary!$N29,12),(Summary!$P29*((1+Summary!$K$20)^((DU$2-12-MOD(Summary!$N29,12))/12))),HLOOKUP(DT$3,$E$3:$DV32,29,FALSE))))</f>
        <v>530.0641059306306</v>
      </c>
      <c r="DV31" s="135"/>
    </row>
    <row r="32" spans="1:126" x14ac:dyDescent="0.2">
      <c r="A32" s="88"/>
      <c r="B32" s="94"/>
      <c r="C32" s="93"/>
      <c r="D32" s="143"/>
      <c r="E32" s="147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6"/>
    </row>
    <row r="33" spans="1:127" x14ac:dyDescent="0.2">
      <c r="A33" s="88"/>
      <c r="B33" s="90" t="s">
        <v>9</v>
      </c>
      <c r="C33" s="91"/>
      <c r="D33" s="138">
        <f>SUM(E33:DU33)</f>
        <v>250967.95674871933</v>
      </c>
      <c r="E33" s="139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>
        <f t="shared" ref="W33:BQ33" si="18">SUM(W24:W32)</f>
        <v>2243.75</v>
      </c>
      <c r="X33" s="140">
        <f t="shared" si="18"/>
        <v>2143.75</v>
      </c>
      <c r="Y33" s="140">
        <f t="shared" si="18"/>
        <v>2143.75</v>
      </c>
      <c r="Z33" s="140">
        <f t="shared" si="18"/>
        <v>2143.75</v>
      </c>
      <c r="AA33" s="140">
        <f t="shared" si="18"/>
        <v>2143.75</v>
      </c>
      <c r="AB33" s="140">
        <f t="shared" si="18"/>
        <v>2143.75</v>
      </c>
      <c r="AC33" s="140">
        <f t="shared" si="18"/>
        <v>2200.5625</v>
      </c>
      <c r="AD33" s="140">
        <f t="shared" si="18"/>
        <v>2200.5625</v>
      </c>
      <c r="AE33" s="140">
        <f t="shared" si="18"/>
        <v>2200.5625</v>
      </c>
      <c r="AF33" s="140">
        <f t="shared" si="18"/>
        <v>2200.5625</v>
      </c>
      <c r="AG33" s="140">
        <f t="shared" si="18"/>
        <v>2200.5625</v>
      </c>
      <c r="AH33" s="140">
        <f t="shared" si="18"/>
        <v>2200.5625</v>
      </c>
      <c r="AI33" s="140">
        <f t="shared" si="18"/>
        <v>2208.0625</v>
      </c>
      <c r="AJ33" s="140">
        <f t="shared" si="18"/>
        <v>2208.0625</v>
      </c>
      <c r="AK33" s="140">
        <f t="shared" si="18"/>
        <v>2208.0625</v>
      </c>
      <c r="AL33" s="140">
        <f t="shared" si="18"/>
        <v>2208.0625</v>
      </c>
      <c r="AM33" s="140">
        <f t="shared" si="18"/>
        <v>2208.0625</v>
      </c>
      <c r="AN33" s="140">
        <f t="shared" si="18"/>
        <v>2208.0625</v>
      </c>
      <c r="AO33" s="140">
        <f t="shared" si="18"/>
        <v>2266.5793749999998</v>
      </c>
      <c r="AP33" s="140">
        <f t="shared" si="18"/>
        <v>2266.5793749999998</v>
      </c>
      <c r="AQ33" s="140">
        <f t="shared" si="18"/>
        <v>2266.5793749999998</v>
      </c>
      <c r="AR33" s="140">
        <f t="shared" si="18"/>
        <v>2266.5793749999998</v>
      </c>
      <c r="AS33" s="140">
        <f t="shared" si="18"/>
        <v>2266.5793749999998</v>
      </c>
      <c r="AT33" s="140">
        <f t="shared" si="18"/>
        <v>2266.5793749999998</v>
      </c>
      <c r="AU33" s="140">
        <f t="shared" si="18"/>
        <v>2274.3043749999997</v>
      </c>
      <c r="AV33" s="140">
        <f t="shared" si="18"/>
        <v>2274.3043749999997</v>
      </c>
      <c r="AW33" s="140">
        <f t="shared" si="18"/>
        <v>2274.3043749999997</v>
      </c>
      <c r="AX33" s="140">
        <f t="shared" si="18"/>
        <v>2274.3043749999997</v>
      </c>
      <c r="AY33" s="140">
        <f t="shared" si="18"/>
        <v>2274.3043749999997</v>
      </c>
      <c r="AZ33" s="140">
        <f t="shared" si="18"/>
        <v>2274.3043749999997</v>
      </c>
      <c r="BA33" s="140">
        <f t="shared" si="18"/>
        <v>2334.57675625</v>
      </c>
      <c r="BB33" s="140">
        <f t="shared" si="18"/>
        <v>2334.57675625</v>
      </c>
      <c r="BC33" s="140">
        <f t="shared" si="18"/>
        <v>2334.57675625</v>
      </c>
      <c r="BD33" s="140">
        <f t="shared" si="18"/>
        <v>2334.57675625</v>
      </c>
      <c r="BE33" s="140">
        <f t="shared" si="18"/>
        <v>2334.57675625</v>
      </c>
      <c r="BF33" s="140">
        <f t="shared" si="18"/>
        <v>2334.57675625</v>
      </c>
      <c r="BG33" s="140">
        <f t="shared" si="18"/>
        <v>2342.5335062500003</v>
      </c>
      <c r="BH33" s="140">
        <f t="shared" si="18"/>
        <v>2342.5335062500003</v>
      </c>
      <c r="BI33" s="140">
        <f t="shared" si="18"/>
        <v>2342.5335062500003</v>
      </c>
      <c r="BJ33" s="140">
        <f t="shared" si="18"/>
        <v>2342.5335062500003</v>
      </c>
      <c r="BK33" s="140">
        <f t="shared" si="18"/>
        <v>2342.5335062500003</v>
      </c>
      <c r="BL33" s="140">
        <f t="shared" si="18"/>
        <v>2342.5335062500003</v>
      </c>
      <c r="BM33" s="140">
        <f t="shared" si="18"/>
        <v>2404.6140589375</v>
      </c>
      <c r="BN33" s="140">
        <f t="shared" si="18"/>
        <v>2404.6140589375</v>
      </c>
      <c r="BO33" s="140">
        <f t="shared" si="18"/>
        <v>2404.6140589375</v>
      </c>
      <c r="BP33" s="140">
        <f t="shared" si="18"/>
        <v>2404.6140589375</v>
      </c>
      <c r="BQ33" s="140">
        <f t="shared" si="18"/>
        <v>2404.6140589375</v>
      </c>
      <c r="BR33" s="140">
        <f t="shared" ref="BR33:DU33" si="19">SUM(BR24:BR32)</f>
        <v>2404.6140589375</v>
      </c>
      <c r="BS33" s="140">
        <f t="shared" si="19"/>
        <v>2412.8095114374996</v>
      </c>
      <c r="BT33" s="140">
        <f t="shared" si="19"/>
        <v>2412.8095114374996</v>
      </c>
      <c r="BU33" s="140">
        <f t="shared" si="19"/>
        <v>2412.8095114374996</v>
      </c>
      <c r="BV33" s="140">
        <f t="shared" si="19"/>
        <v>2412.8095114374996</v>
      </c>
      <c r="BW33" s="140">
        <f t="shared" si="19"/>
        <v>2412.8095114374996</v>
      </c>
      <c r="BX33" s="140">
        <f t="shared" si="19"/>
        <v>2412.8095114374996</v>
      </c>
      <c r="BY33" s="140">
        <f t="shared" si="19"/>
        <v>2476.7524807056247</v>
      </c>
      <c r="BZ33" s="140">
        <f t="shared" si="19"/>
        <v>2476.7524807056247</v>
      </c>
      <c r="CA33" s="140">
        <f t="shared" si="19"/>
        <v>2476.7524807056247</v>
      </c>
      <c r="CB33" s="140">
        <f t="shared" si="19"/>
        <v>2476.7524807056247</v>
      </c>
      <c r="CC33" s="140">
        <f t="shared" si="19"/>
        <v>2476.7524807056247</v>
      </c>
      <c r="CD33" s="140">
        <f t="shared" si="19"/>
        <v>2476.7524807056247</v>
      </c>
      <c r="CE33" s="140">
        <f t="shared" si="19"/>
        <v>2485.1937967806248</v>
      </c>
      <c r="CF33" s="140">
        <f t="shared" si="19"/>
        <v>2485.1937967806248</v>
      </c>
      <c r="CG33" s="140">
        <f t="shared" si="19"/>
        <v>2485.1937967806248</v>
      </c>
      <c r="CH33" s="140">
        <f t="shared" si="19"/>
        <v>2485.1937967806248</v>
      </c>
      <c r="CI33" s="140">
        <f t="shared" si="19"/>
        <v>2485.1937967806248</v>
      </c>
      <c r="CJ33" s="140">
        <f t="shared" si="19"/>
        <v>2485.1937967806248</v>
      </c>
      <c r="CK33" s="140">
        <f t="shared" si="19"/>
        <v>2551.0550551267938</v>
      </c>
      <c r="CL33" s="140">
        <f t="shared" si="19"/>
        <v>2551.0550551267938</v>
      </c>
      <c r="CM33" s="140">
        <f t="shared" si="19"/>
        <v>2551.0550551267938</v>
      </c>
      <c r="CN33" s="140">
        <f t="shared" si="19"/>
        <v>2551.0550551267938</v>
      </c>
      <c r="CO33" s="140">
        <f t="shared" si="19"/>
        <v>2551.0550551267938</v>
      </c>
      <c r="CP33" s="140">
        <f t="shared" si="19"/>
        <v>2551.0550551267938</v>
      </c>
      <c r="CQ33" s="140">
        <f t="shared" si="19"/>
        <v>2559.7496106840435</v>
      </c>
      <c r="CR33" s="140">
        <f t="shared" si="19"/>
        <v>2559.7496106840435</v>
      </c>
      <c r="CS33" s="140">
        <f t="shared" si="19"/>
        <v>2559.7496106840435</v>
      </c>
      <c r="CT33" s="140">
        <f t="shared" si="19"/>
        <v>2559.7496106840435</v>
      </c>
      <c r="CU33" s="140">
        <f t="shared" si="19"/>
        <v>2559.7496106840435</v>
      </c>
      <c r="CV33" s="140">
        <f t="shared" si="19"/>
        <v>2559.7496106840435</v>
      </c>
      <c r="CW33" s="140">
        <f t="shared" si="19"/>
        <v>2627.5867067805975</v>
      </c>
      <c r="CX33" s="140">
        <f t="shared" si="19"/>
        <v>2627.5867067805975</v>
      </c>
      <c r="CY33" s="140">
        <f t="shared" si="19"/>
        <v>2627.5867067805975</v>
      </c>
      <c r="CZ33" s="140">
        <f t="shared" si="19"/>
        <v>2627.5867067805975</v>
      </c>
      <c r="DA33" s="140">
        <f t="shared" si="19"/>
        <v>2627.5867067805975</v>
      </c>
      <c r="DB33" s="140">
        <f t="shared" si="19"/>
        <v>2627.5867067805975</v>
      </c>
      <c r="DC33" s="140">
        <f t="shared" si="19"/>
        <v>2636.542099004565</v>
      </c>
      <c r="DD33" s="140">
        <f t="shared" si="19"/>
        <v>2636.542099004565</v>
      </c>
      <c r="DE33" s="140">
        <f t="shared" si="19"/>
        <v>2636.542099004565</v>
      </c>
      <c r="DF33" s="140">
        <f t="shared" si="19"/>
        <v>2636.542099004565</v>
      </c>
      <c r="DG33" s="140">
        <f t="shared" si="19"/>
        <v>2636.542099004565</v>
      </c>
      <c r="DH33" s="140">
        <f t="shared" si="19"/>
        <v>2636.542099004565</v>
      </c>
      <c r="DI33" s="140">
        <f t="shared" si="19"/>
        <v>2706.4143079840151</v>
      </c>
      <c r="DJ33" s="140">
        <f t="shared" si="19"/>
        <v>2706.4143079840151</v>
      </c>
      <c r="DK33" s="140">
        <f t="shared" si="19"/>
        <v>2706.4143079840151</v>
      </c>
      <c r="DL33" s="140">
        <f t="shared" si="19"/>
        <v>2706.4143079840151</v>
      </c>
      <c r="DM33" s="140">
        <f t="shared" si="19"/>
        <v>2706.4143079840151</v>
      </c>
      <c r="DN33" s="140">
        <f t="shared" si="19"/>
        <v>2706.4143079840151</v>
      </c>
      <c r="DO33" s="140">
        <f t="shared" si="19"/>
        <v>2715.6383619747016</v>
      </c>
      <c r="DP33" s="140">
        <f t="shared" si="19"/>
        <v>2715.6383619747016</v>
      </c>
      <c r="DQ33" s="140">
        <f t="shared" si="19"/>
        <v>2715.6383619747016</v>
      </c>
      <c r="DR33" s="140">
        <f t="shared" si="19"/>
        <v>2715.6383619747016</v>
      </c>
      <c r="DS33" s="140">
        <f t="shared" si="19"/>
        <v>2715.6383619747016</v>
      </c>
      <c r="DT33" s="140">
        <f t="shared" si="19"/>
        <v>2715.6383619747016</v>
      </c>
      <c r="DU33" s="140">
        <f t="shared" si="19"/>
        <v>2787.6067372235357</v>
      </c>
      <c r="DV33" s="141"/>
    </row>
    <row r="34" spans="1:127" x14ac:dyDescent="0.2">
      <c r="A34" s="88"/>
      <c r="B34" s="96"/>
      <c r="C34" s="97"/>
      <c r="D34" s="132"/>
      <c r="E34" s="142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148"/>
      <c r="CA34" s="148"/>
      <c r="CB34" s="148"/>
      <c r="CC34" s="148"/>
      <c r="CD34" s="148"/>
      <c r="CE34" s="148"/>
      <c r="CF34" s="148"/>
      <c r="CG34" s="148"/>
      <c r="CH34" s="148"/>
      <c r="CI34" s="148"/>
      <c r="CJ34" s="148"/>
      <c r="CK34" s="148"/>
      <c r="CL34" s="148"/>
      <c r="CM34" s="148"/>
      <c r="CN34" s="148"/>
      <c r="CO34" s="148"/>
      <c r="CP34" s="148"/>
      <c r="CQ34" s="148"/>
      <c r="CR34" s="148"/>
      <c r="CS34" s="148"/>
      <c r="CT34" s="148"/>
      <c r="CU34" s="148"/>
      <c r="CV34" s="148"/>
      <c r="CW34" s="148"/>
      <c r="CX34" s="148"/>
      <c r="CY34" s="148"/>
      <c r="CZ34" s="148"/>
      <c r="DA34" s="148"/>
      <c r="DB34" s="148"/>
      <c r="DC34" s="148"/>
      <c r="DD34" s="148"/>
      <c r="DE34" s="148"/>
      <c r="DF34" s="148"/>
      <c r="DG34" s="148"/>
      <c r="DH34" s="148"/>
      <c r="DI34" s="148"/>
      <c r="DJ34" s="148"/>
      <c r="DK34" s="148"/>
      <c r="DL34" s="148"/>
      <c r="DM34" s="148"/>
      <c r="DN34" s="148"/>
      <c r="DO34" s="148"/>
      <c r="DP34" s="148"/>
      <c r="DQ34" s="148"/>
      <c r="DR34" s="148"/>
      <c r="DS34" s="148"/>
      <c r="DT34" s="148"/>
      <c r="DU34" s="148"/>
      <c r="DV34" s="149"/>
    </row>
    <row r="35" spans="1:127" x14ac:dyDescent="0.2">
      <c r="A35" s="88"/>
      <c r="B35" s="99" t="s">
        <v>10</v>
      </c>
      <c r="C35" s="100"/>
      <c r="D35" s="138">
        <f>SUM(E35:DU35)</f>
        <v>1048792.8134785362</v>
      </c>
      <c r="E35" s="139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>
        <f t="shared" ref="W35:BS35" si="20">W21-W33</f>
        <v>6756.25</v>
      </c>
      <c r="X35" s="140">
        <f t="shared" si="20"/>
        <v>6856.25</v>
      </c>
      <c r="Y35" s="140">
        <f t="shared" si="20"/>
        <v>6856.25</v>
      </c>
      <c r="Z35" s="140">
        <f t="shared" si="20"/>
        <v>8356.25</v>
      </c>
      <c r="AA35" s="140">
        <f t="shared" si="20"/>
        <v>8356.25</v>
      </c>
      <c r="AB35" s="140">
        <f t="shared" si="20"/>
        <v>8356.25</v>
      </c>
      <c r="AC35" s="140">
        <f t="shared" si="20"/>
        <v>8299.4375</v>
      </c>
      <c r="AD35" s="140">
        <f t="shared" si="20"/>
        <v>8299.4375</v>
      </c>
      <c r="AE35" s="140">
        <f t="shared" si="20"/>
        <v>8299.4375</v>
      </c>
      <c r="AF35" s="140">
        <f t="shared" si="20"/>
        <v>8411.9375</v>
      </c>
      <c r="AG35" s="140">
        <f t="shared" si="20"/>
        <v>8411.9375</v>
      </c>
      <c r="AH35" s="140">
        <f t="shared" si="20"/>
        <v>8411.9375</v>
      </c>
      <c r="AI35" s="140">
        <f t="shared" si="20"/>
        <v>8516.9375</v>
      </c>
      <c r="AJ35" s="140">
        <f t="shared" si="20"/>
        <v>8516.9375</v>
      </c>
      <c r="AK35" s="140">
        <f t="shared" si="20"/>
        <v>8516.9375</v>
      </c>
      <c r="AL35" s="140">
        <f t="shared" si="20"/>
        <v>8591.9375</v>
      </c>
      <c r="AM35" s="140">
        <f t="shared" si="20"/>
        <v>8816.9375</v>
      </c>
      <c r="AN35" s="140">
        <f t="shared" si="20"/>
        <v>8816.9375</v>
      </c>
      <c r="AO35" s="140">
        <f t="shared" si="20"/>
        <v>8758.4206250000007</v>
      </c>
      <c r="AP35" s="140">
        <f t="shared" si="20"/>
        <v>8758.4206250000007</v>
      </c>
      <c r="AQ35" s="140">
        <f t="shared" si="20"/>
        <v>8758.4206250000007</v>
      </c>
      <c r="AR35" s="140">
        <f t="shared" si="20"/>
        <v>8876.5456250000007</v>
      </c>
      <c r="AS35" s="140">
        <f t="shared" si="20"/>
        <v>8876.5456250000007</v>
      </c>
      <c r="AT35" s="140">
        <f t="shared" si="20"/>
        <v>8876.5456250000007</v>
      </c>
      <c r="AU35" s="140">
        <f t="shared" si="20"/>
        <v>8986.9456250000003</v>
      </c>
      <c r="AV35" s="140">
        <f t="shared" si="20"/>
        <v>8986.9456250000003</v>
      </c>
      <c r="AW35" s="140">
        <f t="shared" si="20"/>
        <v>8986.9456250000003</v>
      </c>
      <c r="AX35" s="140">
        <f t="shared" si="20"/>
        <v>9065.6956250000003</v>
      </c>
      <c r="AY35" s="140">
        <f t="shared" si="20"/>
        <v>9301.9456250000003</v>
      </c>
      <c r="AZ35" s="140">
        <f t="shared" si="20"/>
        <v>9301.9456250000003</v>
      </c>
      <c r="BA35" s="140">
        <f t="shared" si="20"/>
        <v>9241.6732437499995</v>
      </c>
      <c r="BB35" s="140">
        <f t="shared" si="20"/>
        <v>9241.6732437499995</v>
      </c>
      <c r="BC35" s="140">
        <f t="shared" si="20"/>
        <v>9241.6732437499995</v>
      </c>
      <c r="BD35" s="140">
        <f t="shared" si="20"/>
        <v>9365.7044937499995</v>
      </c>
      <c r="BE35" s="140">
        <f t="shared" si="20"/>
        <v>9365.7044937499995</v>
      </c>
      <c r="BF35" s="140">
        <f t="shared" si="20"/>
        <v>9365.7044937499995</v>
      </c>
      <c r="BG35" s="140">
        <f t="shared" si="20"/>
        <v>9481.7789937500002</v>
      </c>
      <c r="BH35" s="140">
        <f t="shared" si="20"/>
        <v>9481.7789937500002</v>
      </c>
      <c r="BI35" s="140">
        <f t="shared" si="20"/>
        <v>9481.7789937500002</v>
      </c>
      <c r="BJ35" s="140">
        <f t="shared" si="20"/>
        <v>9564.4664937500002</v>
      </c>
      <c r="BK35" s="140">
        <f t="shared" si="20"/>
        <v>9812.528993750002</v>
      </c>
      <c r="BL35" s="140">
        <f t="shared" si="20"/>
        <v>9812.528993750002</v>
      </c>
      <c r="BM35" s="140">
        <f t="shared" si="20"/>
        <v>9750.4484410625009</v>
      </c>
      <c r="BN35" s="140">
        <f t="shared" si="20"/>
        <v>9750.4484410625009</v>
      </c>
      <c r="BO35" s="140">
        <f t="shared" si="20"/>
        <v>9750.4484410625009</v>
      </c>
      <c r="BP35" s="140">
        <f t="shared" si="20"/>
        <v>9880.6812535624995</v>
      </c>
      <c r="BQ35" s="140">
        <f t="shared" si="20"/>
        <v>9880.6812535624995</v>
      </c>
      <c r="BR35" s="140">
        <f t="shared" si="20"/>
        <v>9880.6812535624995</v>
      </c>
      <c r="BS35" s="140">
        <f t="shared" si="20"/>
        <v>10002.718613562502</v>
      </c>
      <c r="BT35" s="140">
        <f t="shared" ref="BT35:DU35" si="21">BT21-BT33</f>
        <v>10002.718613562502</v>
      </c>
      <c r="BU35" s="140">
        <f t="shared" si="21"/>
        <v>10002.718613562502</v>
      </c>
      <c r="BV35" s="140">
        <f t="shared" si="21"/>
        <v>10089.540488562503</v>
      </c>
      <c r="BW35" s="140">
        <f t="shared" si="21"/>
        <v>10350.006113562502</v>
      </c>
      <c r="BX35" s="140">
        <f t="shared" si="21"/>
        <v>10350.006113562502</v>
      </c>
      <c r="BY35" s="140">
        <f t="shared" si="21"/>
        <v>10286.063144294376</v>
      </c>
      <c r="BZ35" s="140">
        <f t="shared" si="21"/>
        <v>10286.063144294376</v>
      </c>
      <c r="CA35" s="140">
        <f t="shared" si="21"/>
        <v>10286.063144294376</v>
      </c>
      <c r="CB35" s="140">
        <f t="shared" si="21"/>
        <v>10422.807597419376</v>
      </c>
      <c r="CC35" s="140">
        <f t="shared" si="21"/>
        <v>10422.807597419376</v>
      </c>
      <c r="CD35" s="140">
        <f t="shared" si="21"/>
        <v>10422.807597419376</v>
      </c>
      <c r="CE35" s="140">
        <f t="shared" si="21"/>
        <v>10551.110734469377</v>
      </c>
      <c r="CF35" s="140">
        <f t="shared" si="21"/>
        <v>10551.110734469377</v>
      </c>
      <c r="CG35" s="140">
        <f t="shared" si="21"/>
        <v>10551.110734469377</v>
      </c>
      <c r="CH35" s="140">
        <f t="shared" si="21"/>
        <v>10642.273703219376</v>
      </c>
      <c r="CI35" s="140">
        <f t="shared" si="21"/>
        <v>10915.762609469377</v>
      </c>
      <c r="CJ35" s="140">
        <f t="shared" si="21"/>
        <v>10915.762609469377</v>
      </c>
      <c r="CK35" s="140">
        <f t="shared" si="21"/>
        <v>10849.901351123208</v>
      </c>
      <c r="CL35" s="140">
        <f t="shared" si="21"/>
        <v>10849.901351123208</v>
      </c>
      <c r="CM35" s="140">
        <f t="shared" si="21"/>
        <v>10849.901351123208</v>
      </c>
      <c r="CN35" s="140">
        <f t="shared" si="21"/>
        <v>10993.483026904458</v>
      </c>
      <c r="CO35" s="140">
        <f t="shared" si="21"/>
        <v>10993.483026904458</v>
      </c>
      <c r="CP35" s="140">
        <f t="shared" si="21"/>
        <v>10993.483026904458</v>
      </c>
      <c r="CQ35" s="140">
        <f t="shared" si="21"/>
        <v>11128.370147128458</v>
      </c>
      <c r="CR35" s="140">
        <f t="shared" si="21"/>
        <v>11128.370147128458</v>
      </c>
      <c r="CS35" s="140">
        <f t="shared" si="21"/>
        <v>11128.370147128458</v>
      </c>
      <c r="CT35" s="140">
        <f t="shared" si="21"/>
        <v>11224.091264315957</v>
      </c>
      <c r="CU35" s="140">
        <f t="shared" si="21"/>
        <v>11511.254615878457</v>
      </c>
      <c r="CV35" s="140">
        <f t="shared" si="21"/>
        <v>11511.254615878457</v>
      </c>
      <c r="CW35" s="140">
        <f t="shared" si="21"/>
        <v>11443.417519781904</v>
      </c>
      <c r="CX35" s="140">
        <f t="shared" si="21"/>
        <v>11443.417519781904</v>
      </c>
      <c r="CY35" s="140">
        <f t="shared" si="21"/>
        <v>11443.417519781904</v>
      </c>
      <c r="CZ35" s="140">
        <f t="shared" si="21"/>
        <v>11594.178279352216</v>
      </c>
      <c r="DA35" s="140">
        <f t="shared" si="21"/>
        <v>11594.178279352216</v>
      </c>
      <c r="DB35" s="140">
        <f t="shared" si="21"/>
        <v>11594.178279352216</v>
      </c>
      <c r="DC35" s="140">
        <f t="shared" si="21"/>
        <v>11735.983646698562</v>
      </c>
      <c r="DD35" s="140">
        <f t="shared" si="21"/>
        <v>11735.983646698562</v>
      </c>
      <c r="DE35" s="140">
        <f t="shared" si="21"/>
        <v>11735.983646698562</v>
      </c>
      <c r="DF35" s="140">
        <f t="shared" si="21"/>
        <v>11836.490819745435</v>
      </c>
      <c r="DG35" s="140">
        <f t="shared" si="21"/>
        <v>12138.012338886063</v>
      </c>
      <c r="DH35" s="140">
        <f t="shared" si="21"/>
        <v>12138.012338886063</v>
      </c>
      <c r="DI35" s="140">
        <f t="shared" si="21"/>
        <v>12068.140129906613</v>
      </c>
      <c r="DJ35" s="140">
        <f t="shared" si="21"/>
        <v>12068.140129906613</v>
      </c>
      <c r="DK35" s="140">
        <f t="shared" si="21"/>
        <v>12068.140129906613</v>
      </c>
      <c r="DL35" s="140">
        <f t="shared" si="21"/>
        <v>12226.438927455441</v>
      </c>
      <c r="DM35" s="140">
        <f t="shared" si="21"/>
        <v>12226.438927455441</v>
      </c>
      <c r="DN35" s="140">
        <f t="shared" si="21"/>
        <v>12226.438927455441</v>
      </c>
      <c r="DO35" s="140">
        <f t="shared" si="21"/>
        <v>12375.513671013583</v>
      </c>
      <c r="DP35" s="140">
        <f t="shared" si="21"/>
        <v>12375.513671013583</v>
      </c>
      <c r="DQ35" s="140">
        <f t="shared" si="21"/>
        <v>12375.513671013583</v>
      </c>
      <c r="DR35" s="140">
        <f t="shared" si="21"/>
        <v>12481.046202712801</v>
      </c>
      <c r="DS35" s="140">
        <f t="shared" si="21"/>
        <v>12797.643797810457</v>
      </c>
      <c r="DT35" s="140">
        <f t="shared" si="21"/>
        <v>12797.643797810457</v>
      </c>
      <c r="DU35" s="140">
        <f t="shared" si="21"/>
        <v>12725.675422561622</v>
      </c>
      <c r="DV35" s="141"/>
    </row>
    <row r="36" spans="1:127" x14ac:dyDescent="0.2">
      <c r="A36" s="88"/>
      <c r="B36" s="101"/>
      <c r="C36" s="98"/>
      <c r="D36" s="132"/>
      <c r="E36" s="142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148"/>
      <c r="CA36" s="148"/>
      <c r="CB36" s="148"/>
      <c r="CC36" s="148"/>
      <c r="CD36" s="148"/>
      <c r="CE36" s="148"/>
      <c r="CF36" s="148"/>
      <c r="CG36" s="148"/>
      <c r="CH36" s="148"/>
      <c r="CI36" s="148"/>
      <c r="CJ36" s="148"/>
      <c r="CK36" s="148"/>
      <c r="CL36" s="148"/>
      <c r="CM36" s="148"/>
      <c r="CN36" s="148"/>
      <c r="CO36" s="148"/>
      <c r="CP36" s="148"/>
      <c r="CQ36" s="148"/>
      <c r="CR36" s="148"/>
      <c r="CS36" s="148"/>
      <c r="CT36" s="148"/>
      <c r="CU36" s="148"/>
      <c r="CV36" s="148"/>
      <c r="CW36" s="148"/>
      <c r="CX36" s="148"/>
      <c r="CY36" s="148"/>
      <c r="CZ36" s="148"/>
      <c r="DA36" s="148"/>
      <c r="DB36" s="148"/>
      <c r="DC36" s="148"/>
      <c r="DD36" s="148"/>
      <c r="DE36" s="148"/>
      <c r="DF36" s="148"/>
      <c r="DG36" s="148"/>
      <c r="DH36" s="148"/>
      <c r="DI36" s="148"/>
      <c r="DJ36" s="148"/>
      <c r="DK36" s="148"/>
      <c r="DL36" s="148"/>
      <c r="DM36" s="148"/>
      <c r="DN36" s="148"/>
      <c r="DO36" s="148"/>
      <c r="DP36" s="148"/>
      <c r="DQ36" s="148"/>
      <c r="DR36" s="148"/>
      <c r="DS36" s="148"/>
      <c r="DT36" s="148"/>
      <c r="DU36" s="148"/>
      <c r="DV36" s="149"/>
    </row>
    <row r="37" spans="1:127" x14ac:dyDescent="0.2">
      <c r="A37" s="88"/>
      <c r="B37" s="81" t="s">
        <v>11</v>
      </c>
      <c r="C37" s="44"/>
      <c r="D37" s="132">
        <f>SUM(E37:DU37)</f>
        <v>1048792.8134785362</v>
      </c>
      <c r="E37" s="142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>
        <f t="shared" ref="W37:BR37" si="22">W35</f>
        <v>6756.25</v>
      </c>
      <c r="X37" s="46">
        <f t="shared" si="22"/>
        <v>6856.25</v>
      </c>
      <c r="Y37" s="46">
        <f t="shared" si="22"/>
        <v>6856.25</v>
      </c>
      <c r="Z37" s="46">
        <f t="shared" si="22"/>
        <v>8356.25</v>
      </c>
      <c r="AA37" s="46">
        <f t="shared" si="22"/>
        <v>8356.25</v>
      </c>
      <c r="AB37" s="46">
        <f t="shared" si="22"/>
        <v>8356.25</v>
      </c>
      <c r="AC37" s="46">
        <f t="shared" si="22"/>
        <v>8299.4375</v>
      </c>
      <c r="AD37" s="46">
        <f t="shared" si="22"/>
        <v>8299.4375</v>
      </c>
      <c r="AE37" s="46">
        <f t="shared" si="22"/>
        <v>8299.4375</v>
      </c>
      <c r="AF37" s="46">
        <f t="shared" si="22"/>
        <v>8411.9375</v>
      </c>
      <c r="AG37" s="46">
        <f t="shared" si="22"/>
        <v>8411.9375</v>
      </c>
      <c r="AH37" s="46">
        <f t="shared" si="22"/>
        <v>8411.9375</v>
      </c>
      <c r="AI37" s="46">
        <f t="shared" si="22"/>
        <v>8516.9375</v>
      </c>
      <c r="AJ37" s="46">
        <f t="shared" si="22"/>
        <v>8516.9375</v>
      </c>
      <c r="AK37" s="46">
        <f t="shared" si="22"/>
        <v>8516.9375</v>
      </c>
      <c r="AL37" s="46">
        <f t="shared" si="22"/>
        <v>8591.9375</v>
      </c>
      <c r="AM37" s="46">
        <f t="shared" si="22"/>
        <v>8816.9375</v>
      </c>
      <c r="AN37" s="46">
        <f t="shared" si="22"/>
        <v>8816.9375</v>
      </c>
      <c r="AO37" s="46">
        <f t="shared" si="22"/>
        <v>8758.4206250000007</v>
      </c>
      <c r="AP37" s="46">
        <f t="shared" si="22"/>
        <v>8758.4206250000007</v>
      </c>
      <c r="AQ37" s="46">
        <f t="shared" si="22"/>
        <v>8758.4206250000007</v>
      </c>
      <c r="AR37" s="46">
        <f t="shared" si="22"/>
        <v>8876.5456250000007</v>
      </c>
      <c r="AS37" s="46">
        <f t="shared" si="22"/>
        <v>8876.5456250000007</v>
      </c>
      <c r="AT37" s="46">
        <f t="shared" si="22"/>
        <v>8876.5456250000007</v>
      </c>
      <c r="AU37" s="46">
        <f t="shared" si="22"/>
        <v>8986.9456250000003</v>
      </c>
      <c r="AV37" s="46">
        <f t="shared" si="22"/>
        <v>8986.9456250000003</v>
      </c>
      <c r="AW37" s="46">
        <f t="shared" si="22"/>
        <v>8986.9456250000003</v>
      </c>
      <c r="AX37" s="46">
        <f t="shared" si="22"/>
        <v>9065.6956250000003</v>
      </c>
      <c r="AY37" s="46">
        <f t="shared" si="22"/>
        <v>9301.9456250000003</v>
      </c>
      <c r="AZ37" s="46">
        <f t="shared" si="22"/>
        <v>9301.9456250000003</v>
      </c>
      <c r="BA37" s="46">
        <f t="shared" si="22"/>
        <v>9241.6732437499995</v>
      </c>
      <c r="BB37" s="46">
        <f t="shared" si="22"/>
        <v>9241.6732437499995</v>
      </c>
      <c r="BC37" s="46">
        <f t="shared" si="22"/>
        <v>9241.6732437499995</v>
      </c>
      <c r="BD37" s="46">
        <f t="shared" si="22"/>
        <v>9365.7044937499995</v>
      </c>
      <c r="BE37" s="46">
        <f t="shared" si="22"/>
        <v>9365.7044937499995</v>
      </c>
      <c r="BF37" s="46">
        <f t="shared" si="22"/>
        <v>9365.7044937499995</v>
      </c>
      <c r="BG37" s="46">
        <f t="shared" si="22"/>
        <v>9481.7789937500002</v>
      </c>
      <c r="BH37" s="46">
        <f t="shared" si="22"/>
        <v>9481.7789937500002</v>
      </c>
      <c r="BI37" s="46">
        <f t="shared" si="22"/>
        <v>9481.7789937500002</v>
      </c>
      <c r="BJ37" s="46">
        <f t="shared" si="22"/>
        <v>9564.4664937500002</v>
      </c>
      <c r="BK37" s="46">
        <f t="shared" si="22"/>
        <v>9812.528993750002</v>
      </c>
      <c r="BL37" s="46">
        <f t="shared" si="22"/>
        <v>9812.528993750002</v>
      </c>
      <c r="BM37" s="46">
        <f t="shared" si="22"/>
        <v>9750.4484410625009</v>
      </c>
      <c r="BN37" s="46">
        <f t="shared" si="22"/>
        <v>9750.4484410625009</v>
      </c>
      <c r="BO37" s="46">
        <f t="shared" si="22"/>
        <v>9750.4484410625009</v>
      </c>
      <c r="BP37" s="46">
        <f t="shared" si="22"/>
        <v>9880.6812535624995</v>
      </c>
      <c r="BQ37" s="46">
        <f t="shared" si="22"/>
        <v>9880.6812535624995</v>
      </c>
      <c r="BR37" s="46">
        <f t="shared" si="22"/>
        <v>9880.6812535624995</v>
      </c>
      <c r="BS37" s="46">
        <f t="shared" ref="BS37:DU37" si="23">BS35</f>
        <v>10002.718613562502</v>
      </c>
      <c r="BT37" s="46">
        <f t="shared" si="23"/>
        <v>10002.718613562502</v>
      </c>
      <c r="BU37" s="46">
        <f t="shared" si="23"/>
        <v>10002.718613562502</v>
      </c>
      <c r="BV37" s="46">
        <f t="shared" si="23"/>
        <v>10089.540488562503</v>
      </c>
      <c r="BW37" s="46">
        <f t="shared" si="23"/>
        <v>10350.006113562502</v>
      </c>
      <c r="BX37" s="46">
        <f t="shared" si="23"/>
        <v>10350.006113562502</v>
      </c>
      <c r="BY37" s="46">
        <f t="shared" si="23"/>
        <v>10286.063144294376</v>
      </c>
      <c r="BZ37" s="46">
        <f t="shared" si="23"/>
        <v>10286.063144294376</v>
      </c>
      <c r="CA37" s="46">
        <f t="shared" si="23"/>
        <v>10286.063144294376</v>
      </c>
      <c r="CB37" s="46">
        <f t="shared" si="23"/>
        <v>10422.807597419376</v>
      </c>
      <c r="CC37" s="46">
        <f t="shared" si="23"/>
        <v>10422.807597419376</v>
      </c>
      <c r="CD37" s="46">
        <f t="shared" si="23"/>
        <v>10422.807597419376</v>
      </c>
      <c r="CE37" s="46">
        <f t="shared" si="23"/>
        <v>10551.110734469377</v>
      </c>
      <c r="CF37" s="46">
        <f t="shared" si="23"/>
        <v>10551.110734469377</v>
      </c>
      <c r="CG37" s="46">
        <f t="shared" si="23"/>
        <v>10551.110734469377</v>
      </c>
      <c r="CH37" s="46">
        <f t="shared" si="23"/>
        <v>10642.273703219376</v>
      </c>
      <c r="CI37" s="46">
        <f t="shared" si="23"/>
        <v>10915.762609469377</v>
      </c>
      <c r="CJ37" s="46">
        <f t="shared" si="23"/>
        <v>10915.762609469377</v>
      </c>
      <c r="CK37" s="46">
        <f t="shared" si="23"/>
        <v>10849.901351123208</v>
      </c>
      <c r="CL37" s="46">
        <f t="shared" si="23"/>
        <v>10849.901351123208</v>
      </c>
      <c r="CM37" s="46">
        <f t="shared" si="23"/>
        <v>10849.901351123208</v>
      </c>
      <c r="CN37" s="46">
        <f t="shared" si="23"/>
        <v>10993.483026904458</v>
      </c>
      <c r="CO37" s="46">
        <f t="shared" si="23"/>
        <v>10993.483026904458</v>
      </c>
      <c r="CP37" s="46">
        <f t="shared" si="23"/>
        <v>10993.483026904458</v>
      </c>
      <c r="CQ37" s="46">
        <f t="shared" si="23"/>
        <v>11128.370147128458</v>
      </c>
      <c r="CR37" s="46">
        <f t="shared" si="23"/>
        <v>11128.370147128458</v>
      </c>
      <c r="CS37" s="46">
        <f t="shared" si="23"/>
        <v>11128.370147128458</v>
      </c>
      <c r="CT37" s="46">
        <f t="shared" si="23"/>
        <v>11224.091264315957</v>
      </c>
      <c r="CU37" s="46">
        <f t="shared" si="23"/>
        <v>11511.254615878457</v>
      </c>
      <c r="CV37" s="46">
        <f t="shared" si="23"/>
        <v>11511.254615878457</v>
      </c>
      <c r="CW37" s="46">
        <f t="shared" si="23"/>
        <v>11443.417519781904</v>
      </c>
      <c r="CX37" s="46">
        <f t="shared" si="23"/>
        <v>11443.417519781904</v>
      </c>
      <c r="CY37" s="46">
        <f t="shared" si="23"/>
        <v>11443.417519781904</v>
      </c>
      <c r="CZ37" s="46">
        <f t="shared" si="23"/>
        <v>11594.178279352216</v>
      </c>
      <c r="DA37" s="46">
        <f t="shared" si="23"/>
        <v>11594.178279352216</v>
      </c>
      <c r="DB37" s="46">
        <f t="shared" si="23"/>
        <v>11594.178279352216</v>
      </c>
      <c r="DC37" s="46">
        <f t="shared" si="23"/>
        <v>11735.983646698562</v>
      </c>
      <c r="DD37" s="46">
        <f t="shared" si="23"/>
        <v>11735.983646698562</v>
      </c>
      <c r="DE37" s="46">
        <f t="shared" si="23"/>
        <v>11735.983646698562</v>
      </c>
      <c r="DF37" s="46">
        <f t="shared" si="23"/>
        <v>11836.490819745435</v>
      </c>
      <c r="DG37" s="46">
        <f t="shared" si="23"/>
        <v>12138.012338886063</v>
      </c>
      <c r="DH37" s="46">
        <f t="shared" si="23"/>
        <v>12138.012338886063</v>
      </c>
      <c r="DI37" s="46">
        <f t="shared" si="23"/>
        <v>12068.140129906613</v>
      </c>
      <c r="DJ37" s="46">
        <f t="shared" si="23"/>
        <v>12068.140129906613</v>
      </c>
      <c r="DK37" s="46">
        <f t="shared" si="23"/>
        <v>12068.140129906613</v>
      </c>
      <c r="DL37" s="46">
        <f t="shared" si="23"/>
        <v>12226.438927455441</v>
      </c>
      <c r="DM37" s="46">
        <f t="shared" si="23"/>
        <v>12226.438927455441</v>
      </c>
      <c r="DN37" s="46">
        <f t="shared" si="23"/>
        <v>12226.438927455441</v>
      </c>
      <c r="DO37" s="46">
        <f t="shared" si="23"/>
        <v>12375.513671013583</v>
      </c>
      <c r="DP37" s="46">
        <f t="shared" si="23"/>
        <v>12375.513671013583</v>
      </c>
      <c r="DQ37" s="46">
        <f t="shared" si="23"/>
        <v>12375.513671013583</v>
      </c>
      <c r="DR37" s="46">
        <f t="shared" si="23"/>
        <v>12481.046202712801</v>
      </c>
      <c r="DS37" s="46">
        <f t="shared" si="23"/>
        <v>12797.643797810457</v>
      </c>
      <c r="DT37" s="46">
        <f t="shared" si="23"/>
        <v>12797.643797810457</v>
      </c>
      <c r="DU37" s="46">
        <f t="shared" si="23"/>
        <v>12725.675422561622</v>
      </c>
      <c r="DV37" s="135"/>
    </row>
    <row r="38" spans="1:127" x14ac:dyDescent="0.2">
      <c r="A38" s="88"/>
      <c r="B38" s="81"/>
      <c r="C38" s="44"/>
      <c r="D38" s="132"/>
      <c r="E38" s="142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135"/>
    </row>
    <row r="39" spans="1:127" x14ac:dyDescent="0.2">
      <c r="A39" s="88"/>
      <c r="B39" s="81" t="s">
        <v>82</v>
      </c>
      <c r="C39" s="44"/>
      <c r="D39" s="132"/>
      <c r="E39" s="142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135"/>
    </row>
    <row r="40" spans="1:127" x14ac:dyDescent="0.2">
      <c r="A40" s="88"/>
      <c r="B40" s="102" t="s">
        <v>101</v>
      </c>
      <c r="C40" s="98"/>
      <c r="D40" s="132">
        <f>-Summary!H20</f>
        <v>-1824336</v>
      </c>
      <c r="E40" s="103">
        <f>D40</f>
        <v>-1824336</v>
      </c>
      <c r="F40" s="46"/>
      <c r="G40" s="148"/>
      <c r="H40" s="46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8"/>
      <c r="CN40" s="148"/>
      <c r="CO40" s="148"/>
      <c r="CP40" s="148"/>
      <c r="CQ40" s="148"/>
      <c r="CR40" s="148"/>
      <c r="CS40" s="148"/>
      <c r="CT40" s="148"/>
      <c r="CU40" s="148"/>
      <c r="CV40" s="148"/>
      <c r="CW40" s="148"/>
      <c r="CX40" s="148"/>
      <c r="CY40" s="148"/>
      <c r="CZ40" s="148"/>
      <c r="DA40" s="148"/>
      <c r="DB40" s="148"/>
      <c r="DC40" s="148"/>
      <c r="DD40" s="148"/>
      <c r="DE40" s="148"/>
      <c r="DF40" s="148"/>
      <c r="DG40" s="148"/>
      <c r="DH40" s="148"/>
      <c r="DI40" s="148"/>
      <c r="DJ40" s="148"/>
      <c r="DK40" s="148"/>
      <c r="DL40" s="148"/>
      <c r="DM40" s="148"/>
      <c r="DN40" s="148"/>
      <c r="DO40" s="148"/>
      <c r="DP40" s="148"/>
      <c r="DQ40" s="148"/>
      <c r="DR40" s="148"/>
      <c r="DS40" s="148"/>
      <c r="DT40" s="148"/>
      <c r="DU40" s="148"/>
      <c r="DV40" s="149"/>
    </row>
    <row r="41" spans="1:127" x14ac:dyDescent="0.2">
      <c r="A41" s="88"/>
      <c r="B41" s="102" t="s">
        <v>129</v>
      </c>
      <c r="C41" s="98"/>
      <c r="D41" s="132">
        <f>-Summary!H34</f>
        <v>-30871.11</v>
      </c>
      <c r="E41" s="103"/>
      <c r="F41" s="46">
        <f>IF((SUM(($E$41:E41))=$D$41),0,$D$41/3)</f>
        <v>-10290.370000000001</v>
      </c>
      <c r="G41" s="46">
        <f>IF((SUM(($E$41:F41))=$D$41),0,$D$41/3)</f>
        <v>-10290.370000000001</v>
      </c>
      <c r="H41" s="46">
        <f>IF((SUM(($E$41:G41))=$D$41),0,$D$41/3)</f>
        <v>-10290.370000000001</v>
      </c>
      <c r="I41" s="46">
        <f>IF((SUM(($E$41:G41))&gt;=$D$41),0,$D$41/3)</f>
        <v>0</v>
      </c>
      <c r="J41" s="46">
        <f>IF((SUM(($E$41:H41))&gt;=$D$41),0,$D$41/3)</f>
        <v>0</v>
      </c>
      <c r="K41" s="46">
        <f>IF((SUM(($E$41:I41))&gt;=$D$41),0,$D$41/3)</f>
        <v>0</v>
      </c>
      <c r="L41" s="46">
        <f>IF((SUM(($E$41:J41))&gt;=$D$41),0,$D$41/3)</f>
        <v>0</v>
      </c>
      <c r="M41" s="46">
        <f>IF((SUM(($E$41:K41))&gt;=$D$41),0,$D$41/3)</f>
        <v>0</v>
      </c>
      <c r="N41" s="46">
        <f>IF((SUM(($E$41:L41))&gt;=$D$41),0,$D$41/3)</f>
        <v>0</v>
      </c>
      <c r="O41" s="46">
        <f>IF((SUM(($E$41:M41))&gt;=$D$41),0,$D$41/3)</f>
        <v>0</v>
      </c>
      <c r="P41" s="46">
        <f>IF((SUM(($E$41:N41))&gt;=$D$41),0,$D$41/3)</f>
        <v>0</v>
      </c>
      <c r="Q41" s="46">
        <f>IF((SUM(($E$41:O41))&gt;=$D$41),0,$D$41/3)</f>
        <v>0</v>
      </c>
      <c r="R41" s="46">
        <f>IF((SUM(($E$41:P41))&gt;=$D$41),0,$D$41/3)</f>
        <v>0</v>
      </c>
      <c r="S41" s="46">
        <f>IF((SUM(($E$41:Q41))&gt;=$D$41),0,$D$41/3)</f>
        <v>0</v>
      </c>
      <c r="T41" s="46">
        <f>IF((SUM(($E$41:R41))&gt;=$D$41),0,$D$41/3)</f>
        <v>0</v>
      </c>
      <c r="U41" s="46">
        <f>IF((SUM(($E$41:S41))&gt;=$D$41),0,$D$41/3)</f>
        <v>0</v>
      </c>
      <c r="V41" s="46">
        <f>IF((SUM(($E$41:T41))&gt;=$D$41),0,$D$41/3)</f>
        <v>0</v>
      </c>
      <c r="W41" s="46">
        <f>IF((SUM(($E$41:U41))&gt;=$D$41),0,$D$41/3)</f>
        <v>0</v>
      </c>
      <c r="X41" s="46">
        <f>IF((SUM(($E$41:V41))&gt;=$D$41),0,$D$41/3)</f>
        <v>0</v>
      </c>
      <c r="Y41" s="46">
        <f>IF((SUM(($E$41:W41))&gt;=$D$41),0,$D$41/3)</f>
        <v>0</v>
      </c>
      <c r="Z41" s="46">
        <f>IF((SUM(($E$41:X41))&gt;=$D$41),0,$D$41/3)</f>
        <v>0</v>
      </c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48"/>
      <c r="BA41" s="148"/>
      <c r="BB41" s="148"/>
      <c r="BC41" s="148"/>
      <c r="BD41" s="148"/>
      <c r="BE41" s="148"/>
      <c r="BF41" s="148"/>
      <c r="BG41" s="148"/>
      <c r="BH41" s="148"/>
      <c r="BI41" s="148"/>
      <c r="BJ41" s="148"/>
      <c r="BK41" s="148"/>
      <c r="BL41" s="148"/>
      <c r="BM41" s="148"/>
      <c r="BN41" s="148"/>
      <c r="BO41" s="148"/>
      <c r="BP41" s="148"/>
      <c r="BQ41" s="148"/>
      <c r="BR41" s="148"/>
      <c r="BS41" s="148"/>
      <c r="BT41" s="148"/>
      <c r="BU41" s="148"/>
      <c r="BV41" s="148"/>
      <c r="BW41" s="148"/>
      <c r="BX41" s="148"/>
      <c r="BY41" s="148"/>
      <c r="BZ41" s="148"/>
      <c r="CA41" s="148"/>
      <c r="CB41" s="148"/>
      <c r="CC41" s="148"/>
      <c r="CD41" s="148"/>
      <c r="CE41" s="148"/>
      <c r="CF41" s="148"/>
      <c r="CG41" s="148"/>
      <c r="CH41" s="148"/>
      <c r="CI41" s="148"/>
      <c r="CJ41" s="148"/>
      <c r="CK41" s="148"/>
      <c r="CL41" s="148"/>
      <c r="CM41" s="148"/>
      <c r="CN41" s="148"/>
      <c r="CO41" s="148"/>
      <c r="CP41" s="148"/>
      <c r="CQ41" s="148"/>
      <c r="CR41" s="148"/>
      <c r="CS41" s="148"/>
      <c r="CT41" s="148"/>
      <c r="CU41" s="148"/>
      <c r="CV41" s="148"/>
      <c r="CW41" s="148"/>
      <c r="CX41" s="148"/>
      <c r="CY41" s="148"/>
      <c r="CZ41" s="148"/>
      <c r="DA41" s="148"/>
      <c r="DB41" s="148"/>
      <c r="DC41" s="148"/>
      <c r="DD41" s="148"/>
      <c r="DE41" s="148"/>
      <c r="DF41" s="148"/>
      <c r="DG41" s="148"/>
      <c r="DH41" s="148"/>
      <c r="DI41" s="148"/>
      <c r="DJ41" s="148"/>
      <c r="DK41" s="148"/>
      <c r="DL41" s="148"/>
      <c r="DM41" s="148"/>
      <c r="DN41" s="148"/>
      <c r="DO41" s="148"/>
      <c r="DP41" s="148"/>
      <c r="DQ41" s="148"/>
      <c r="DR41" s="148"/>
      <c r="DS41" s="148"/>
      <c r="DT41" s="148"/>
      <c r="DU41" s="148"/>
      <c r="DV41" s="149"/>
    </row>
    <row r="42" spans="1:127" x14ac:dyDescent="0.2">
      <c r="A42" s="88"/>
      <c r="B42" s="102" t="s">
        <v>102</v>
      </c>
      <c r="C42" s="98"/>
      <c r="D42" s="132">
        <f>-Summary!H26</f>
        <v>-150000</v>
      </c>
      <c r="E42" s="103"/>
      <c r="F42" s="46">
        <f>$D$42*F43</f>
        <v>0</v>
      </c>
      <c r="G42" s="46">
        <f>$D$42*G43</f>
        <v>0</v>
      </c>
      <c r="H42" s="46">
        <f>$D$42*H43</f>
        <v>0</v>
      </c>
      <c r="I42" s="46">
        <f>$D$42*I43</f>
        <v>-9000</v>
      </c>
      <c r="J42" s="46">
        <f t="shared" ref="J42:X42" si="24">$D$42*J43</f>
        <v>-9000</v>
      </c>
      <c r="K42" s="46">
        <f t="shared" si="24"/>
        <v>-9000</v>
      </c>
      <c r="L42" s="46">
        <f t="shared" si="24"/>
        <v>-8250</v>
      </c>
      <c r="M42" s="46">
        <f t="shared" si="24"/>
        <v>-8250</v>
      </c>
      <c r="N42" s="46">
        <f t="shared" si="24"/>
        <v>-11250</v>
      </c>
      <c r="O42" s="46">
        <f t="shared" si="24"/>
        <v>-11250</v>
      </c>
      <c r="P42" s="46">
        <f t="shared" si="24"/>
        <v>-15000</v>
      </c>
      <c r="Q42" s="46">
        <f t="shared" si="24"/>
        <v>-15000</v>
      </c>
      <c r="R42" s="46">
        <f t="shared" si="24"/>
        <v>-15000</v>
      </c>
      <c r="S42" s="46">
        <f t="shared" si="24"/>
        <v>-9000</v>
      </c>
      <c r="T42" s="46">
        <f t="shared" si="24"/>
        <v>-9000</v>
      </c>
      <c r="U42" s="46">
        <f t="shared" si="24"/>
        <v>-4500</v>
      </c>
      <c r="V42" s="46">
        <f t="shared" si="24"/>
        <v>-4500</v>
      </c>
      <c r="W42" s="46">
        <f t="shared" si="24"/>
        <v>-12000</v>
      </c>
      <c r="X42" s="46">
        <f t="shared" si="24"/>
        <v>0</v>
      </c>
      <c r="Y42" s="46">
        <f t="shared" ref="Y42" si="25">$D$42*Y43</f>
        <v>0</v>
      </c>
      <c r="Z42" s="46">
        <f t="shared" ref="Z42" si="26">$D$42*Z43</f>
        <v>0</v>
      </c>
      <c r="AA42" s="46"/>
      <c r="AB42" s="46"/>
      <c r="AC42" s="46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48"/>
      <c r="BA42" s="148"/>
      <c r="BB42" s="148"/>
      <c r="BC42" s="148"/>
      <c r="BD42" s="148"/>
      <c r="BE42" s="148"/>
      <c r="BF42" s="148"/>
      <c r="BG42" s="148"/>
      <c r="BH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  <c r="BW42" s="148"/>
      <c r="BX42" s="148"/>
      <c r="BY42" s="148"/>
      <c r="BZ42" s="148"/>
      <c r="CA42" s="148"/>
      <c r="CB42" s="148"/>
      <c r="CC42" s="148"/>
      <c r="CD42" s="148"/>
      <c r="CE42" s="148"/>
      <c r="CF42" s="148"/>
      <c r="CG42" s="148"/>
      <c r="CH42" s="148"/>
      <c r="CI42" s="148"/>
      <c r="CJ42" s="148"/>
      <c r="CK42" s="148"/>
      <c r="CL42" s="148"/>
      <c r="CM42" s="148"/>
      <c r="CN42" s="148"/>
      <c r="CO42" s="148"/>
      <c r="CP42" s="148"/>
      <c r="CQ42" s="148"/>
      <c r="CR42" s="148"/>
      <c r="CS42" s="148"/>
      <c r="CT42" s="148"/>
      <c r="CU42" s="148"/>
      <c r="CV42" s="148"/>
      <c r="CW42" s="148"/>
      <c r="CX42" s="148"/>
      <c r="CY42" s="148"/>
      <c r="CZ42" s="148"/>
      <c r="DA42" s="148"/>
      <c r="DB42" s="148"/>
      <c r="DC42" s="148"/>
      <c r="DD42" s="148"/>
      <c r="DE42" s="148"/>
      <c r="DF42" s="148"/>
      <c r="DG42" s="148"/>
      <c r="DH42" s="148"/>
      <c r="DI42" s="148"/>
      <c r="DJ42" s="148"/>
      <c r="DK42" s="148"/>
      <c r="DL42" s="148"/>
      <c r="DM42" s="148"/>
      <c r="DN42" s="148"/>
      <c r="DO42" s="148"/>
      <c r="DP42" s="148"/>
      <c r="DQ42" s="148"/>
      <c r="DR42" s="148"/>
      <c r="DS42" s="148"/>
      <c r="DT42" s="148"/>
      <c r="DU42" s="148"/>
      <c r="DV42" s="149"/>
    </row>
    <row r="43" spans="1:127" s="262" customFormat="1" x14ac:dyDescent="0.2">
      <c r="A43" s="254"/>
      <c r="B43" s="255"/>
      <c r="C43" s="256"/>
      <c r="D43" s="257"/>
      <c r="E43" s="258">
        <f>SUM(F43:AC43)</f>
        <v>1.0000000000000002</v>
      </c>
      <c r="F43" s="282"/>
      <c r="G43" s="282"/>
      <c r="H43" s="282"/>
      <c r="I43" s="282">
        <v>0.06</v>
      </c>
      <c r="J43" s="282">
        <v>0.06</v>
      </c>
      <c r="K43" s="282">
        <v>0.06</v>
      </c>
      <c r="L43" s="282">
        <v>5.5E-2</v>
      </c>
      <c r="M43" s="282">
        <v>5.5E-2</v>
      </c>
      <c r="N43" s="282">
        <v>7.4999999999999997E-2</v>
      </c>
      <c r="O43" s="282">
        <v>7.4999999999999997E-2</v>
      </c>
      <c r="P43" s="282">
        <v>0.1</v>
      </c>
      <c r="Q43" s="282">
        <v>0.1</v>
      </c>
      <c r="R43" s="282">
        <v>0.1</v>
      </c>
      <c r="S43" s="282">
        <v>0.06</v>
      </c>
      <c r="T43" s="282">
        <v>0.06</v>
      </c>
      <c r="U43" s="282">
        <v>0.03</v>
      </c>
      <c r="V43" s="282">
        <v>0.03</v>
      </c>
      <c r="W43" s="282">
        <v>0.08</v>
      </c>
      <c r="X43" s="282"/>
      <c r="Y43" s="282"/>
      <c r="Z43" s="282"/>
      <c r="AA43" s="49"/>
      <c r="AB43" s="49"/>
      <c r="AC43" s="4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  <c r="BM43" s="259"/>
      <c r="BN43" s="259"/>
      <c r="BO43" s="259"/>
      <c r="BP43" s="259"/>
      <c r="BQ43" s="259"/>
      <c r="BR43" s="259"/>
      <c r="BS43" s="259"/>
      <c r="BT43" s="259"/>
      <c r="BU43" s="259"/>
      <c r="BV43" s="259"/>
      <c r="BW43" s="259"/>
      <c r="BX43" s="259"/>
      <c r="BY43" s="259"/>
      <c r="BZ43" s="259"/>
      <c r="CA43" s="259"/>
      <c r="CB43" s="259"/>
      <c r="CC43" s="259"/>
      <c r="CD43" s="259"/>
      <c r="CE43" s="259"/>
      <c r="CF43" s="259"/>
      <c r="CG43" s="259"/>
      <c r="CH43" s="259"/>
      <c r="CI43" s="259"/>
      <c r="CJ43" s="259"/>
      <c r="CK43" s="259"/>
      <c r="CL43" s="259"/>
      <c r="CM43" s="259"/>
      <c r="CN43" s="259"/>
      <c r="CO43" s="259"/>
      <c r="CP43" s="259"/>
      <c r="CQ43" s="259"/>
      <c r="CR43" s="259"/>
      <c r="CS43" s="259"/>
      <c r="CT43" s="259"/>
      <c r="CU43" s="259"/>
      <c r="CV43" s="259"/>
      <c r="CW43" s="259"/>
      <c r="CX43" s="259"/>
      <c r="CY43" s="259"/>
      <c r="CZ43" s="259"/>
      <c r="DA43" s="259"/>
      <c r="DB43" s="259"/>
      <c r="DC43" s="259"/>
      <c r="DD43" s="259"/>
      <c r="DE43" s="259"/>
      <c r="DF43" s="259"/>
      <c r="DG43" s="259"/>
      <c r="DH43" s="259"/>
      <c r="DI43" s="259"/>
      <c r="DJ43" s="259"/>
      <c r="DK43" s="259"/>
      <c r="DL43" s="259"/>
      <c r="DM43" s="259"/>
      <c r="DN43" s="259"/>
      <c r="DO43" s="259"/>
      <c r="DP43" s="259"/>
      <c r="DQ43" s="259"/>
      <c r="DR43" s="259"/>
      <c r="DS43" s="259"/>
      <c r="DT43" s="259"/>
      <c r="DU43" s="259"/>
      <c r="DV43" s="260"/>
      <c r="DW43" s="261"/>
    </row>
    <row r="44" spans="1:127" x14ac:dyDescent="0.2">
      <c r="A44" s="88"/>
      <c r="B44" s="102" t="s">
        <v>128</v>
      </c>
      <c r="C44" s="98"/>
      <c r="D44" s="132">
        <f>-(Summary!H39+Summary!H40)</f>
        <v>-134692.90659</v>
      </c>
      <c r="E44" s="103">
        <f>D44</f>
        <v>-134692.90659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48"/>
      <c r="BB44" s="148"/>
      <c r="BC44" s="148"/>
      <c r="BD44" s="148"/>
      <c r="BE44" s="148"/>
      <c r="BF44" s="148"/>
      <c r="BG44" s="148"/>
      <c r="BH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  <c r="BW44" s="148"/>
      <c r="BX44" s="148"/>
      <c r="BY44" s="148"/>
      <c r="BZ44" s="148"/>
      <c r="CA44" s="148"/>
      <c r="CB44" s="148"/>
      <c r="CC44" s="148"/>
      <c r="CD44" s="148"/>
      <c r="CE44" s="148"/>
      <c r="CF44" s="148"/>
      <c r="CG44" s="148"/>
      <c r="CH44" s="148"/>
      <c r="CI44" s="148"/>
      <c r="CJ44" s="148"/>
      <c r="CK44" s="148"/>
      <c r="CL44" s="148"/>
      <c r="CM44" s="148"/>
      <c r="CN44" s="148"/>
      <c r="CO44" s="148"/>
      <c r="CP44" s="148"/>
      <c r="CQ44" s="148"/>
      <c r="CR44" s="148"/>
      <c r="CS44" s="148"/>
      <c r="CT44" s="148"/>
      <c r="CU44" s="148"/>
      <c r="CV44" s="148"/>
      <c r="CW44" s="148"/>
      <c r="CX44" s="148"/>
      <c r="CY44" s="148"/>
      <c r="CZ44" s="148"/>
      <c r="DA44" s="148"/>
      <c r="DB44" s="148"/>
      <c r="DC44" s="148"/>
      <c r="DD44" s="148"/>
      <c r="DE44" s="148"/>
      <c r="DF44" s="148"/>
      <c r="DG44" s="148"/>
      <c r="DH44" s="148"/>
      <c r="DI44" s="148"/>
      <c r="DJ44" s="148"/>
      <c r="DK44" s="148"/>
      <c r="DL44" s="148"/>
      <c r="DM44" s="148"/>
      <c r="DN44" s="148"/>
      <c r="DO44" s="148"/>
      <c r="DP44" s="148"/>
      <c r="DQ44" s="148"/>
      <c r="DR44" s="148"/>
      <c r="DS44" s="148"/>
      <c r="DT44" s="148"/>
      <c r="DU44" s="148"/>
      <c r="DV44" s="149"/>
    </row>
    <row r="45" spans="1:127" x14ac:dyDescent="0.2">
      <c r="A45" s="88"/>
      <c r="B45" s="102"/>
      <c r="C45" s="98"/>
      <c r="D45" s="132"/>
      <c r="E45" s="103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  <c r="BF45" s="148"/>
      <c r="BG45" s="148"/>
      <c r="BH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  <c r="BW45" s="148"/>
      <c r="BX45" s="148"/>
      <c r="BY45" s="148"/>
      <c r="BZ45" s="148"/>
      <c r="CA45" s="148"/>
      <c r="CB45" s="148"/>
      <c r="CC45" s="148"/>
      <c r="CD45" s="148"/>
      <c r="CE45" s="148"/>
      <c r="CF45" s="148"/>
      <c r="CG45" s="148"/>
      <c r="CH45" s="148"/>
      <c r="CI45" s="148"/>
      <c r="CJ45" s="148"/>
      <c r="CK45" s="148"/>
      <c r="CL45" s="148"/>
      <c r="CM45" s="148"/>
      <c r="CN45" s="148"/>
      <c r="CO45" s="148"/>
      <c r="CP45" s="148"/>
      <c r="CQ45" s="148"/>
      <c r="CR45" s="148"/>
      <c r="CS45" s="148"/>
      <c r="CT45" s="148"/>
      <c r="CU45" s="148"/>
      <c r="CV45" s="148"/>
      <c r="CW45" s="148"/>
      <c r="CX45" s="148"/>
      <c r="CY45" s="148"/>
      <c r="CZ45" s="148"/>
      <c r="DA45" s="148"/>
      <c r="DB45" s="148"/>
      <c r="DC45" s="148"/>
      <c r="DD45" s="148"/>
      <c r="DE45" s="148"/>
      <c r="DF45" s="148"/>
      <c r="DG45" s="148"/>
      <c r="DH45" s="148"/>
      <c r="DI45" s="148"/>
      <c r="DJ45" s="148"/>
      <c r="DK45" s="148"/>
      <c r="DL45" s="148"/>
      <c r="DM45" s="148"/>
      <c r="DN45" s="148"/>
      <c r="DO45" s="148"/>
      <c r="DP45" s="148"/>
      <c r="DQ45" s="148"/>
      <c r="DR45" s="148"/>
      <c r="DS45" s="148"/>
      <c r="DT45" s="148"/>
      <c r="DU45" s="148"/>
      <c r="DV45" s="149"/>
    </row>
    <row r="46" spans="1:127" x14ac:dyDescent="0.2">
      <c r="A46" s="88"/>
      <c r="B46" s="102" t="s">
        <v>12</v>
      </c>
      <c r="C46" s="7"/>
      <c r="D46" s="132">
        <f>SUM(E46:DU46)</f>
        <v>3107099.9653233043</v>
      </c>
      <c r="E46" s="134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>
        <f>(IF(DU2=(12*Summary!$K$36),SUM(DJ35:DU35),0)/Summary!$K$34)*(1-Summary!$K$35)</f>
        <v>3107099.9653233043</v>
      </c>
      <c r="DV46" s="149"/>
    </row>
    <row r="47" spans="1:127" x14ac:dyDescent="0.2">
      <c r="A47" s="88"/>
      <c r="B47" s="101"/>
      <c r="C47" s="98"/>
      <c r="D47" s="132"/>
      <c r="E47" s="142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AV47" s="148"/>
      <c r="AW47" s="148"/>
      <c r="AX47" s="148"/>
      <c r="AY47" s="148"/>
      <c r="AZ47" s="148"/>
      <c r="BA47" s="148"/>
      <c r="BB47" s="148"/>
      <c r="BC47" s="148"/>
      <c r="BD47" s="148"/>
      <c r="BE47" s="148"/>
      <c r="BF47" s="148"/>
      <c r="BG47" s="148"/>
      <c r="BH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  <c r="BW47" s="148"/>
      <c r="BX47" s="148"/>
      <c r="BY47" s="148"/>
      <c r="BZ47" s="148"/>
      <c r="CA47" s="148"/>
      <c r="CB47" s="148"/>
      <c r="CC47" s="148"/>
      <c r="CD47" s="148"/>
      <c r="CE47" s="148"/>
      <c r="CF47" s="148"/>
      <c r="CG47" s="148"/>
      <c r="CH47" s="148"/>
      <c r="CI47" s="148"/>
      <c r="CJ47" s="148"/>
      <c r="CK47" s="148"/>
      <c r="CL47" s="148"/>
      <c r="CM47" s="148"/>
      <c r="CN47" s="148"/>
      <c r="CO47" s="148"/>
      <c r="CP47" s="148"/>
      <c r="CQ47" s="148"/>
      <c r="CR47" s="148"/>
      <c r="CS47" s="148"/>
      <c r="CT47" s="148"/>
      <c r="CU47" s="148"/>
      <c r="CV47" s="148"/>
      <c r="CW47" s="148"/>
      <c r="CX47" s="148"/>
      <c r="CY47" s="148"/>
      <c r="CZ47" s="148"/>
      <c r="DA47" s="148"/>
      <c r="DB47" s="148"/>
      <c r="DC47" s="148"/>
      <c r="DD47" s="148"/>
      <c r="DE47" s="148"/>
      <c r="DF47" s="148"/>
      <c r="DG47" s="148"/>
      <c r="DH47" s="148"/>
      <c r="DI47" s="148"/>
      <c r="DJ47" s="148"/>
      <c r="DK47" s="148"/>
      <c r="DL47" s="148"/>
      <c r="DM47" s="148"/>
      <c r="DN47" s="148"/>
      <c r="DO47" s="148"/>
      <c r="DP47" s="148"/>
      <c r="DQ47" s="148"/>
      <c r="DR47" s="148"/>
      <c r="DS47" s="148"/>
      <c r="DT47" s="148"/>
      <c r="DU47" s="148"/>
      <c r="DV47" s="149"/>
    </row>
    <row r="48" spans="1:127" x14ac:dyDescent="0.2">
      <c r="A48" s="88"/>
      <c r="B48" s="99" t="s">
        <v>13</v>
      </c>
      <c r="C48" s="100"/>
      <c r="D48" s="138">
        <f>SUM(E48:DU48)</f>
        <v>2015992.7622118392</v>
      </c>
      <c r="E48" s="150">
        <f>E40+E41+E42+E44</f>
        <v>-1959028.90659</v>
      </c>
      <c r="F48" s="140">
        <f t="shared" ref="F48:BR48" si="27">F40+F41+F42-F44+F46+F37</f>
        <v>-10290.370000000001</v>
      </c>
      <c r="G48" s="140">
        <f t="shared" si="27"/>
        <v>-10290.370000000001</v>
      </c>
      <c r="H48" s="140">
        <f t="shared" si="27"/>
        <v>-10290.370000000001</v>
      </c>
      <c r="I48" s="140">
        <f t="shared" si="27"/>
        <v>-9000</v>
      </c>
      <c r="J48" s="140">
        <f t="shared" si="27"/>
        <v>-9000</v>
      </c>
      <c r="K48" s="140">
        <f t="shared" si="27"/>
        <v>-9000</v>
      </c>
      <c r="L48" s="140">
        <f t="shared" si="27"/>
        <v>-8250</v>
      </c>
      <c r="M48" s="140">
        <f t="shared" si="27"/>
        <v>-8250</v>
      </c>
      <c r="N48" s="140">
        <f t="shared" si="27"/>
        <v>-11250</v>
      </c>
      <c r="O48" s="140">
        <f t="shared" si="27"/>
        <v>-11250</v>
      </c>
      <c r="P48" s="140">
        <f t="shared" si="27"/>
        <v>-15000</v>
      </c>
      <c r="Q48" s="140">
        <f t="shared" si="27"/>
        <v>-15000</v>
      </c>
      <c r="R48" s="140">
        <f t="shared" si="27"/>
        <v>-15000</v>
      </c>
      <c r="S48" s="140">
        <f t="shared" si="27"/>
        <v>-9000</v>
      </c>
      <c r="T48" s="140">
        <f t="shared" si="27"/>
        <v>-9000</v>
      </c>
      <c r="U48" s="140">
        <f t="shared" si="27"/>
        <v>-4500</v>
      </c>
      <c r="V48" s="140">
        <f t="shared" si="27"/>
        <v>-4500</v>
      </c>
      <c r="W48" s="140">
        <f t="shared" si="27"/>
        <v>-5243.75</v>
      </c>
      <c r="X48" s="140">
        <f t="shared" si="27"/>
        <v>6856.25</v>
      </c>
      <c r="Y48" s="140">
        <f t="shared" si="27"/>
        <v>6856.25</v>
      </c>
      <c r="Z48" s="140">
        <f t="shared" si="27"/>
        <v>8356.25</v>
      </c>
      <c r="AA48" s="140">
        <f t="shared" si="27"/>
        <v>8356.25</v>
      </c>
      <c r="AB48" s="140">
        <f t="shared" si="27"/>
        <v>8356.25</v>
      </c>
      <c r="AC48" s="140">
        <f t="shared" si="27"/>
        <v>8299.4375</v>
      </c>
      <c r="AD48" s="140">
        <f t="shared" si="27"/>
        <v>8299.4375</v>
      </c>
      <c r="AE48" s="140">
        <f t="shared" si="27"/>
        <v>8299.4375</v>
      </c>
      <c r="AF48" s="140">
        <f t="shared" si="27"/>
        <v>8411.9375</v>
      </c>
      <c r="AG48" s="140">
        <f t="shared" si="27"/>
        <v>8411.9375</v>
      </c>
      <c r="AH48" s="140">
        <f t="shared" si="27"/>
        <v>8411.9375</v>
      </c>
      <c r="AI48" s="140">
        <f t="shared" si="27"/>
        <v>8516.9375</v>
      </c>
      <c r="AJ48" s="140">
        <f t="shared" si="27"/>
        <v>8516.9375</v>
      </c>
      <c r="AK48" s="140">
        <f t="shared" si="27"/>
        <v>8516.9375</v>
      </c>
      <c r="AL48" s="140">
        <f t="shared" si="27"/>
        <v>8591.9375</v>
      </c>
      <c r="AM48" s="140">
        <f t="shared" si="27"/>
        <v>8816.9375</v>
      </c>
      <c r="AN48" s="140">
        <f t="shared" si="27"/>
        <v>8816.9375</v>
      </c>
      <c r="AO48" s="140">
        <f t="shared" si="27"/>
        <v>8758.4206250000007</v>
      </c>
      <c r="AP48" s="140">
        <f t="shared" si="27"/>
        <v>8758.4206250000007</v>
      </c>
      <c r="AQ48" s="140">
        <f t="shared" si="27"/>
        <v>8758.4206250000007</v>
      </c>
      <c r="AR48" s="140">
        <f t="shared" si="27"/>
        <v>8876.5456250000007</v>
      </c>
      <c r="AS48" s="140">
        <f t="shared" si="27"/>
        <v>8876.5456250000007</v>
      </c>
      <c r="AT48" s="140">
        <f t="shared" si="27"/>
        <v>8876.5456250000007</v>
      </c>
      <c r="AU48" s="140">
        <f t="shared" si="27"/>
        <v>8986.9456250000003</v>
      </c>
      <c r="AV48" s="140">
        <f t="shared" si="27"/>
        <v>8986.9456250000003</v>
      </c>
      <c r="AW48" s="140">
        <f t="shared" si="27"/>
        <v>8986.9456250000003</v>
      </c>
      <c r="AX48" s="140">
        <f t="shared" si="27"/>
        <v>9065.6956250000003</v>
      </c>
      <c r="AY48" s="140">
        <f t="shared" si="27"/>
        <v>9301.9456250000003</v>
      </c>
      <c r="AZ48" s="140">
        <f t="shared" si="27"/>
        <v>9301.9456250000003</v>
      </c>
      <c r="BA48" s="140">
        <f t="shared" si="27"/>
        <v>9241.6732437499995</v>
      </c>
      <c r="BB48" s="140">
        <f t="shared" si="27"/>
        <v>9241.6732437499995</v>
      </c>
      <c r="BC48" s="140">
        <f t="shared" si="27"/>
        <v>9241.6732437499995</v>
      </c>
      <c r="BD48" s="140">
        <f t="shared" si="27"/>
        <v>9365.7044937499995</v>
      </c>
      <c r="BE48" s="140">
        <f t="shared" si="27"/>
        <v>9365.7044937499995</v>
      </c>
      <c r="BF48" s="140">
        <f t="shared" si="27"/>
        <v>9365.7044937499995</v>
      </c>
      <c r="BG48" s="140">
        <f t="shared" si="27"/>
        <v>9481.7789937500002</v>
      </c>
      <c r="BH48" s="140">
        <f t="shared" si="27"/>
        <v>9481.7789937500002</v>
      </c>
      <c r="BI48" s="140">
        <f t="shared" si="27"/>
        <v>9481.7789937500002</v>
      </c>
      <c r="BJ48" s="140">
        <f t="shared" si="27"/>
        <v>9564.4664937500002</v>
      </c>
      <c r="BK48" s="140">
        <f t="shared" si="27"/>
        <v>9812.528993750002</v>
      </c>
      <c r="BL48" s="140">
        <f t="shared" si="27"/>
        <v>9812.528993750002</v>
      </c>
      <c r="BM48" s="140">
        <f t="shared" si="27"/>
        <v>9750.4484410625009</v>
      </c>
      <c r="BN48" s="140">
        <f t="shared" si="27"/>
        <v>9750.4484410625009</v>
      </c>
      <c r="BO48" s="140">
        <f t="shared" si="27"/>
        <v>9750.4484410625009</v>
      </c>
      <c r="BP48" s="140">
        <f t="shared" si="27"/>
        <v>9880.6812535624995</v>
      </c>
      <c r="BQ48" s="140">
        <f t="shared" si="27"/>
        <v>9880.6812535624995</v>
      </c>
      <c r="BR48" s="140">
        <f t="shared" si="27"/>
        <v>9880.6812535624995</v>
      </c>
      <c r="BS48" s="140">
        <f t="shared" ref="BS48:DS48" si="28">BS40+BS41+BS42-BS44+BS46+BS37</f>
        <v>10002.718613562502</v>
      </c>
      <c r="BT48" s="140">
        <f t="shared" si="28"/>
        <v>10002.718613562502</v>
      </c>
      <c r="BU48" s="140">
        <f t="shared" si="28"/>
        <v>10002.718613562502</v>
      </c>
      <c r="BV48" s="140">
        <f t="shared" si="28"/>
        <v>10089.540488562503</v>
      </c>
      <c r="BW48" s="140">
        <f t="shared" si="28"/>
        <v>10350.006113562502</v>
      </c>
      <c r="BX48" s="140">
        <f t="shared" si="28"/>
        <v>10350.006113562502</v>
      </c>
      <c r="BY48" s="140">
        <f t="shared" si="28"/>
        <v>10286.063144294376</v>
      </c>
      <c r="BZ48" s="140">
        <f t="shared" si="28"/>
        <v>10286.063144294376</v>
      </c>
      <c r="CA48" s="140">
        <f t="shared" si="28"/>
        <v>10286.063144294376</v>
      </c>
      <c r="CB48" s="140">
        <f t="shared" si="28"/>
        <v>10422.807597419376</v>
      </c>
      <c r="CC48" s="140">
        <f t="shared" si="28"/>
        <v>10422.807597419376</v>
      </c>
      <c r="CD48" s="140">
        <f t="shared" si="28"/>
        <v>10422.807597419376</v>
      </c>
      <c r="CE48" s="140">
        <f t="shared" si="28"/>
        <v>10551.110734469377</v>
      </c>
      <c r="CF48" s="140">
        <f t="shared" si="28"/>
        <v>10551.110734469377</v>
      </c>
      <c r="CG48" s="140">
        <f t="shared" si="28"/>
        <v>10551.110734469377</v>
      </c>
      <c r="CH48" s="140">
        <f t="shared" si="28"/>
        <v>10642.273703219376</v>
      </c>
      <c r="CI48" s="140">
        <f t="shared" si="28"/>
        <v>10915.762609469377</v>
      </c>
      <c r="CJ48" s="140">
        <f t="shared" si="28"/>
        <v>10915.762609469377</v>
      </c>
      <c r="CK48" s="140">
        <f t="shared" si="28"/>
        <v>10849.901351123208</v>
      </c>
      <c r="CL48" s="140">
        <f t="shared" si="28"/>
        <v>10849.901351123208</v>
      </c>
      <c r="CM48" s="140">
        <f t="shared" si="28"/>
        <v>10849.901351123208</v>
      </c>
      <c r="CN48" s="140">
        <f t="shared" si="28"/>
        <v>10993.483026904458</v>
      </c>
      <c r="CO48" s="140">
        <f t="shared" si="28"/>
        <v>10993.483026904458</v>
      </c>
      <c r="CP48" s="140">
        <f t="shared" si="28"/>
        <v>10993.483026904458</v>
      </c>
      <c r="CQ48" s="140">
        <f t="shared" si="28"/>
        <v>11128.370147128458</v>
      </c>
      <c r="CR48" s="140">
        <f t="shared" si="28"/>
        <v>11128.370147128458</v>
      </c>
      <c r="CS48" s="140">
        <f t="shared" si="28"/>
        <v>11128.370147128458</v>
      </c>
      <c r="CT48" s="140">
        <f t="shared" si="28"/>
        <v>11224.091264315957</v>
      </c>
      <c r="CU48" s="140">
        <f t="shared" si="28"/>
        <v>11511.254615878457</v>
      </c>
      <c r="CV48" s="140">
        <f t="shared" si="28"/>
        <v>11511.254615878457</v>
      </c>
      <c r="CW48" s="140">
        <f t="shared" si="28"/>
        <v>11443.417519781904</v>
      </c>
      <c r="CX48" s="140">
        <f t="shared" si="28"/>
        <v>11443.417519781904</v>
      </c>
      <c r="CY48" s="140">
        <f t="shared" si="28"/>
        <v>11443.417519781904</v>
      </c>
      <c r="CZ48" s="140">
        <f t="shared" si="28"/>
        <v>11594.178279352216</v>
      </c>
      <c r="DA48" s="140">
        <f t="shared" si="28"/>
        <v>11594.178279352216</v>
      </c>
      <c r="DB48" s="140">
        <f t="shared" si="28"/>
        <v>11594.178279352216</v>
      </c>
      <c r="DC48" s="140">
        <f t="shared" si="28"/>
        <v>11735.983646698562</v>
      </c>
      <c r="DD48" s="140">
        <f t="shared" si="28"/>
        <v>11735.983646698562</v>
      </c>
      <c r="DE48" s="140">
        <f t="shared" si="28"/>
        <v>11735.983646698562</v>
      </c>
      <c r="DF48" s="140">
        <f t="shared" si="28"/>
        <v>11836.490819745435</v>
      </c>
      <c r="DG48" s="140">
        <f t="shared" si="28"/>
        <v>12138.012338886063</v>
      </c>
      <c r="DH48" s="140">
        <f t="shared" si="28"/>
        <v>12138.012338886063</v>
      </c>
      <c r="DI48" s="140">
        <f t="shared" si="28"/>
        <v>12068.140129906613</v>
      </c>
      <c r="DJ48" s="140">
        <f t="shared" si="28"/>
        <v>12068.140129906613</v>
      </c>
      <c r="DK48" s="140">
        <f t="shared" si="28"/>
        <v>12068.140129906613</v>
      </c>
      <c r="DL48" s="140">
        <f t="shared" si="28"/>
        <v>12226.438927455441</v>
      </c>
      <c r="DM48" s="140">
        <f t="shared" si="28"/>
        <v>12226.438927455441</v>
      </c>
      <c r="DN48" s="140">
        <f t="shared" si="28"/>
        <v>12226.438927455441</v>
      </c>
      <c r="DO48" s="140">
        <f t="shared" si="28"/>
        <v>12375.513671013583</v>
      </c>
      <c r="DP48" s="140">
        <f t="shared" si="28"/>
        <v>12375.513671013583</v>
      </c>
      <c r="DQ48" s="140">
        <f t="shared" si="28"/>
        <v>12375.513671013583</v>
      </c>
      <c r="DR48" s="140">
        <f t="shared" si="28"/>
        <v>12481.046202712801</v>
      </c>
      <c r="DS48" s="140">
        <f t="shared" si="28"/>
        <v>12797.643797810457</v>
      </c>
      <c r="DT48" s="140">
        <f>DT40+DT41+DT42-DT44+DT46+DT37</f>
        <v>12797.643797810457</v>
      </c>
      <c r="DU48" s="140">
        <f t="shared" ref="DU48" si="29">DU40+DU41+DU42-DU44+DU46+DU37</f>
        <v>3119825.6407458661</v>
      </c>
      <c r="DV48" s="141"/>
    </row>
    <row r="49" spans="1:126" x14ac:dyDescent="0.2">
      <c r="A49" s="88"/>
      <c r="B49" s="104" t="s">
        <v>14</v>
      </c>
      <c r="C49" s="105"/>
      <c r="D49" s="132">
        <f>MIN(E49:DU49)</f>
        <v>-1959028.90659</v>
      </c>
      <c r="E49" s="134">
        <f>E48</f>
        <v>-1959028.90659</v>
      </c>
      <c r="F49" s="46"/>
      <c r="G49" s="46"/>
      <c r="H49" s="46">
        <f t="shared" ref="H49:BM49" si="30">IF(H48&lt;&gt;0,G49+H48,0)</f>
        <v>-10290.370000000001</v>
      </c>
      <c r="I49" s="46">
        <f t="shared" si="30"/>
        <v>-19290.370000000003</v>
      </c>
      <c r="J49" s="46">
        <f t="shared" si="30"/>
        <v>-28290.370000000003</v>
      </c>
      <c r="K49" s="46">
        <f t="shared" si="30"/>
        <v>-37290.370000000003</v>
      </c>
      <c r="L49" s="46">
        <f t="shared" si="30"/>
        <v>-45540.37</v>
      </c>
      <c r="M49" s="46">
        <f t="shared" si="30"/>
        <v>-53790.37</v>
      </c>
      <c r="N49" s="46">
        <f t="shared" si="30"/>
        <v>-65040.37</v>
      </c>
      <c r="O49" s="46">
        <f t="shared" si="30"/>
        <v>-76290.37</v>
      </c>
      <c r="P49" s="46">
        <f t="shared" si="30"/>
        <v>-91290.37</v>
      </c>
      <c r="Q49" s="46">
        <f t="shared" si="30"/>
        <v>-106290.37</v>
      </c>
      <c r="R49" s="46">
        <f t="shared" si="30"/>
        <v>-121290.37</v>
      </c>
      <c r="S49" s="46">
        <f t="shared" si="30"/>
        <v>-130290.37</v>
      </c>
      <c r="T49" s="46">
        <f t="shared" si="30"/>
        <v>-139290.37</v>
      </c>
      <c r="U49" s="46">
        <f t="shared" si="30"/>
        <v>-143790.37</v>
      </c>
      <c r="V49" s="46">
        <f t="shared" si="30"/>
        <v>-148290.37</v>
      </c>
      <c r="W49" s="46">
        <f t="shared" si="30"/>
        <v>-153534.12</v>
      </c>
      <c r="X49" s="46">
        <f t="shared" si="30"/>
        <v>-146677.87</v>
      </c>
      <c r="Y49" s="46">
        <f t="shared" si="30"/>
        <v>-139821.62</v>
      </c>
      <c r="Z49" s="46">
        <f t="shared" si="30"/>
        <v>-131465.37</v>
      </c>
      <c r="AA49" s="46"/>
      <c r="AB49" s="46"/>
      <c r="AC49" s="46"/>
      <c r="AD49" s="46">
        <f t="shared" si="30"/>
        <v>8299.4375</v>
      </c>
      <c r="AE49" s="46">
        <f t="shared" si="30"/>
        <v>16598.875</v>
      </c>
      <c r="AF49" s="46">
        <f t="shared" si="30"/>
        <v>25010.8125</v>
      </c>
      <c r="AG49" s="46">
        <f t="shared" si="30"/>
        <v>33422.75</v>
      </c>
      <c r="AH49" s="46">
        <f t="shared" si="30"/>
        <v>41834.6875</v>
      </c>
      <c r="AI49" s="46">
        <f t="shared" si="30"/>
        <v>50351.625</v>
      </c>
      <c r="AJ49" s="46">
        <f t="shared" si="30"/>
        <v>58868.5625</v>
      </c>
      <c r="AK49" s="46">
        <f t="shared" si="30"/>
        <v>67385.5</v>
      </c>
      <c r="AL49" s="46">
        <f t="shared" si="30"/>
        <v>75977.4375</v>
      </c>
      <c r="AM49" s="46">
        <f t="shared" si="30"/>
        <v>84794.375</v>
      </c>
      <c r="AN49" s="46">
        <f t="shared" si="30"/>
        <v>93611.3125</v>
      </c>
      <c r="AO49" s="46">
        <f t="shared" si="30"/>
        <v>102369.733125</v>
      </c>
      <c r="AP49" s="46">
        <f t="shared" si="30"/>
        <v>111128.15375</v>
      </c>
      <c r="AQ49" s="46">
        <f t="shared" si="30"/>
        <v>119886.574375</v>
      </c>
      <c r="AR49" s="46">
        <f t="shared" si="30"/>
        <v>128763.12</v>
      </c>
      <c r="AS49" s="46">
        <f t="shared" si="30"/>
        <v>137639.66562499999</v>
      </c>
      <c r="AT49" s="46">
        <f t="shared" si="30"/>
        <v>146516.21124999999</v>
      </c>
      <c r="AU49" s="46">
        <f t="shared" si="30"/>
        <v>155503.15687499999</v>
      </c>
      <c r="AV49" s="46">
        <f t="shared" si="30"/>
        <v>164490.10249999998</v>
      </c>
      <c r="AW49" s="46">
        <f t="shared" si="30"/>
        <v>173477.04812499997</v>
      </c>
      <c r="AX49" s="46">
        <f t="shared" si="30"/>
        <v>182542.74374999997</v>
      </c>
      <c r="AY49" s="46">
        <f t="shared" si="30"/>
        <v>191844.68937499996</v>
      </c>
      <c r="AZ49" s="46">
        <f t="shared" si="30"/>
        <v>201146.63499999995</v>
      </c>
      <c r="BA49" s="46">
        <f t="shared" si="30"/>
        <v>210388.30824374995</v>
      </c>
      <c r="BB49" s="46">
        <f t="shared" si="30"/>
        <v>219629.98148749996</v>
      </c>
      <c r="BC49" s="46">
        <f t="shared" si="30"/>
        <v>228871.65473124996</v>
      </c>
      <c r="BD49" s="46">
        <f t="shared" si="30"/>
        <v>238237.35922499996</v>
      </c>
      <c r="BE49" s="46">
        <f t="shared" si="30"/>
        <v>247603.06371874997</v>
      </c>
      <c r="BF49" s="46">
        <f t="shared" si="30"/>
        <v>256968.76821249997</v>
      </c>
      <c r="BG49" s="46">
        <f t="shared" si="30"/>
        <v>266450.54720624996</v>
      </c>
      <c r="BH49" s="46">
        <f t="shared" si="30"/>
        <v>275932.32619999995</v>
      </c>
      <c r="BI49" s="46">
        <f t="shared" si="30"/>
        <v>285414.10519374994</v>
      </c>
      <c r="BJ49" s="46">
        <f t="shared" si="30"/>
        <v>294978.57168749993</v>
      </c>
      <c r="BK49" s="46">
        <f t="shared" si="30"/>
        <v>304791.10068124993</v>
      </c>
      <c r="BL49" s="46">
        <f t="shared" si="30"/>
        <v>314603.62967499992</v>
      </c>
      <c r="BM49" s="46">
        <f t="shared" si="30"/>
        <v>324354.07811606245</v>
      </c>
      <c r="BN49" s="46">
        <f>IF(BN48&lt;&gt;0,BM49+BN48,0)</f>
        <v>334104.52655712492</v>
      </c>
      <c r="BO49" s="46">
        <f t="shared" ref="BO49:DU49" si="31">IF(BO48&lt;&gt;0,BN49+BO48,0)</f>
        <v>343854.97499818739</v>
      </c>
      <c r="BP49" s="46">
        <f t="shared" si="31"/>
        <v>353735.6562517499</v>
      </c>
      <c r="BQ49" s="46">
        <f t="shared" si="31"/>
        <v>363616.3375053124</v>
      </c>
      <c r="BR49" s="46">
        <f t="shared" si="31"/>
        <v>373497.01875887491</v>
      </c>
      <c r="BS49" s="46">
        <f t="shared" si="31"/>
        <v>383499.73737243743</v>
      </c>
      <c r="BT49" s="46">
        <f t="shared" si="31"/>
        <v>393502.45598599996</v>
      </c>
      <c r="BU49" s="46">
        <f t="shared" si="31"/>
        <v>403505.17459956248</v>
      </c>
      <c r="BV49" s="46">
        <f t="shared" si="31"/>
        <v>413594.71508812497</v>
      </c>
      <c r="BW49" s="46">
        <f t="shared" si="31"/>
        <v>423944.72120168747</v>
      </c>
      <c r="BX49" s="46">
        <f t="shared" si="31"/>
        <v>434294.72731524997</v>
      </c>
      <c r="BY49" s="46">
        <f t="shared" si="31"/>
        <v>444580.79045954434</v>
      </c>
      <c r="BZ49" s="46">
        <f t="shared" si="31"/>
        <v>454866.85360383871</v>
      </c>
      <c r="CA49" s="46">
        <f t="shared" si="31"/>
        <v>465152.91674813308</v>
      </c>
      <c r="CB49" s="46">
        <f t="shared" si="31"/>
        <v>475575.72434555244</v>
      </c>
      <c r="CC49" s="46">
        <f t="shared" si="31"/>
        <v>485998.53194297181</v>
      </c>
      <c r="CD49" s="46">
        <f t="shared" si="31"/>
        <v>496421.33954039117</v>
      </c>
      <c r="CE49" s="46">
        <f t="shared" si="31"/>
        <v>506972.45027486054</v>
      </c>
      <c r="CF49" s="46">
        <f t="shared" si="31"/>
        <v>517523.56100932992</v>
      </c>
      <c r="CG49" s="46">
        <f t="shared" si="31"/>
        <v>528074.67174379935</v>
      </c>
      <c r="CH49" s="46">
        <f t="shared" si="31"/>
        <v>538716.94544701872</v>
      </c>
      <c r="CI49" s="46">
        <f t="shared" si="31"/>
        <v>549632.70805648807</v>
      </c>
      <c r="CJ49" s="46">
        <f t="shared" si="31"/>
        <v>560548.47066595743</v>
      </c>
      <c r="CK49" s="46">
        <f t="shared" si="31"/>
        <v>571398.37201708066</v>
      </c>
      <c r="CL49" s="46">
        <f t="shared" si="31"/>
        <v>582248.2733682039</v>
      </c>
      <c r="CM49" s="46">
        <f t="shared" si="31"/>
        <v>593098.17471932713</v>
      </c>
      <c r="CN49" s="46">
        <f t="shared" si="31"/>
        <v>604091.65774623153</v>
      </c>
      <c r="CO49" s="46">
        <f t="shared" si="31"/>
        <v>615085.14077313594</v>
      </c>
      <c r="CP49" s="46">
        <f t="shared" si="31"/>
        <v>626078.62380004034</v>
      </c>
      <c r="CQ49" s="46">
        <f t="shared" si="31"/>
        <v>637206.99394716881</v>
      </c>
      <c r="CR49" s="46">
        <f t="shared" si="31"/>
        <v>648335.36409429729</v>
      </c>
      <c r="CS49" s="46">
        <f t="shared" si="31"/>
        <v>659463.73424142576</v>
      </c>
      <c r="CT49" s="46">
        <f t="shared" si="31"/>
        <v>670687.82550574176</v>
      </c>
      <c r="CU49" s="46">
        <f t="shared" si="31"/>
        <v>682199.08012162021</v>
      </c>
      <c r="CV49" s="46">
        <f t="shared" si="31"/>
        <v>693710.33473749866</v>
      </c>
      <c r="CW49" s="46">
        <f t="shared" si="31"/>
        <v>705153.75225728052</v>
      </c>
      <c r="CX49" s="46">
        <f t="shared" si="31"/>
        <v>716597.16977706237</v>
      </c>
      <c r="CY49" s="46">
        <f t="shared" si="31"/>
        <v>728040.58729684423</v>
      </c>
      <c r="CZ49" s="46">
        <f t="shared" si="31"/>
        <v>739634.76557619649</v>
      </c>
      <c r="DA49" s="46">
        <f t="shared" si="31"/>
        <v>751228.94385554874</v>
      </c>
      <c r="DB49" s="46">
        <f t="shared" si="31"/>
        <v>762823.122134901</v>
      </c>
      <c r="DC49" s="46">
        <f t="shared" si="31"/>
        <v>774559.10578159953</v>
      </c>
      <c r="DD49" s="46">
        <f t="shared" si="31"/>
        <v>786295.08942829806</v>
      </c>
      <c r="DE49" s="46">
        <f t="shared" si="31"/>
        <v>798031.07307499659</v>
      </c>
      <c r="DF49" s="46">
        <f t="shared" si="31"/>
        <v>809867.56389474205</v>
      </c>
      <c r="DG49" s="46">
        <f t="shared" si="31"/>
        <v>822005.57623362809</v>
      </c>
      <c r="DH49" s="46">
        <f t="shared" si="31"/>
        <v>834143.58857251413</v>
      </c>
      <c r="DI49" s="46">
        <f t="shared" si="31"/>
        <v>846211.72870242072</v>
      </c>
      <c r="DJ49" s="46">
        <f t="shared" si="31"/>
        <v>858279.86883232731</v>
      </c>
      <c r="DK49" s="46">
        <f t="shared" si="31"/>
        <v>870348.0089622339</v>
      </c>
      <c r="DL49" s="46">
        <f t="shared" si="31"/>
        <v>882574.44788968936</v>
      </c>
      <c r="DM49" s="46">
        <f t="shared" si="31"/>
        <v>894800.88681714481</v>
      </c>
      <c r="DN49" s="46">
        <f t="shared" si="31"/>
        <v>907027.32574460027</v>
      </c>
      <c r="DO49" s="46">
        <f t="shared" si="31"/>
        <v>919402.83941561379</v>
      </c>
      <c r="DP49" s="46">
        <f t="shared" si="31"/>
        <v>931778.35308662732</v>
      </c>
      <c r="DQ49" s="46">
        <f t="shared" si="31"/>
        <v>944153.86675764085</v>
      </c>
      <c r="DR49" s="46">
        <f t="shared" si="31"/>
        <v>956634.91296035366</v>
      </c>
      <c r="DS49" s="46">
        <f t="shared" si="31"/>
        <v>969432.55675816408</v>
      </c>
      <c r="DT49" s="46">
        <f t="shared" si="31"/>
        <v>982230.2005559745</v>
      </c>
      <c r="DU49" s="46">
        <f t="shared" si="31"/>
        <v>4102055.8413018407</v>
      </c>
      <c r="DV49" s="135"/>
    </row>
    <row r="50" spans="1:126" x14ac:dyDescent="0.2">
      <c r="A50" s="88"/>
      <c r="B50" s="106" t="s">
        <v>130</v>
      </c>
      <c r="C50" s="107">
        <f>XIRR(E48:DU48,E3:DU3,0.1)</f>
        <v>7.9366973042488118E-2</v>
      </c>
      <c r="D50" s="132"/>
      <c r="E50" s="134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135"/>
    </row>
    <row r="51" spans="1:126" x14ac:dyDescent="0.2">
      <c r="A51" s="88"/>
      <c r="B51" s="108" t="s">
        <v>131</v>
      </c>
      <c r="C51" s="109">
        <f>SUMIF(E48:DU48,"&gt;0",E48:DU48)/-SUMIF(E48:DU48,"&lt;0",E48:DU48)</f>
        <v>1.9450805865910132</v>
      </c>
      <c r="D51" s="132"/>
      <c r="E51" s="134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135"/>
    </row>
    <row r="52" spans="1:126" x14ac:dyDescent="0.2">
      <c r="A52" s="88"/>
      <c r="B52" s="110"/>
      <c r="C52" s="44"/>
      <c r="D52" s="132"/>
      <c r="E52" s="134"/>
      <c r="F52" s="275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135"/>
    </row>
    <row r="53" spans="1:126" x14ac:dyDescent="0.2">
      <c r="A53" s="88"/>
      <c r="B53" s="276" t="s">
        <v>28</v>
      </c>
      <c r="C53" s="7"/>
      <c r="D53" s="132">
        <f>Summary!H50</f>
        <v>1015507.0572299999</v>
      </c>
      <c r="E53" s="134">
        <f>IF(-E48&gt;D53,D53,IF(-E48&lt;D53,-E48,0))</f>
        <v>1015507.0572299999</v>
      </c>
      <c r="F53" s="46">
        <f>IF(F48&gt;0,0,IF(SUM($E$53:E53)-$D$53&gt;=0,0,MIN(-F48,$D$53-SUM($E$53:E53))))</f>
        <v>0</v>
      </c>
      <c r="G53" s="46">
        <f>IF(G48&gt;0,0,IF(SUM($E$53:F53)-$D$53&gt;=0,0,MIN(-G48,$D$53-SUM($E$53:F53))))</f>
        <v>0</v>
      </c>
      <c r="H53" s="46">
        <f>IF(H48&gt;0,0,IF(SUM($E$53:G53)-$D$53&gt;=0,0,MIN(-H48,$D$53-SUM($E$53:G53))))</f>
        <v>0</v>
      </c>
      <c r="I53" s="46">
        <f>IF(I48&gt;0,0,IF(SUM($E$53:H53)-$D$53&gt;=0,0,MIN(-I48,$D$53-SUM($E$53:H53))))</f>
        <v>0</v>
      </c>
      <c r="J53" s="46">
        <f>IF(J48&gt;0,0,IF(SUM($E$53:I53)-$D$53&gt;=0,0,MIN(-J48,$D$53-SUM($E$53:I53))))</f>
        <v>0</v>
      </c>
      <c r="K53" s="46">
        <f>IF(K48&gt;0,0,IF(SUM($E$53:J53)-$D$53&gt;=0,0,MIN(-K48,$D$53-SUM($E$53:J53))))</f>
        <v>0</v>
      </c>
      <c r="L53" s="46">
        <f>IF(L48&gt;0,0,IF(SUM($E$53:K53)-$D$53&gt;=0,0,MIN(-L48,$D$53-SUM($E$53:K53))))</f>
        <v>0</v>
      </c>
      <c r="M53" s="46">
        <f>IF(M48&gt;0,0,IF(SUM($E$53:L53)-$D$53&gt;=0,0,MIN(-M48,$D$53-SUM($E$53:L53))))</f>
        <v>0</v>
      </c>
      <c r="N53" s="46">
        <f>IF(N48&gt;0,0,IF(SUM($E$53:M53)-$D$53&gt;=0,0,MIN(-N48,$D$53-SUM($E$53:M53))))</f>
        <v>0</v>
      </c>
      <c r="O53" s="46">
        <f>IF(O48&gt;0,0,IF(SUM($E$53:N53)-$D$53&gt;=0,0,MIN(-O48,$D$53-SUM($E$53:N53))))</f>
        <v>0</v>
      </c>
      <c r="P53" s="46">
        <f>IF(P48&gt;0,0,IF(SUM($E$53:O53)-$D$53&gt;=0,0,MIN(-P48,$D$53-SUM($E$53:O53))))</f>
        <v>0</v>
      </c>
      <c r="Q53" s="46">
        <f>IF(Q48&gt;0,0,IF(SUM($E$53:P53)-$D$53&gt;=0,0,MIN(-Q48,$D$53-SUM($E$53:P53))))</f>
        <v>0</v>
      </c>
      <c r="R53" s="46">
        <f>IF(R48&gt;0,0,IF(SUM($E$53:Q53)-$D$53&gt;=0,0,MIN(-R48,$D$53-SUM($E$53:Q53))))</f>
        <v>0</v>
      </c>
      <c r="S53" s="46">
        <f>IF(S48&gt;0,0,IF(SUM($E$53:R53)-$D$53&gt;=0,0,MIN(-S48,$D$53-SUM($E$53:R53))))</f>
        <v>0</v>
      </c>
      <c r="T53" s="46">
        <f>IF(T48&gt;0,0,IF(SUM($E$53:S53)-$D$53&gt;=0,0,MIN(-T48,$D$53-SUM($E$53:S53))))</f>
        <v>0</v>
      </c>
      <c r="U53" s="46">
        <f>IF(U48&gt;0,0,IF(SUM($E$53:T53)-$D$53&gt;=0,0,MIN(-U48,$D$53-SUM($E$53:T53))))</f>
        <v>0</v>
      </c>
      <c r="V53" s="46">
        <f>IF(V48&gt;0,0,IF(SUM($E$53:U53)-$D$53&gt;=0,0,MIN(-V48,$D$53-SUM($E$53:U53))))</f>
        <v>0</v>
      </c>
      <c r="W53" s="46">
        <f>IF(W48&gt;0,0,IF(SUM($E$53:V53)-$D$53&gt;=0,0,MIN(-W48,$D$53-SUM($E$53:V53))))</f>
        <v>0</v>
      </c>
      <c r="X53" s="46">
        <f>IF(X48&gt;0,0,IF(SUM($E$53:W53)-$D$53&gt;=0,0,MIN(-X48,$D$53-SUM($E$53:W53))))</f>
        <v>0</v>
      </c>
      <c r="Y53" s="46">
        <f>IF(Y48&gt;0,0,IF(SUM($E$53:X53)-$D$53&gt;=0,0,MIN(-Y48,$D$53-SUM($E$53:X53))))</f>
        <v>0</v>
      </c>
      <c r="Z53" s="46">
        <f>IF(Z48&gt;0,0,IF(SUM($E$53:Y53)-$D$53&gt;=0,0,MIN(-Z48,$D$53-SUM($E$53:Y53))))</f>
        <v>0</v>
      </c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149"/>
    </row>
    <row r="54" spans="1:126" x14ac:dyDescent="0.2">
      <c r="A54" s="88"/>
      <c r="B54" s="276"/>
      <c r="C54" s="44"/>
      <c r="D54" s="132"/>
      <c r="E54" s="134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135"/>
    </row>
    <row r="55" spans="1:126" x14ac:dyDescent="0.2">
      <c r="A55" s="88"/>
      <c r="B55" s="276" t="s">
        <v>133</v>
      </c>
      <c r="C55" s="7"/>
      <c r="D55" s="132">
        <f>SUM(E55:DU55)</f>
        <v>-1117636.7093600002</v>
      </c>
      <c r="E55" s="134">
        <f>IF(E48&gt;0,0,(E48+E53))</f>
        <v>-943521.84936000011</v>
      </c>
      <c r="F55" s="46">
        <f>IF(F48&gt;0,0,(F48+F53))</f>
        <v>-10290.370000000001</v>
      </c>
      <c r="G55" s="46">
        <f t="shared" ref="G55:Z55" si="32">IF(G48&gt;0,0,(G48+G53))</f>
        <v>-10290.370000000001</v>
      </c>
      <c r="H55" s="46">
        <f t="shared" si="32"/>
        <v>-10290.370000000001</v>
      </c>
      <c r="I55" s="46">
        <f t="shared" si="32"/>
        <v>-9000</v>
      </c>
      <c r="J55" s="46">
        <f t="shared" si="32"/>
        <v>-9000</v>
      </c>
      <c r="K55" s="46">
        <f t="shared" si="32"/>
        <v>-9000</v>
      </c>
      <c r="L55" s="46">
        <f t="shared" si="32"/>
        <v>-8250</v>
      </c>
      <c r="M55" s="46">
        <f t="shared" si="32"/>
        <v>-8250</v>
      </c>
      <c r="N55" s="46">
        <f t="shared" si="32"/>
        <v>-11250</v>
      </c>
      <c r="O55" s="46">
        <f t="shared" si="32"/>
        <v>-11250</v>
      </c>
      <c r="P55" s="46">
        <f t="shared" si="32"/>
        <v>-15000</v>
      </c>
      <c r="Q55" s="46">
        <f t="shared" si="32"/>
        <v>-15000</v>
      </c>
      <c r="R55" s="46">
        <f t="shared" si="32"/>
        <v>-15000</v>
      </c>
      <c r="S55" s="46">
        <f t="shared" si="32"/>
        <v>-9000</v>
      </c>
      <c r="T55" s="46">
        <f t="shared" si="32"/>
        <v>-9000</v>
      </c>
      <c r="U55" s="46">
        <f t="shared" si="32"/>
        <v>-4500</v>
      </c>
      <c r="V55" s="46">
        <f t="shared" si="32"/>
        <v>-4500</v>
      </c>
      <c r="W55" s="46">
        <f t="shared" si="32"/>
        <v>-5243.75</v>
      </c>
      <c r="X55" s="46">
        <f t="shared" si="32"/>
        <v>0</v>
      </c>
      <c r="Y55" s="46">
        <f t="shared" si="32"/>
        <v>0</v>
      </c>
      <c r="Z55" s="46">
        <f t="shared" si="32"/>
        <v>0</v>
      </c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149"/>
    </row>
    <row r="56" spans="1:126" x14ac:dyDescent="0.2">
      <c r="A56" s="88"/>
      <c r="B56" s="276" t="s">
        <v>140</v>
      </c>
      <c r="C56" s="7"/>
      <c r="D56" s="132">
        <f>SUM(E56:DU56)</f>
        <v>1117636.7093600002</v>
      </c>
      <c r="E56" s="134">
        <f>-E55</f>
        <v>943521.84936000011</v>
      </c>
      <c r="F56" s="46">
        <f>IF(((-SUM($E$55:F55))&lt;Summary!$H$59),-F55,Summary!$H$59-SUM($E$55:F55))</f>
        <v>10290.370000000001</v>
      </c>
      <c r="G56" s="46">
        <f>IF(((-SUM($E$55:G55))&lt;Summary!$H$59),-G55,Summary!$H$59-SUM($E$55:G55))</f>
        <v>10290.370000000001</v>
      </c>
      <c r="H56" s="46">
        <f>IF(((-SUM($E$55:H55))&lt;Summary!$H$59),-H55,Summary!$H$59-SUM($E$55:H55))</f>
        <v>10290.370000000001</v>
      </c>
      <c r="I56" s="46">
        <f>IF(((-SUM($E$55:I55))&lt;Summary!$H$59),-I55,Summary!$H$59-SUM($E$55:I55))</f>
        <v>9000</v>
      </c>
      <c r="J56" s="46">
        <f>IF(((-SUM($E$55:J55))&lt;Summary!$H$59),-J55,Summary!$H$59-SUM($E$55:J55))</f>
        <v>9000</v>
      </c>
      <c r="K56" s="46">
        <f>IF(((-SUM($E$55:K55))&lt;Summary!$H$59),-K55,Summary!$H$59-SUM($E$55:K55))</f>
        <v>9000</v>
      </c>
      <c r="L56" s="46">
        <f>IF(((-SUM($E$55:L55))&lt;Summary!$H$59),-L55,Summary!$H$59-SUM($E$55:L55))</f>
        <v>8250</v>
      </c>
      <c r="M56" s="46">
        <f>IF(((-SUM($E$55:M55))&lt;Summary!$H$59),-M55,Summary!$H$59-SUM($E$55:M55))</f>
        <v>8250</v>
      </c>
      <c r="N56" s="46">
        <f>IF(((-SUM($E$55:N55))&lt;Summary!$H$59),-N55,Summary!$H$59-SUM($E$55:N55))</f>
        <v>11250</v>
      </c>
      <c r="O56" s="46">
        <f>IF(((-SUM($E$55:O55))&lt;Summary!$H$59),-O55,Summary!$H$59-SUM($E$55:O55))</f>
        <v>11250</v>
      </c>
      <c r="P56" s="46">
        <f>IF(((-SUM($E$55:P55))&lt;Summary!$H$59),-P55,Summary!$H$59-SUM($E$55:P55))</f>
        <v>15000</v>
      </c>
      <c r="Q56" s="46">
        <f>IF(((-SUM($E$55:Q55))&lt;Summary!$H$59),-Q55,Summary!$H$59-SUM($E$55:Q55))</f>
        <v>15000</v>
      </c>
      <c r="R56" s="46">
        <f>IF(((-SUM($E$55:R55))&lt;Summary!$H$59),-R55,Summary!$H$59-SUM($E$55:R55))</f>
        <v>15000</v>
      </c>
      <c r="S56" s="46">
        <f>IF(((-SUM($E$55:S55))&lt;Summary!$H$59),-S55,Summary!$H$59-SUM($E$55:S55))</f>
        <v>9000</v>
      </c>
      <c r="T56" s="46">
        <f>IF(((-SUM($E$55:T55))&lt;Summary!$H$59),-T55,Summary!$H$59-SUM($E$55:T55))</f>
        <v>9000</v>
      </c>
      <c r="U56" s="46">
        <f>IF(((-SUM($E$55:U55))&lt;Summary!$H$59),-U55,Summary!$H$59-SUM($E$55:U55))</f>
        <v>4500</v>
      </c>
      <c r="V56" s="46">
        <f>IF(((-SUM($E$55:V55))&lt;Summary!$H$59),-V55,Summary!$H$59-SUM($E$55:V55))</f>
        <v>4500</v>
      </c>
      <c r="W56" s="46">
        <f>IF(((-SUM($E$55:W55))&lt;Summary!$H$59),-W55,Summary!$H$59-SUM($E$55:W55))</f>
        <v>5243.75</v>
      </c>
      <c r="X56" s="46">
        <f>IF(((-SUM($E$55:X55))&lt;Summary!$H$59),-X55,Summary!$H$59-SUM($E$55:X55))</f>
        <v>0</v>
      </c>
      <c r="Y56" s="46">
        <f>IF(((-SUM($E$55:Y55))&lt;Summary!$H$59),-Y55,Summary!$H$59-SUM($E$55:Y55))</f>
        <v>0</v>
      </c>
      <c r="Z56" s="46">
        <f>IF(((-SUM($E$55:Z55))&lt;Summary!$H$59),-Z55,Summary!$H$59-SUM($E$55:Z55))</f>
        <v>0</v>
      </c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149"/>
    </row>
    <row r="57" spans="1:126" x14ac:dyDescent="0.2">
      <c r="A57" s="88"/>
      <c r="B57" s="276"/>
      <c r="C57" s="44"/>
      <c r="D57" s="132"/>
      <c r="E57" s="134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135"/>
    </row>
    <row r="58" spans="1:126" x14ac:dyDescent="0.2">
      <c r="A58" s="88"/>
      <c r="B58" s="276"/>
      <c r="C58" s="44"/>
      <c r="D58" s="132"/>
      <c r="E58" s="134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135"/>
    </row>
    <row r="59" spans="1:126" x14ac:dyDescent="0.2">
      <c r="A59" s="88"/>
      <c r="B59" s="276"/>
      <c r="C59" s="44"/>
      <c r="D59" s="132"/>
      <c r="E59" s="13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135"/>
    </row>
    <row r="60" spans="1:126" x14ac:dyDescent="0.2">
      <c r="A60" s="88"/>
      <c r="B60" s="276" t="s">
        <v>85</v>
      </c>
      <c r="C60" s="7"/>
      <c r="D60" s="132">
        <f>SUM(F62:DU62)</f>
        <v>87286.330530000007</v>
      </c>
      <c r="E60" s="134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135"/>
    </row>
    <row r="61" spans="1:126" x14ac:dyDescent="0.2">
      <c r="A61" s="88"/>
      <c r="B61" s="276" t="s">
        <v>84</v>
      </c>
      <c r="C61" s="7"/>
      <c r="D61" s="132">
        <f>SUM(E61:AC61)</f>
        <v>-87286.330530000007</v>
      </c>
      <c r="E61" s="134"/>
      <c r="F61" s="46">
        <f>IF(AND(Summary!$P$36&gt;=F2,Summary!$P$37&gt;F2),-(SUM($E$56:F56)*((Summary!$D$53+Summary!$E$53)/12)),IF(AND(Summary!$P$37-Summary!$P$36&lt;&gt;0,Summary!$P$37&gt;F2),-(SUM($E$56:E56)*((Summary!$D$53+Summary!$E$53)/12)),0))</f>
        <v>-3974.2175806666669</v>
      </c>
      <c r="G61" s="46">
        <f>IF(AND(Summary!$P$36&gt;=G2,Summary!$P$37&gt;G2),-(SUM($E$56:G56)*((Summary!$D$53+Summary!$E$53)/12)),IF(AND(Summary!$P$37-Summary!$P$36&lt;&gt;0,Summary!$P$37&gt;G2),-(SUM($E$56:F56)*((Summary!$D$53+Summary!$E$53)/12)),0))</f>
        <v>-4017.0941223333339</v>
      </c>
      <c r="H61" s="46">
        <f>IF(AND(Summary!$P$36&gt;=H2,Summary!$P$37&gt;H2),-(SUM($E$56:H56)*((Summary!$D$53+Summary!$E$53)/12)),IF(AND(Summary!$P$37-Summary!$P$36&lt;&gt;0,Summary!$P$37&gt;H2),-(SUM($E$56:G56)*((Summary!$D$53+Summary!$E$53)/12)),0))</f>
        <v>-4059.9706640000004</v>
      </c>
      <c r="I61" s="46">
        <f>IF(AND(Summary!$P$36&gt;=I2,Summary!$P$37&gt;I2),-(SUM($E$56:I56)*((Summary!$D$53+Summary!$E$53)/12)),IF(AND(Summary!$P$37-Summary!$P$36&lt;&gt;0,Summary!$P$37&gt;I2),-(SUM($E$56:H56)*((Summary!$D$53+Summary!$E$53)/12)),0))</f>
        <v>-4097.4706640000004</v>
      </c>
      <c r="J61" s="46">
        <f>IF(AND(Summary!$P$36&gt;=J2,Summary!$P$37&gt;J2),-(SUM($E$56:J56)*((Summary!$D$53+Summary!$E$53)/12)),IF(AND(Summary!$P$37-Summary!$P$36&lt;&gt;0,Summary!$P$37&gt;J2),-(SUM($E$56:I56)*((Summary!$D$53+Summary!$E$53)/12)),0))</f>
        <v>-4134.9706640000004</v>
      </c>
      <c r="K61" s="46">
        <f>IF(AND(Summary!$P$36&gt;=K2,Summary!$P$37&gt;K2),-(SUM($E$56:K56)*((Summary!$D$53+Summary!$E$53)/12)),IF(AND(Summary!$P$37-Summary!$P$36&lt;&gt;0,Summary!$P$37&gt;K2),-(SUM($E$56:J56)*((Summary!$D$53+Summary!$E$53)/12)),0))</f>
        <v>-4172.4706640000004</v>
      </c>
      <c r="L61" s="46">
        <f>IF(AND(Summary!$P$36&gt;=L2,Summary!$P$37&gt;L2),-(SUM($E$56:L56)*((Summary!$D$53+Summary!$E$53)/12)),IF(AND(Summary!$P$37-Summary!$P$36&lt;&gt;0,Summary!$P$37&gt;L2),-(SUM($E$56:K56)*((Summary!$D$53+Summary!$E$53)/12)),0))</f>
        <v>-4206.8456640000004</v>
      </c>
      <c r="M61" s="46">
        <f>IF(AND(Summary!$P$36&gt;=M2,Summary!$P$37&gt;M2),-(SUM($E$56:M56)*((Summary!$D$53+Summary!$E$53)/12)),IF(AND(Summary!$P$37-Summary!$P$36&lt;&gt;0,Summary!$P$37&gt;M2),-(SUM($E$56:L56)*((Summary!$D$53+Summary!$E$53)/12)),0))</f>
        <v>-4241.2206640000004</v>
      </c>
      <c r="N61" s="46">
        <f>IF(AND(Summary!$P$36&gt;=N2,Summary!$P$37&gt;N2),-(SUM($E$56:N56)*((Summary!$D$53+Summary!$E$53)/12)),IF(AND(Summary!$P$37-Summary!$P$36&lt;&gt;0,Summary!$P$37&gt;N2),-(SUM($E$56:M56)*((Summary!$D$53+Summary!$E$53)/12)),0))</f>
        <v>-4288.0956640000004</v>
      </c>
      <c r="O61" s="46">
        <f>IF(AND(Summary!$P$36&gt;=O2,Summary!$P$37&gt;O2),-(SUM($E$56:O56)*((Summary!$D$53+Summary!$E$53)/12)),IF(AND(Summary!$P$37-Summary!$P$36&lt;&gt;0,Summary!$P$37&gt;O2),-(SUM($E$56:N56)*((Summary!$D$53+Summary!$E$53)/12)),0))</f>
        <v>-4334.9706640000004</v>
      </c>
      <c r="P61" s="46">
        <f>IF(AND(Summary!$P$36&gt;=P2,Summary!$P$37&gt;P2),-(SUM($E$56:P56)*((Summary!$D$53+Summary!$E$53)/12)),IF(AND(Summary!$P$37-Summary!$P$36&lt;&gt;0,Summary!$P$37&gt;P2),-(SUM($E$56:O56)*((Summary!$D$53+Summary!$E$53)/12)),0))</f>
        <v>-4397.4706640000004</v>
      </c>
      <c r="Q61" s="46">
        <f>IF(AND(Summary!$P$36&gt;=Q2,Summary!$P$37&gt;Q2),-(SUM($E$56:Q56)*((Summary!$D$53+Summary!$E$53)/12)),IF(AND(Summary!$P$37-Summary!$P$36&lt;&gt;0,Summary!$P$37&gt;Q2),-(SUM($E$56:P56)*((Summary!$D$53+Summary!$E$53)/12)),0))</f>
        <v>-4459.9706640000004</v>
      </c>
      <c r="R61" s="46">
        <f>IF(AND(Summary!$P$36&gt;=R2,Summary!$P$37&gt;R2),-(SUM($E$56:R56)*((Summary!$D$53+Summary!$E$53)/12)),IF(AND(Summary!$P$37-Summary!$P$36&lt;&gt;0,Summary!$P$37&gt;R2),-(SUM($E$56:Q56)*((Summary!$D$53+Summary!$E$53)/12)),0))</f>
        <v>-4522.4706640000004</v>
      </c>
      <c r="S61" s="46">
        <f>IF(AND(Summary!$P$36&gt;=S2,Summary!$P$37&gt;S2),-(SUM($E$56:S56)*((Summary!$D$53+Summary!$E$53)/12)),IF(AND(Summary!$P$37-Summary!$P$36&lt;&gt;0,Summary!$P$37&gt;S2),-(SUM($E$56:R56)*((Summary!$D$53+Summary!$E$53)/12)),0))</f>
        <v>-4559.9706640000004</v>
      </c>
      <c r="T61" s="46">
        <f>IF(AND(Summary!$P$36&gt;=T2,Summary!$P$37&gt;T2),-(SUM($E$56:T56)*((Summary!$D$53+Summary!$E$53)/12)),IF(AND(Summary!$P$37-Summary!$P$36&lt;&gt;0,Summary!$P$37&gt;T2),-(SUM($E$56:S56)*((Summary!$D$53+Summary!$E$53)/12)),0))</f>
        <v>-4597.4706640000004</v>
      </c>
      <c r="U61" s="46">
        <f>IF(AND(Summary!$P$36&gt;=U2,Summary!$P$37&gt;U2),-(SUM($E$56:U56)*((Summary!$D$53+Summary!$E$53)/12)),IF(AND(Summary!$P$37-Summary!$P$36&lt;&gt;0,Summary!$P$37&gt;U2),-(SUM($E$56:T56)*((Summary!$D$53+Summary!$E$53)/12)),0))</f>
        <v>-4616.2206640000004</v>
      </c>
      <c r="V61" s="46">
        <f>IF(AND(Summary!$P$36&gt;=V2,Summary!$P$37&gt;V2),-(SUM($E$56:V56)*((Summary!$D$53+Summary!$E$53)/12)),IF(AND(Summary!$P$37-Summary!$P$36&lt;&gt;0,Summary!$P$37&gt;V2),-(SUM($E$56:U56)*((Summary!$D$53+Summary!$E$53)/12)),0))</f>
        <v>-4634.9706640000004</v>
      </c>
      <c r="W61" s="46">
        <f>IF(AND(Summary!$P$36&gt;=W2,Summary!$P$37&gt;W2),-(SUM($E$56:W56)*((Summary!$D$53+Summary!$E$53)/12)),IF(AND(Summary!$P$37-Summary!$P$36&lt;&gt;0,Summary!$P$37&gt;W2),-(SUM($E$56:V56)*((Summary!$D$53+Summary!$E$53)/12)),0))</f>
        <v>-4656.8196223333343</v>
      </c>
      <c r="X61" s="46">
        <f>IF(AND(Summary!$P$36&gt;=X2,Summary!$P$37&gt;X2),-(SUM($E$56:X56)*((Summary!$D$53+Summary!$E$53)/12)),IF(AND(Summary!$P$37-Summary!$P$36&lt;&gt;0,Summary!$P$37&gt;X2),-(SUM($E$56:W56)*((Summary!$D$53+Summary!$E$53)/12)),0))</f>
        <v>-4656.8196223333343</v>
      </c>
      <c r="Y61" s="46">
        <f>IF(AND(Summary!$P$36&gt;=Y2,Summary!$P$37&gt;Y2),-(SUM($E$56:Y56)*((Summary!$D$53+Summary!$E$53)/12)),IF(AND(Summary!$P$37-Summary!$P$36&lt;&gt;0,Summary!$P$37&gt;Y2),-(SUM($E$56:X56)*((Summary!$D$53+Summary!$E$53)/12)),0))</f>
        <v>-4656.8196223333343</v>
      </c>
      <c r="Z61" s="46">
        <f>IF(AND(Summary!$P$36&gt;=Z2,Summary!$P$37&gt;Z2),-(SUM($E$56:Z56)*((Summary!$D$53+Summary!$E$53)/12)),IF(AND(Summary!$P$37-Summary!$P$36&lt;&gt;0,Summary!$P$37&gt;Z2),-(SUM($E$56:Y56)*((Summary!$D$53+Summary!$E$53)/12)),0))</f>
        <v>0</v>
      </c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135"/>
    </row>
    <row r="62" spans="1:126" x14ac:dyDescent="0.2">
      <c r="A62" s="88"/>
      <c r="B62" s="276" t="s">
        <v>16</v>
      </c>
      <c r="C62" s="7"/>
      <c r="D62" s="132"/>
      <c r="E62" s="134"/>
      <c r="F62" s="46">
        <f t="shared" ref="F62:K62" si="33">-F61</f>
        <v>3974.2175806666669</v>
      </c>
      <c r="G62" s="46">
        <f t="shared" si="33"/>
        <v>4017.0941223333339</v>
      </c>
      <c r="H62" s="46">
        <f t="shared" si="33"/>
        <v>4059.9706640000004</v>
      </c>
      <c r="I62" s="46">
        <f t="shared" si="33"/>
        <v>4097.4706640000004</v>
      </c>
      <c r="J62" s="46">
        <f t="shared" si="33"/>
        <v>4134.9706640000004</v>
      </c>
      <c r="K62" s="46">
        <f t="shared" si="33"/>
        <v>4172.4706640000004</v>
      </c>
      <c r="L62" s="46">
        <f t="shared" ref="L62:Z62" si="34">-L61</f>
        <v>4206.8456640000004</v>
      </c>
      <c r="M62" s="46">
        <f t="shared" si="34"/>
        <v>4241.2206640000004</v>
      </c>
      <c r="N62" s="46">
        <f t="shared" si="34"/>
        <v>4288.0956640000004</v>
      </c>
      <c r="O62" s="46">
        <f t="shared" si="34"/>
        <v>4334.9706640000004</v>
      </c>
      <c r="P62" s="46">
        <f t="shared" si="34"/>
        <v>4397.4706640000004</v>
      </c>
      <c r="Q62" s="46">
        <f t="shared" si="34"/>
        <v>4459.9706640000004</v>
      </c>
      <c r="R62" s="46">
        <f t="shared" si="34"/>
        <v>4522.4706640000004</v>
      </c>
      <c r="S62" s="46">
        <f t="shared" si="34"/>
        <v>4559.9706640000004</v>
      </c>
      <c r="T62" s="46">
        <f t="shared" si="34"/>
        <v>4597.4706640000004</v>
      </c>
      <c r="U62" s="46">
        <f t="shared" si="34"/>
        <v>4616.2206640000004</v>
      </c>
      <c r="V62" s="46">
        <f t="shared" si="34"/>
        <v>4634.9706640000004</v>
      </c>
      <c r="W62" s="46">
        <f t="shared" si="34"/>
        <v>4656.8196223333343</v>
      </c>
      <c r="X62" s="46">
        <f t="shared" si="34"/>
        <v>4656.8196223333343</v>
      </c>
      <c r="Y62" s="46">
        <f t="shared" si="34"/>
        <v>4656.8196223333343</v>
      </c>
      <c r="Z62" s="46">
        <f t="shared" si="34"/>
        <v>0</v>
      </c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135"/>
    </row>
    <row r="63" spans="1:126" x14ac:dyDescent="0.2">
      <c r="A63" s="88"/>
      <c r="B63" s="276" t="s">
        <v>86</v>
      </c>
      <c r="C63" s="7"/>
      <c r="D63" s="132"/>
      <c r="E63" s="134"/>
      <c r="F63" s="46">
        <f>D61+F62</f>
        <v>-83312.112949333343</v>
      </c>
      <c r="G63" s="46">
        <f>F63+G62</f>
        <v>-79295.018827000007</v>
      </c>
      <c r="H63" s="46">
        <f t="shared" ref="H63:Y63" si="35">G63+H62</f>
        <v>-75235.048162999999</v>
      </c>
      <c r="I63" s="46">
        <f t="shared" si="35"/>
        <v>-71137.577499000006</v>
      </c>
      <c r="J63" s="46">
        <f t="shared" si="35"/>
        <v>-67002.606835000013</v>
      </c>
      <c r="K63" s="46">
        <f t="shared" si="35"/>
        <v>-62830.136171000013</v>
      </c>
      <c r="L63" s="46">
        <f t="shared" si="35"/>
        <v>-58623.290507000012</v>
      </c>
      <c r="M63" s="46">
        <f t="shared" si="35"/>
        <v>-54382.069843000012</v>
      </c>
      <c r="N63" s="46">
        <f t="shared" si="35"/>
        <v>-50093.974179000012</v>
      </c>
      <c r="O63" s="46">
        <f t="shared" si="35"/>
        <v>-45759.003515000011</v>
      </c>
      <c r="P63" s="46">
        <f t="shared" si="35"/>
        <v>-41361.532851000011</v>
      </c>
      <c r="Q63" s="46">
        <f t="shared" si="35"/>
        <v>-36901.56218700001</v>
      </c>
      <c r="R63" s="46">
        <f t="shared" si="35"/>
        <v>-32379.09152300001</v>
      </c>
      <c r="S63" s="46">
        <f t="shared" si="35"/>
        <v>-27819.12085900001</v>
      </c>
      <c r="T63" s="46">
        <f t="shared" si="35"/>
        <v>-23221.650195000009</v>
      </c>
      <c r="U63" s="46">
        <f t="shared" si="35"/>
        <v>-18605.429531000009</v>
      </c>
      <c r="V63" s="46">
        <f t="shared" si="35"/>
        <v>-13970.458867000008</v>
      </c>
      <c r="W63" s="46">
        <f t="shared" si="35"/>
        <v>-9313.6392446666741</v>
      </c>
      <c r="X63" s="46">
        <f t="shared" si="35"/>
        <v>-4656.8196223333398</v>
      </c>
      <c r="Y63" s="46">
        <f t="shared" si="35"/>
        <v>0</v>
      </c>
      <c r="Z63" s="46">
        <f>Y63+Z62</f>
        <v>0</v>
      </c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135"/>
    </row>
    <row r="64" spans="1:126" s="36" customFormat="1" x14ac:dyDescent="0.2">
      <c r="A64" s="88"/>
      <c r="B64" s="102"/>
      <c r="C64" s="7"/>
      <c r="D64" s="132"/>
      <c r="E64" s="134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149"/>
    </row>
    <row r="65" spans="1:126" s="36" customFormat="1" x14ac:dyDescent="0.2">
      <c r="A65" s="88"/>
      <c r="B65" s="102" t="s">
        <v>75</v>
      </c>
      <c r="C65" s="7"/>
      <c r="D65" s="132"/>
      <c r="E65" s="134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>
        <f>IF(Summary!$P$36-Summary!$P$37=0,IF(Z2=Summary!$P$36,+$D$56,0),IF(Z2=Summary!$P$37,+$D$56))</f>
        <v>1117636.7093600002</v>
      </c>
      <c r="AA65" s="46"/>
      <c r="AB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135"/>
    </row>
    <row r="66" spans="1:126" s="36" customFormat="1" x14ac:dyDescent="0.2">
      <c r="A66" s="88"/>
      <c r="B66" s="102"/>
      <c r="C66" s="7"/>
      <c r="D66" s="132"/>
      <c r="E66" s="134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135"/>
    </row>
    <row r="67" spans="1:126" s="36" customFormat="1" x14ac:dyDescent="0.2">
      <c r="A67" s="88"/>
      <c r="B67" s="102" t="s">
        <v>134</v>
      </c>
      <c r="C67" s="7">
        <f>D67</f>
        <v>1671250</v>
      </c>
      <c r="D67" s="132">
        <f>SUM(F67:DU67)</f>
        <v>1671250</v>
      </c>
      <c r="E67" s="134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 cm="1">
        <f t="array" ref="Z67">IF(Summary!$P$36-Summary!$P$37=0,IF(Summary!$P$37=Z2,((HLOOKUP(MAX(Summary!$N$8:$N$15+1),'Cash Flow Statement'!$E$2:$DU$35,34,FALSE)*12)*Summary!$M$35)/(Summary!$K$34),0),IF(Summary!$P$37='Cash Flow Statement'!AC2,((HLOOKUP(MAX(Summary!$N$8:$N$15+1),'Cash Flow Statement'!$E$2:$DU$35,34,FALSE)*12)*Summary!$M$35)/(Summary!$K$34),0))</f>
        <v>1671250</v>
      </c>
      <c r="AA67" s="46"/>
      <c r="AB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135"/>
    </row>
    <row r="68" spans="1:126" s="36" customFormat="1" x14ac:dyDescent="0.2">
      <c r="A68" s="88"/>
      <c r="B68" s="119" t="s">
        <v>137</v>
      </c>
      <c r="C68" s="98"/>
      <c r="D68" s="132"/>
      <c r="E68" s="134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>
        <f>-IF(Z67&lt;&gt;0,((Z67*Summary!$M$37)+(Summary!$M$36*'Cash Flow Statement'!Z67)),0)</f>
        <v>-63507.5</v>
      </c>
      <c r="AA68" s="46"/>
      <c r="AB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149"/>
    </row>
    <row r="69" spans="1:126" s="36" customFormat="1" x14ac:dyDescent="0.2">
      <c r="A69" s="88"/>
      <c r="B69" s="102"/>
      <c r="C69" s="7"/>
      <c r="D69" s="132"/>
      <c r="E69" s="134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135"/>
    </row>
    <row r="70" spans="1:126" s="36" customFormat="1" x14ac:dyDescent="0.2">
      <c r="A70" s="88"/>
      <c r="B70" s="102" t="s">
        <v>15</v>
      </c>
      <c r="C70" s="7">
        <f>-PMT((Summary!$P$34+Summary!$P$35)/12,12*Summary!$M$34,$C$67,0,0)</f>
        <v>8467.9782404650323</v>
      </c>
      <c r="D70" s="132"/>
      <c r="E70" s="134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157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135"/>
    </row>
    <row r="71" spans="1:126" s="36" customFormat="1" x14ac:dyDescent="0.2">
      <c r="A71" s="88"/>
      <c r="B71" s="102" t="s">
        <v>84</v>
      </c>
      <c r="C71" s="7"/>
      <c r="D71" s="132">
        <f>SUM(F71:DU71)</f>
        <v>575092.23256712861</v>
      </c>
      <c r="E71" s="134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>
        <f>IF(AND(Summary!$P$37&lt;='Cash Flow Statement'!$Z$2,Summary!$K$37&gt;='Cash Flow Statement'!Z2),-PV((Summary!$P$34+Summary!$P$35)/12,(12*Summary!$M$34)-E2,'Cash Flow Statement'!$C$70)*((Summary!$P$34+Summary!$P$35)/12),0)</f>
        <v>6267.18749999994</v>
      </c>
      <c r="AA71" s="46">
        <f>IF(AND(Summary!$P$37&lt;='Cash Flow Statement'!$AC$2,Summary!$K$37&gt;='Cash Flow Statement'!AD2),-PV((Summary!$P$34+Summary!$P$35)/12,(12*Summary!$M$34)-F2,'Cash Flow Statement'!$C$70)*((Summary!$P$34+Summary!$P$35)/12),0)</f>
        <v>6258.9345347231965</v>
      </c>
      <c r="AB71" s="46">
        <f>IF(AND(Summary!$P$37&lt;='Cash Flow Statement'!$AC$2,Summary!$K$37&gt;='Cash Flow Statement'!AE2),-PV((Summary!$P$34+Summary!$P$35)/12,(12*Summary!$M$34)-G2,'Cash Flow Statement'!$C$70)*((Summary!$P$34+Summary!$P$35)/12),0)</f>
        <v>6250.6506208266646</v>
      </c>
      <c r="AC71" s="46">
        <f>IF(AND(Summary!$P$37&lt;='Cash Flow Statement'!$AC$2,Summary!$K$37&gt;='Cash Flow Statement'!AF2),-PV((Summary!$P$34+Summary!$P$35)/12,(12*Summary!$M$34)-H2,'Cash Flow Statement'!$C$70)*((Summary!$P$34+Summary!$P$35)/12),0)</f>
        <v>6242.3356422530205</v>
      </c>
      <c r="AD71" s="46">
        <f>IF(AND(Summary!$P$37&lt;='Cash Flow Statement'!$AC$2,Summary!$K$37&gt;='Cash Flow Statement'!AG2),-PV((Summary!$P$34+Summary!$P$35)/12,(12*Summary!$M$34)-I2,'Cash Flow Statement'!$C$70)*((Summary!$P$34+Summary!$P$35)/12),0)</f>
        <v>6233.9894825097263</v>
      </c>
      <c r="AE71" s="46">
        <f>IF(AND(Summary!$P$37&lt;='Cash Flow Statement'!$AC$2,Summary!$K$37&gt;='Cash Flow Statement'!AH2),-PV((Summary!$P$34+Summary!$P$35)/12,(12*Summary!$M$34)-J2,'Cash Flow Statement'!$C$70)*((Summary!$P$34+Summary!$P$35)/12),0)</f>
        <v>6225.6120246673936</v>
      </c>
      <c r="AF71" s="46">
        <f>IF(AND(Summary!$P$37&lt;='Cash Flow Statement'!$AC$2,Summary!$K$37&gt;='Cash Flow Statement'!AI2),-PV((Summary!$P$34+Summary!$P$35)/12,(12*Summary!$M$34)-K2,'Cash Flow Statement'!$C$70)*((Summary!$P$34+Summary!$P$35)/12),0)</f>
        <v>6217.2031513581533</v>
      </c>
      <c r="AG71" s="46">
        <f>IF(AND(Summary!$P$37&lt;='Cash Flow Statement'!$AC$2,Summary!$K$37&gt;='Cash Flow Statement'!AJ2),-PV((Summary!$P$34+Summary!$P$35)/12,(12*Summary!$M$34)-L2,'Cash Flow Statement'!$C$70)*((Summary!$P$34+Summary!$P$35)/12),0)</f>
        <v>6208.7627447740015</v>
      </c>
      <c r="AH71" s="46">
        <f>IF(AND(Summary!$P$37&lt;='Cash Flow Statement'!$AC$2,Summary!$K$37&gt;='Cash Flow Statement'!AK2),-PV((Summary!$P$34+Summary!$P$35)/12,(12*Summary!$M$34)-M2,'Cash Flow Statement'!$C$70)*((Summary!$P$34+Summary!$P$35)/12),0)</f>
        <v>6200.290686665161</v>
      </c>
      <c r="AI71" s="46">
        <f>IF(AND(Summary!$P$37&lt;='Cash Flow Statement'!$AC$2,Summary!$K$37&gt;='Cash Flow Statement'!AL2),-PV((Summary!$P$34+Summary!$P$35)/12,(12*Summary!$M$34)-N2,'Cash Flow Statement'!$C$70)*((Summary!$P$34+Summary!$P$35)/12),0)</f>
        <v>6191.7868583384097</v>
      </c>
      <c r="AJ71" s="46">
        <f>IF(AND(Summary!$P$37&lt;='Cash Flow Statement'!$AC$2,Summary!$K$37&gt;='Cash Flow Statement'!AM2),-PV((Summary!$P$34+Summary!$P$35)/12,(12*Summary!$M$34)-O2,'Cash Flow Statement'!$C$70)*((Summary!$P$34+Summary!$P$35)/12),0)</f>
        <v>6183.2511406554377</v>
      </c>
      <c r="AK71" s="46">
        <f>IF(AND(Summary!$P$37&lt;='Cash Flow Statement'!$AC$2,Summary!$K$37&gt;='Cash Flow Statement'!AN2),-PV((Summary!$P$34+Summary!$P$35)/12,(12*Summary!$M$34)-P2,'Cash Flow Statement'!$C$70)*((Summary!$P$34+Summary!$P$35)/12),0)</f>
        <v>6174.6834140311512</v>
      </c>
      <c r="AL71" s="46">
        <f>IF(AND(Summary!$P$37&lt;='Cash Flow Statement'!$AC$2,Summary!$K$37&gt;='Cash Flow Statement'!AO2),-PV((Summary!$P$34+Summary!$P$35)/12,(12*Summary!$M$34)-Q2,'Cash Flow Statement'!$C$70)*((Summary!$P$34+Summary!$P$35)/12),0)</f>
        <v>6166.0835584320239</v>
      </c>
      <c r="AM71" s="46">
        <f>IF(AND(Summary!$P$37&lt;='Cash Flow Statement'!$AC$2,Summary!$K$37&gt;='Cash Flow Statement'!AP2),-PV((Summary!$P$34+Summary!$P$35)/12,(12*Summary!$M$34)-R2,'Cash Flow Statement'!$C$70)*((Summary!$P$34+Summary!$P$35)/12),0)</f>
        <v>6157.4514533744014</v>
      </c>
      <c r="AN71" s="46">
        <f>IF(AND(Summary!$P$37&lt;='Cash Flow Statement'!$AC$2,Summary!$K$37&gt;='Cash Flow Statement'!AQ2),-PV((Summary!$P$34+Summary!$P$35)/12,(12*Summary!$M$34)-S2,'Cash Flow Statement'!$C$70)*((Summary!$P$34+Summary!$P$35)/12),0)</f>
        <v>6148.7869779228113</v>
      </c>
      <c r="AO71" s="46">
        <f>IF(AND(Summary!$P$37&lt;='Cash Flow Statement'!$AC$2,Summary!$K$37&gt;='Cash Flow Statement'!AR2),-PV((Summary!$P$34+Summary!$P$35)/12,(12*Summary!$M$34)-T2,'Cash Flow Statement'!$C$70)*((Summary!$P$34+Summary!$P$35)/12),0)</f>
        <v>6140.0900106882764</v>
      </c>
      <c r="AP71" s="46">
        <f>IF(AND(Summary!$P$37&lt;='Cash Flow Statement'!$AC$2,Summary!$K$37&gt;='Cash Flow Statement'!AS2),-PV((Summary!$P$34+Summary!$P$35)/12,(12*Summary!$M$34)-U2,'Cash Flow Statement'!$C$70)*((Summary!$P$34+Summary!$P$35)/12),0)</f>
        <v>6131.3604298266146</v>
      </c>
      <c r="AQ71" s="46">
        <f>IF(AND(Summary!$P$37&lt;='Cash Flow Statement'!$AC$2,Summary!$K$37&gt;='Cash Flow Statement'!AT2),-PV((Summary!$P$34+Summary!$P$35)/12,(12*Summary!$M$34)-V2,'Cash Flow Statement'!$C$70)*((Summary!$P$34+Summary!$P$35)/12),0)</f>
        <v>6122.5981130367209</v>
      </c>
      <c r="AR71" s="46">
        <f>IF(AND(Summary!$P$37&lt;='Cash Flow Statement'!$AC$2,Summary!$K$37&gt;='Cash Flow Statement'!AU2),-PV((Summary!$P$34+Summary!$P$35)/12,(12*Summary!$M$34)-W2,'Cash Flow Statement'!$C$70)*((Summary!$P$34+Summary!$P$35)/12),0)</f>
        <v>6113.802937558864</v>
      </c>
      <c r="AS71" s="46">
        <f>IF(AND(Summary!$P$37&lt;='Cash Flow Statement'!$AC$2,Summary!$K$37&gt;='Cash Flow Statement'!AV2),-PV((Summary!$P$34+Summary!$P$35)/12,(12*Summary!$M$34)-X2,'Cash Flow Statement'!$C$70)*((Summary!$P$34+Summary!$P$35)/12),0)</f>
        <v>6104.9747801729673</v>
      </c>
      <c r="AT71" s="46">
        <f>IF(AND(Summary!$P$37&lt;='Cash Flow Statement'!$AC$2,Summary!$K$37&gt;='Cash Flow Statement'!AW2),-PV((Summary!$P$34+Summary!$P$35)/12,(12*Summary!$M$34)-Y2,'Cash Flow Statement'!$C$70)*((Summary!$P$34+Summary!$P$35)/12),0)</f>
        <v>6096.1135171968717</v>
      </c>
      <c r="AU71" s="46">
        <f>IF(AND(Summary!$P$37&lt;='Cash Flow Statement'!$AC$2,Summary!$K$37&gt;='Cash Flow Statement'!AX2),-PV((Summary!$P$34+Summary!$P$35)/12,(12*Summary!$M$34)-Z2,'Cash Flow Statement'!$C$70)*((Summary!$P$34+Summary!$P$35)/12),0)</f>
        <v>6087.219024484617</v>
      </c>
      <c r="AV71" s="46">
        <f>IF(AND(Summary!$P$37&lt;='Cash Flow Statement'!$AC$2,Summary!$K$37&gt;='Cash Flow Statement'!AY2),-PV((Summary!$P$34+Summary!$P$35)/12,(12*Summary!$M$34)-AA2,'Cash Flow Statement'!$C$70)*((Summary!$P$34+Summary!$P$35)/12),0)</f>
        <v>6078.2911774246895</v>
      </c>
      <c r="AW71" s="46">
        <f>IF(AND(Summary!$P$37&lt;='Cash Flow Statement'!$AC$2,Summary!$K$37&gt;='Cash Flow Statement'!AZ2),-PV((Summary!$P$34+Summary!$P$35)/12,(12*Summary!$M$34)-AB2,'Cash Flow Statement'!$C$70)*((Summary!$P$34+Summary!$P$35)/12),0)</f>
        <v>6069.3298509382885</v>
      </c>
      <c r="AX71" s="46">
        <f>IF(AND(Summary!$P$37&lt;='Cash Flow Statement'!$AC$2,Summary!$K$37&gt;='Cash Flow Statement'!BA2),-PV((Summary!$P$34+Summary!$P$35)/12,(12*Summary!$M$34)-AC2,'Cash Flow Statement'!$C$70)*((Summary!$P$34+Summary!$P$35)/12),0)</f>
        <v>6060.3349194775637</v>
      </c>
      <c r="AY71" s="46">
        <f>IF(AND(Summary!$P$37&lt;='Cash Flow Statement'!$AC$2,Summary!$K$37&gt;='Cash Flow Statement'!BB2),-PV((Summary!$P$34+Summary!$P$35)/12,(12*Summary!$M$34)-AD2,'Cash Flow Statement'!$C$70)*((Summary!$P$34+Summary!$P$35)/12),0)</f>
        <v>6051.3062570238608</v>
      </c>
      <c r="AZ71" s="46">
        <f>IF(AND(Summary!$P$37&lt;='Cash Flow Statement'!$AC$2,Summary!$K$37&gt;='Cash Flow Statement'!BC2),-PV((Summary!$P$34+Summary!$P$35)/12,(12*Summary!$M$34)-AE2,'Cash Flow Statement'!$C$70)*((Summary!$P$34+Summary!$P$35)/12),0)</f>
        <v>6042.2437370859561</v>
      </c>
      <c r="BA71" s="46">
        <f>IF(AND(Summary!$P$37&lt;='Cash Flow Statement'!$AC$2,Summary!$K$37&gt;='Cash Flow Statement'!BD2),-PV((Summary!$P$34+Summary!$P$35)/12,(12*Summary!$M$34)-AF2,'Cash Flow Statement'!$C$70)*((Summary!$P$34+Summary!$P$35)/12),0)</f>
        <v>6033.1472326982866</v>
      </c>
      <c r="BB71" s="46">
        <f>IF(AND(Summary!$P$37&lt;='Cash Flow Statement'!$AC$2,Summary!$K$37&gt;='Cash Flow Statement'!BE2),-PV((Summary!$P$34+Summary!$P$35)/12,(12*Summary!$M$34)-AG2,'Cash Flow Statement'!$C$70)*((Summary!$P$34+Summary!$P$35)/12),0)</f>
        <v>6024.0166164191614</v>
      </c>
      <c r="BC71" s="46">
        <f>IF(AND(Summary!$P$37&lt;='Cash Flow Statement'!$AC$2,Summary!$K$37&gt;='Cash Flow Statement'!BF2),-PV((Summary!$P$34+Summary!$P$35)/12,(12*Summary!$M$34)-AH2,'Cash Flow Statement'!$C$70)*((Summary!$P$34+Summary!$P$35)/12),0)</f>
        <v>6014.8517603289893</v>
      </c>
      <c r="BD71" s="46">
        <f>IF(AND(Summary!$P$37&lt;='Cash Flow Statement'!$AC$2,Summary!$K$37&gt;='Cash Flow Statement'!BG2),-PV((Summary!$P$34+Summary!$P$35)/12,(12*Summary!$M$34)-AI2,'Cash Flow Statement'!$C$70)*((Summary!$P$34+Summary!$P$35)/12),0)</f>
        <v>6005.6525360284786</v>
      </c>
      <c r="BE71" s="46">
        <f>IF(AND(Summary!$P$37&lt;='Cash Flow Statement'!$AC$2,Summary!$K$37&gt;='Cash Flow Statement'!BH2),-PV((Summary!$P$34+Summary!$P$35)/12,(12*Summary!$M$34)-AJ2,'Cash Flow Statement'!$C$70)*((Summary!$P$34+Summary!$P$35)/12),0)</f>
        <v>5996.4188146368424</v>
      </c>
      <c r="BF71" s="46">
        <f>IF(AND(Summary!$P$37&lt;='Cash Flow Statement'!$AC$2,Summary!$K$37&gt;='Cash Flow Statement'!BI2),-PV((Summary!$P$34+Summary!$P$35)/12,(12*Summary!$M$34)-AK2,'Cash Flow Statement'!$C$70)*((Summary!$P$34+Summary!$P$35)/12),0)</f>
        <v>5987.1504667899862</v>
      </c>
      <c r="BG71" s="46">
        <f>IF(AND(Summary!$P$37&lt;='Cash Flow Statement'!$AC$2,Summary!$K$37&gt;='Cash Flow Statement'!BJ2),-PV((Summary!$P$34+Summary!$P$35)/12,(12*Summary!$M$34)-AL2,'Cash Flow Statement'!$C$70)*((Summary!$P$34+Summary!$P$35)/12),0)</f>
        <v>5977.8473626387049</v>
      </c>
      <c r="BH71" s="46">
        <f>IF(AND(Summary!$P$37&lt;='Cash Flow Statement'!$AC$2,Summary!$K$37&gt;='Cash Flow Statement'!BK2),-PV((Summary!$P$34+Summary!$P$35)/12,(12*Summary!$M$34)-AM2,'Cash Flow Statement'!$C$70)*((Summary!$P$34+Summary!$P$35)/12),0)</f>
        <v>5968.509371846857</v>
      </c>
      <c r="BI71" s="46">
        <f>IF(AND(Summary!$P$37&lt;='Cash Flow Statement'!$AC$2,Summary!$K$37&gt;='Cash Flow Statement'!BL2),-PV((Summary!$P$34+Summary!$P$35)/12,(12*Summary!$M$34)-AN2,'Cash Flow Statement'!$C$70)*((Summary!$P$34+Summary!$P$35)/12),0)</f>
        <v>5959.1363635895386</v>
      </c>
      <c r="BJ71" s="46">
        <f>IF(AND(Summary!$P$37&lt;='Cash Flow Statement'!$AC$2,Summary!$K$37&gt;='Cash Flow Statement'!BM2),-PV((Summary!$P$34+Summary!$P$35)/12,(12*Summary!$M$34)-AO2,'Cash Flow Statement'!$C$70)*((Summary!$P$34+Summary!$P$35)/12),0)</f>
        <v>5949.7282065512563</v>
      </c>
      <c r="BK71" s="46">
        <f>IF(AND(Summary!$P$37&lt;='Cash Flow Statement'!$AC$2,Summary!$K$37&gt;='Cash Flow Statement'!BN2),-PV((Summary!$P$34+Summary!$P$35)/12,(12*Summary!$M$34)-AP2,'Cash Flow Statement'!$C$70)*((Summary!$P$34+Summary!$P$35)/12),0)</f>
        <v>5940.2847689240798</v>
      </c>
      <c r="BL71" s="46">
        <f>IF(AND(Summary!$P$37&lt;='Cash Flow Statement'!$AC$2,Summary!$K$37&gt;='Cash Flow Statement'!BO2),-PV((Summary!$P$34+Summary!$P$35)/12,(12*Summary!$M$34)-AQ2,'Cash Flow Statement'!$C$70)*((Summary!$P$34+Summary!$P$35)/12),0)</f>
        <v>5930.8059184058011</v>
      </c>
      <c r="BM71" s="46">
        <f>IF(AND(Summary!$P$37&lt;='Cash Flow Statement'!$AC$2,Summary!$K$37&gt;='Cash Flow Statement'!BP2),-PV((Summary!$P$34+Summary!$P$35)/12,(12*Summary!$M$34)-AR2,'Cash Flow Statement'!$C$70)*((Summary!$P$34+Summary!$P$35)/12),0)</f>
        <v>5921.2915221980793</v>
      </c>
      <c r="BN71" s="46">
        <f>IF(AND(Summary!$P$37&lt;='Cash Flow Statement'!$AC$2,Summary!$K$37&gt;='Cash Flow Statement'!BQ2),-PV((Summary!$P$34+Summary!$P$35)/12,(12*Summary!$M$34)-AS2,'Cash Flow Statement'!$C$70)*((Summary!$P$34+Summary!$P$35)/12),0)</f>
        <v>5911.7414470045787</v>
      </c>
      <c r="BO71" s="46">
        <f>IF(AND(Summary!$P$37&lt;='Cash Flow Statement'!$AC$2,Summary!$K$37&gt;='Cash Flow Statement'!BR2),-PV((Summary!$P$34+Summary!$P$35)/12,(12*Summary!$M$34)-AT2,'Cash Flow Statement'!$C$70)*((Summary!$P$34+Summary!$P$35)/12),0)</f>
        <v>5902.1555590291009</v>
      </c>
      <c r="BP71" s="46">
        <f>IF(AND(Summary!$P$37&lt;='Cash Flow Statement'!$AC$2,Summary!$K$37&gt;='Cash Flow Statement'!BS2),-PV((Summary!$P$34+Summary!$P$35)/12,(12*Summary!$M$34)-AU2,'Cash Flow Statement'!$C$70)*((Summary!$P$34+Summary!$P$35)/12),0)</f>
        <v>5892.5337239737173</v>
      </c>
      <c r="BQ71" s="46">
        <f>IF(AND(Summary!$P$37&lt;='Cash Flow Statement'!$AC$2,Summary!$K$37&gt;='Cash Flow Statement'!BT2),-PV((Summary!$P$34+Summary!$P$35)/12,(12*Summary!$M$34)-AV2,'Cash Flow Statement'!$C$70)*((Summary!$P$34+Summary!$P$35)/12),0)</f>
        <v>5882.8758070368758</v>
      </c>
      <c r="BR71" s="46">
        <f>IF(AND(Summary!$P$37&lt;='Cash Flow Statement'!$AC$2,Summary!$K$37&gt;='Cash Flow Statement'!BU2),-PV((Summary!$P$34+Summary!$P$35)/12,(12*Summary!$M$34)-AW2,'Cash Flow Statement'!$C$70)*((Summary!$P$34+Summary!$P$35)/12),0)</f>
        <v>5873.1816729115189</v>
      </c>
      <c r="BS71" s="46">
        <f>IF(AND(Summary!$P$37&lt;='Cash Flow Statement'!$AC$2,Summary!$K$37&gt;='Cash Flow Statement'!BV2),-PV((Summary!$P$34+Summary!$P$35)/12,(12*Summary!$M$34)-AX2,'Cash Flow Statement'!$C$70)*((Summary!$P$34+Summary!$P$35)/12),0)</f>
        <v>5863.4511857831949</v>
      </c>
      <c r="BT71" s="46">
        <f>IF(AND(Summary!$P$37&lt;='Cash Flow Statement'!$AC$2,Summary!$K$37&gt;='Cash Flow Statement'!BW2),-PV((Summary!$P$34+Summary!$P$35)/12,(12*Summary!$M$34)-AY2,'Cash Flow Statement'!$C$70)*((Summary!$P$34+Summary!$P$35)/12),0)</f>
        <v>5853.6842093281375</v>
      </c>
      <c r="BU71" s="46">
        <f>IF(AND(Summary!$P$37&lt;='Cash Flow Statement'!$AC$2,Summary!$K$37&gt;='Cash Flow Statement'!BX2),-PV((Summary!$P$34+Summary!$P$35)/12,(12*Summary!$M$34)-AZ2,'Cash Flow Statement'!$C$70)*((Summary!$P$34+Summary!$P$35)/12),0)</f>
        <v>5843.8806067113737</v>
      </c>
      <c r="BV71" s="46">
        <f>IF(AND(Summary!$P$37&lt;='Cash Flow Statement'!$AC$2,Summary!$K$37&gt;='Cash Flow Statement'!BY2),-PV((Summary!$P$34+Summary!$P$35)/12,(12*Summary!$M$34)-BA2,'Cash Flow Statement'!$C$70)*((Summary!$P$34+Summary!$P$35)/12),0)</f>
        <v>5834.0402405847981</v>
      </c>
      <c r="BW71" s="46">
        <f>IF(AND(Summary!$P$37&lt;='Cash Flow Statement'!$AC$2,Summary!$K$37&gt;='Cash Flow Statement'!BZ2),-PV((Summary!$P$34+Summary!$P$35)/12,(12*Summary!$M$34)-BB2,'Cash Flow Statement'!$C$70)*((Summary!$P$34+Summary!$P$35)/12),0)</f>
        <v>5824.1629730852464</v>
      </c>
      <c r="BX71" s="46">
        <f>IF(AND(Summary!$P$37&lt;='Cash Flow Statement'!$AC$2,Summary!$K$37&gt;='Cash Flow Statement'!CA2),-PV((Summary!$P$34+Summary!$P$35)/12,(12*Summary!$M$34)-BC2,'Cash Flow Statement'!$C$70)*((Summary!$P$34+Summary!$P$35)/12),0)</f>
        <v>5814.2486658325734</v>
      </c>
      <c r="BY71" s="46">
        <f>IF(AND(Summary!$P$37&lt;='Cash Flow Statement'!$AC$2,Summary!$K$37&gt;='Cash Flow Statement'!CB2),-PV((Summary!$P$34+Summary!$P$35)/12,(12*Summary!$M$34)-BD2,'Cash Flow Statement'!$C$70)*((Summary!$P$34+Summary!$P$35)/12),0)</f>
        <v>5804.2971799277029</v>
      </c>
      <c r="BZ71" s="46">
        <f>IF(AND(Summary!$P$37&lt;='Cash Flow Statement'!$AC$2,Summary!$K$37&gt;='Cash Flow Statement'!CC2),-PV((Summary!$P$34+Summary!$P$35)/12,(12*Summary!$M$34)-BE2,'Cash Flow Statement'!$C$70)*((Summary!$P$34+Summary!$P$35)/12),0)</f>
        <v>5794.3083759506881</v>
      </c>
      <c r="CA71" s="46">
        <f>IF(AND(Summary!$P$37&lt;='Cash Flow Statement'!$AC$2,Summary!$K$37&gt;='Cash Flow Statement'!CD2),-PV((Summary!$P$34+Summary!$P$35)/12,(12*Summary!$M$34)-BF2,'Cash Flow Statement'!$C$70)*((Summary!$P$34+Summary!$P$35)/12),0)</f>
        <v>5784.2821139587586</v>
      </c>
      <c r="CB71" s="46">
        <f>IF(AND(Summary!$P$37&lt;='Cash Flow Statement'!$AC$2,Summary!$K$37&gt;='Cash Flow Statement'!CE2),-PV((Summary!$P$34+Summary!$P$35)/12,(12*Summary!$M$34)-BG2,'Cash Flow Statement'!$C$70)*((Summary!$P$34+Summary!$P$35)/12),0)</f>
        <v>5774.2182534843596</v>
      </c>
      <c r="CC71" s="46">
        <f>IF(AND(Summary!$P$37&lt;='Cash Flow Statement'!$AC$2,Summary!$K$37&gt;='Cash Flow Statement'!CF2),-PV((Summary!$P$34+Summary!$P$35)/12,(12*Summary!$M$34)-BH2,'Cash Flow Statement'!$C$70)*((Summary!$P$34+Summary!$P$35)/12),0)</f>
        <v>5764.1166535331831</v>
      </c>
      <c r="CD71" s="46">
        <f>IF(AND(Summary!$P$37&lt;='Cash Flow Statement'!$AC$2,Summary!$K$37&gt;='Cash Flow Statement'!CG2),-PV((Summary!$P$34+Summary!$P$35)/12,(12*Summary!$M$34)-BI2,'Cash Flow Statement'!$C$70)*((Summary!$P$34+Summary!$P$35)/12),0)</f>
        <v>5753.9771725821884</v>
      </c>
      <c r="CE71" s="46">
        <f>IF(AND(Summary!$P$37&lt;='Cash Flow Statement'!$AC$2,Summary!$K$37&gt;='Cash Flow Statement'!CH2),-PV((Summary!$P$34+Summary!$P$35)/12,(12*Summary!$M$34)-BJ2,'Cash Flow Statement'!$C$70)*((Summary!$P$34+Summary!$P$35)/12),0)</f>
        <v>5743.799668577627</v>
      </c>
      <c r="CF71" s="46">
        <f>IF(AND(Summary!$P$37&lt;='Cash Flow Statement'!$AC$2,Summary!$K$37&gt;='Cash Flow Statement'!CI2),-PV((Summary!$P$34+Summary!$P$35)/12,(12*Summary!$M$34)-BK2,'Cash Flow Statement'!$C$70)*((Summary!$P$34+Summary!$P$35)/12),0)</f>
        <v>5733.5839989330507</v>
      </c>
      <c r="CG71" s="46">
        <f>IF(AND(Summary!$P$37&lt;='Cash Flow Statement'!$AC$2,Summary!$K$37&gt;='Cash Flow Statement'!CJ2),-PV((Summary!$P$34+Summary!$P$35)/12,(12*Summary!$M$34)-BL2,'Cash Flow Statement'!$C$70)*((Summary!$P$34+Summary!$P$35)/12),0)</f>
        <v>5723.3300205273063</v>
      </c>
      <c r="CH71" s="46">
        <f>IF(AND(Summary!$P$37&lt;='Cash Flow Statement'!$AC$2,Summary!$K$37&gt;='Cash Flow Statement'!CK2),-PV((Summary!$P$34+Summary!$P$35)/12,(12*Summary!$M$34)-BM2,'Cash Flow Statement'!$C$70)*((Summary!$P$34+Summary!$P$35)/12),0)</f>
        <v>5713.0375897025406</v>
      </c>
      <c r="CI71" s="46">
        <f>IF(AND(Summary!$P$37&lt;='Cash Flow Statement'!$AC$2,Summary!$K$37&gt;='Cash Flow Statement'!CL2),-PV((Summary!$P$34+Summary!$P$35)/12,(12*Summary!$M$34)-BN2,'Cash Flow Statement'!$C$70)*((Summary!$P$34+Summary!$P$35)/12),0)</f>
        <v>5702.7065622621813</v>
      </c>
      <c r="CJ71" s="46">
        <f>IF(AND(Summary!$P$37&lt;='Cash Flow Statement'!$AC$2,Summary!$K$37&gt;='Cash Flow Statement'!CM2),-PV((Summary!$P$34+Summary!$P$35)/12,(12*Summary!$M$34)-BO2,'Cash Flow Statement'!$C$70)*((Summary!$P$34+Summary!$P$35)/12),0)</f>
        <v>5692.3367934689213</v>
      </c>
      <c r="CK71" s="46">
        <f>IF(AND(Summary!$P$37&lt;='Cash Flow Statement'!$AC$2,Summary!$K$37&gt;='Cash Flow Statement'!CN2),-PV((Summary!$P$34+Summary!$P$35)/12,(12*Summary!$M$34)-BP2,'Cash Flow Statement'!$C$70)*((Summary!$P$34+Summary!$P$35)/12),0)</f>
        <v>5681.9281380426846</v>
      </c>
      <c r="CL71" s="46">
        <f>IF(AND(Summary!$P$37&lt;='Cash Flow Statement'!$AC$2,Summary!$K$37&gt;='Cash Flow Statement'!CO2),-PV((Summary!$P$34+Summary!$P$35)/12,(12*Summary!$M$34)-BQ2,'Cash Flow Statement'!$C$70)*((Summary!$P$34+Summary!$P$35)/12),0)</f>
        <v>5671.4804501586023</v>
      </c>
      <c r="CM71" s="46">
        <f>IF(AND(Summary!$P$37&lt;='Cash Flow Statement'!$AC$2,Summary!$K$37&gt;='Cash Flow Statement'!CP2),-PV((Summary!$P$34+Summary!$P$35)/12,(12*Summary!$M$34)-BR2,'Cash Flow Statement'!$C$70)*((Summary!$P$34+Summary!$P$35)/12),0)</f>
        <v>5660.9935834449534</v>
      </c>
      <c r="CN71" s="46">
        <f>IF(AND(Summary!$P$37&lt;='Cash Flow Statement'!$AC$2,Summary!$K$37&gt;='Cash Flow Statement'!CQ2),-PV((Summary!$P$34+Summary!$P$35)/12,(12*Summary!$M$34)-BS2,'Cash Flow Statement'!$C$70)*((Summary!$P$34+Summary!$P$35)/12),0)</f>
        <v>5650.4673909811272</v>
      </c>
      <c r="CO71" s="46">
        <f>IF(AND(Summary!$P$37&lt;='Cash Flow Statement'!$AC$2,Summary!$K$37&gt;='Cash Flow Statement'!CR2),-PV((Summary!$P$34+Summary!$P$35)/12,(12*Summary!$M$34)-BT2,'Cash Flow Statement'!$C$70)*((Summary!$P$34+Summary!$P$35)/12),0)</f>
        <v>5639.9017252955637</v>
      </c>
      <c r="CP71" s="46">
        <f>IF(AND(Summary!$P$37&lt;='Cash Flow Statement'!$AC$2,Summary!$K$37&gt;='Cash Flow Statement'!CS2),-PV((Summary!$P$34+Summary!$P$35)/12,(12*Summary!$M$34)-BU2,'Cash Flow Statement'!$C$70)*((Summary!$P$34+Summary!$P$35)/12),0)</f>
        <v>5629.2964383636772</v>
      </c>
      <c r="CQ71" s="46">
        <f>IF(AND(Summary!$P$37&lt;='Cash Flow Statement'!$AC$2,Summary!$K$37&gt;='Cash Flow Statement'!CT2),-PV((Summary!$P$34+Summary!$P$35)/12,(12*Summary!$M$34)-BV2,'Cash Flow Statement'!$C$70)*((Summary!$P$34+Summary!$P$35)/12),0)</f>
        <v>5618.6513816057968</v>
      </c>
      <c r="CR71" s="46">
        <f>IF(AND(Summary!$P$37&lt;='Cash Flow Statement'!$AC$2,Summary!$K$37&gt;='Cash Flow Statement'!CU2),-PV((Summary!$P$34+Summary!$P$35)/12,(12*Summary!$M$34)-BW2,'Cash Flow Statement'!$C$70)*((Summary!$P$34+Summary!$P$35)/12),0)</f>
        <v>5607.9664058850767</v>
      </c>
      <c r="CS71" s="46">
        <f>IF(AND(Summary!$P$37&lt;='Cash Flow Statement'!$AC$2,Summary!$K$37&gt;='Cash Flow Statement'!CV2),-PV((Summary!$P$34+Summary!$P$35)/12,(12*Summary!$M$34)-BX2,'Cash Flow Statement'!$C$70)*((Summary!$P$34+Summary!$P$35)/12),0)</f>
        <v>5597.241361505402</v>
      </c>
      <c r="CT71" s="46">
        <f>IF(AND(Summary!$P$37&lt;='Cash Flow Statement'!$AC$2,Summary!$K$37&gt;='Cash Flow Statement'!CW2),-PV((Summary!$P$34+Summary!$P$35)/12,(12*Summary!$M$34)-BY2,'Cash Flow Statement'!$C$70)*((Summary!$P$34+Summary!$P$35)/12),0)</f>
        <v>5586.4760982093039</v>
      </c>
      <c r="CU71" s="46">
        <f>IF(AND(Summary!$P$37&lt;='Cash Flow Statement'!$AC$2,Summary!$K$37&gt;='Cash Flow Statement'!CX2),-PV((Summary!$P$34+Summary!$P$35)/12,(12*Summary!$M$34)-BZ2,'Cash Flow Statement'!$C$70)*((Summary!$P$34+Summary!$P$35)/12),0)</f>
        <v>5575.6704651758428</v>
      </c>
      <c r="CV71" s="46">
        <f>IF(AND(Summary!$P$37&lt;='Cash Flow Statement'!$AC$2,Summary!$K$37&gt;='Cash Flow Statement'!CY2),-PV((Summary!$P$34+Summary!$P$35)/12,(12*Summary!$M$34)-CA2,'Cash Flow Statement'!$C$70)*((Summary!$P$34+Summary!$P$35)/12),0)</f>
        <v>5564.8243110185094</v>
      </c>
      <c r="CW71" s="46">
        <f>IF(AND(Summary!$P$37&lt;='Cash Flow Statement'!$AC$2,Summary!$K$37&gt;='Cash Flow Statement'!CZ2),-PV((Summary!$P$34+Summary!$P$35)/12,(12*Summary!$M$34)-CB2,'Cash Flow Statement'!$C$70)*((Summary!$P$34+Summary!$P$35)/12),0)</f>
        <v>5553.9374837830856</v>
      </c>
      <c r="CX71" s="46">
        <f>IF(AND(Summary!$P$37&lt;='Cash Flow Statement'!$AC$2,Summary!$K$37&gt;='Cash Flow Statement'!DA2),-PV((Summary!$P$34+Summary!$P$35)/12,(12*Summary!$M$34)-CC2,'Cash Flow Statement'!$C$70)*((Summary!$P$34+Summary!$P$35)/12),0)</f>
        <v>5543.0098309455288</v>
      </c>
      <c r="CY71" s="46">
        <f>IF(AND(Summary!$P$37&lt;='Cash Flow Statement'!$AC$2,Summary!$K$37&gt;='Cash Flow Statement'!DB2),-PV((Summary!$P$34+Summary!$P$35)/12,(12*Summary!$M$34)-CD2,'Cash Flow Statement'!$C$70)*((Summary!$P$34+Summary!$P$35)/12),0)</f>
        <v>5532.0411994098304</v>
      </c>
      <c r="CZ71" s="46">
        <f>IF(AND(Summary!$P$37&lt;='Cash Flow Statement'!$AC$2,Summary!$K$37&gt;='Cash Flow Statement'!DC2),-PV((Summary!$P$34+Summary!$P$35)/12,(12*Summary!$M$34)-CE2,'Cash Flow Statement'!$C$70)*((Summary!$P$34+Summary!$P$35)/12),0)</f>
        <v>5521.0314355058754</v>
      </c>
      <c r="DA71" s="46">
        <f>IF(AND(Summary!$P$37&lt;='Cash Flow Statement'!$AC$2,Summary!$K$37&gt;='Cash Flow Statement'!DD2),-PV((Summary!$P$34+Summary!$P$35)/12,(12*Summary!$M$34)-CF2,'Cash Flow Statement'!$C$70)*((Summary!$P$34+Summary!$P$35)/12),0)</f>
        <v>5509.9803849872778</v>
      </c>
      <c r="DB71" s="46">
        <f>IF(AND(Summary!$P$37&lt;='Cash Flow Statement'!$AC$2,Summary!$K$37&gt;='Cash Flow Statement'!DE2),-PV((Summary!$P$34+Summary!$P$35)/12,(12*Summary!$M$34)-CG2,'Cash Flow Statement'!$C$70)*((Summary!$P$34+Summary!$P$35)/12),0)</f>
        <v>5498.8878930292349</v>
      </c>
      <c r="DC71" s="46">
        <f>IF(AND(Summary!$P$37&lt;='Cash Flow Statement'!$AC$2,Summary!$K$37&gt;='Cash Flow Statement'!DF2),-PV((Summary!$P$34+Summary!$P$35)/12,(12*Summary!$M$34)-CH2,'Cash Flow Statement'!$C$70)*((Summary!$P$34+Summary!$P$35)/12),0)</f>
        <v>5487.7538042263523</v>
      </c>
      <c r="DD71" s="46">
        <f>IF(AND(Summary!$P$37&lt;='Cash Flow Statement'!$AC$2,Summary!$K$37&gt;='Cash Flow Statement'!DG2),-PV((Summary!$P$34+Summary!$P$35)/12,(12*Summary!$M$34)-CI2,'Cash Flow Statement'!$C$70)*((Summary!$P$34+Summary!$P$35)/12),0)</f>
        <v>5476.577962590457</v>
      </c>
      <c r="DE71" s="46">
        <f>IF(AND(Summary!$P$37&lt;='Cash Flow Statement'!$AC$2,Summary!$K$37&gt;='Cash Flow Statement'!DH2),-PV((Summary!$P$34+Summary!$P$35)/12,(12*Summary!$M$34)-CJ2,'Cash Flow Statement'!$C$70)*((Summary!$P$34+Summary!$P$35)/12),0)</f>
        <v>5465.3602115484282</v>
      </c>
      <c r="DF71" s="46">
        <f>IF(AND(Summary!$P$37&lt;='Cash Flow Statement'!$AC$2,Summary!$K$37&gt;='Cash Flow Statement'!DI2),-PV((Summary!$P$34+Summary!$P$35)/12,(12*Summary!$M$34)-CK2,'Cash Flow Statement'!$C$70)*((Summary!$P$34+Summary!$P$35)/12),0)</f>
        <v>5454.1003939399907</v>
      </c>
      <c r="DG71" s="46">
        <f>IF(AND(Summary!$P$37&lt;='Cash Flow Statement'!$AC$2,Summary!$K$37&gt;='Cash Flow Statement'!DJ2),-PV((Summary!$P$34+Summary!$P$35)/12,(12*Summary!$M$34)-CL2,'Cash Flow Statement'!$C$70)*((Summary!$P$34+Summary!$P$35)/12),0)</f>
        <v>5442.7983520155212</v>
      </c>
      <c r="DH71" s="46">
        <f>IF(AND(Summary!$P$37&lt;='Cash Flow Statement'!$AC$2,Summary!$K$37&gt;='Cash Flow Statement'!DK2),-PV((Summary!$P$34+Summary!$P$35)/12,(12*Summary!$M$34)-CM2,'Cash Flow Statement'!$C$70)*((Summary!$P$34+Summary!$P$35)/12),0)</f>
        <v>5431.4539274338376</v>
      </c>
      <c r="DI71" s="46">
        <f>IF(AND(Summary!$P$37&lt;='Cash Flow Statement'!$AC$2,Summary!$K$37&gt;='Cash Flow Statement'!DL2),-PV((Summary!$P$34+Summary!$P$35)/12,(12*Summary!$M$34)-CN2,'Cash Flow Statement'!$C$70)*((Summary!$P$34+Summary!$P$35)/12),0)</f>
        <v>5420.0669612599704</v>
      </c>
      <c r="DJ71" s="46">
        <f>IF(AND(Summary!$P$37&lt;='Cash Flow Statement'!$AC$2,Summary!$K$37&gt;='Cash Flow Statement'!DM2),-PV((Summary!$P$34+Summary!$P$35)/12,(12*Summary!$M$34)-CO2,'Cash Flow Statement'!$C$70)*((Summary!$P$34+Summary!$P$35)/12),0)</f>
        <v>5408.6372939629509</v>
      </c>
      <c r="DK71" s="46">
        <f>IF(AND(Summary!$P$37&lt;='Cash Flow Statement'!$AC$2,Summary!$K$37&gt;='Cash Flow Statement'!DN2),-PV((Summary!$P$34+Summary!$P$35)/12,(12*Summary!$M$34)-CP2,'Cash Flow Statement'!$C$70)*((Summary!$P$34+Summary!$P$35)/12),0)</f>
        <v>5397.1647654135677</v>
      </c>
      <c r="DL71" s="46">
        <f>IF(AND(Summary!$P$37&lt;='Cash Flow Statement'!$AC$2,Summary!$K$37&gt;='Cash Flow Statement'!DO2),-PV((Summary!$P$34+Summary!$P$35)/12,(12*Summary!$M$34)-CQ2,'Cash Flow Statement'!$C$70)*((Summary!$P$34+Summary!$P$35)/12),0)</f>
        <v>5385.6492148821262</v>
      </c>
      <c r="DM71" s="46">
        <f>IF(AND(Summary!$P$37&lt;='Cash Flow Statement'!$AC$2,Summary!$K$37&gt;='Cash Flow Statement'!DP2),-PV((Summary!$P$34+Summary!$P$35)/12,(12*Summary!$M$34)-CR2,'Cash Flow Statement'!$C$70)*((Summary!$P$34+Summary!$P$35)/12),0)</f>
        <v>5374.0904810361908</v>
      </c>
      <c r="DN71" s="46">
        <f>IF(AND(Summary!$P$37&lt;='Cash Flow Statement'!$AC$2,Summary!$K$37&gt;='Cash Flow Statement'!DQ2),-PV((Summary!$P$34+Summary!$P$35)/12,(12*Summary!$M$34)-CS2,'Cash Flow Statement'!$C$70)*((Summary!$P$34+Summary!$P$35)/12),0)</f>
        <v>5362.4884019383326</v>
      </c>
      <c r="DO71" s="46">
        <f>IF(AND(Summary!$P$37&lt;='Cash Flow Statement'!$AC$2,Summary!$K$37&gt;='Cash Flow Statement'!DR2),-PV((Summary!$P$34+Summary!$P$35)/12,(12*Summary!$M$34)-CT2,'Cash Flow Statement'!$C$70)*((Summary!$P$34+Summary!$P$35)/12),0)</f>
        <v>5350.8428150438576</v>
      </c>
      <c r="DP71" s="46">
        <f>IF(AND(Summary!$P$37&lt;='Cash Flow Statement'!$AC$2,Summary!$K$37&gt;='Cash Flow Statement'!DS2),-PV((Summary!$P$34+Summary!$P$35)/12,(12*Summary!$M$34)-CU2,'Cash Flow Statement'!$C$70)*((Summary!$P$34+Summary!$P$35)/12),0)</f>
        <v>5339.1535571985287</v>
      </c>
      <c r="DQ71" s="46">
        <f>IF(AND(Summary!$P$37&lt;='Cash Flow Statement'!$AC$2,Summary!$K$37&gt;='Cash Flow Statement'!DT2),-PV((Summary!$P$34+Summary!$P$35)/12,(12*Summary!$M$34)-CV2,'Cash Flow Statement'!$C$70)*((Summary!$P$34+Summary!$P$35)/12),0)</f>
        <v>5327.4204646362787</v>
      </c>
      <c r="DR71" s="46">
        <f>IF(AND(Summary!$P$37&lt;='Cash Flow Statement'!$AC$2,Summary!$K$37&gt;='Cash Flow Statement'!DU2),-PV((Summary!$P$34+Summary!$P$35)/12,(12*Summary!$M$34)-CW2,'Cash Flow Statement'!$C$70)*((Summary!$P$34+Summary!$P$35)/12),0)</f>
        <v>5315.6433729769215</v>
      </c>
      <c r="DS71" s="46">
        <f>IF(AND(Summary!$P$37&lt;='Cash Flow Statement'!$AC$2,Summary!$K$37&gt;='Cash Flow Statement'!DV2),-PV((Summary!$P$34+Summary!$P$35)/12,(12*Summary!$M$34)-CX2,'Cash Flow Statement'!$C$70)*((Summary!$P$34+Summary!$P$35)/12),0)</f>
        <v>5303.8221172238418</v>
      </c>
      <c r="DT71" s="46">
        <f>IF(AND(Summary!$P$37&lt;='Cash Flow Statement'!$AC$2,Summary!$K$37&gt;='Cash Flow Statement'!DW2),-PV((Summary!$P$34+Summary!$P$35)/12,(12*Summary!$M$34)-CY2,'Cash Flow Statement'!$C$70)*((Summary!$P$34+Summary!$P$35)/12),0)</f>
        <v>5291.9565317616871</v>
      </c>
      <c r="DU71" s="46"/>
      <c r="DV71" s="135"/>
    </row>
    <row r="72" spans="1:126" s="36" customFormat="1" x14ac:dyDescent="0.2">
      <c r="A72" s="88"/>
      <c r="B72" s="102" t="s">
        <v>141</v>
      </c>
      <c r="C72" s="7"/>
      <c r="D72" s="132"/>
      <c r="E72" s="134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>
        <f>IF(Z71&lt;&gt;0,-$C$70,0)</f>
        <v>-8467.9782404650323</v>
      </c>
      <c r="AA72" s="46">
        <f t="shared" ref="AA72:BE72" si="36">IF(AA71&lt;&gt;0,-$C$70,0)</f>
        <v>-8467.9782404650323</v>
      </c>
      <c r="AB72" s="46">
        <f t="shared" si="36"/>
        <v>-8467.9782404650323</v>
      </c>
      <c r="AC72" s="46">
        <f t="shared" si="36"/>
        <v>-8467.9782404650323</v>
      </c>
      <c r="AD72" s="46">
        <f t="shared" si="36"/>
        <v>-8467.9782404650323</v>
      </c>
      <c r="AE72" s="46">
        <f t="shared" si="36"/>
        <v>-8467.9782404650323</v>
      </c>
      <c r="AF72" s="46">
        <f t="shared" si="36"/>
        <v>-8467.9782404650323</v>
      </c>
      <c r="AG72" s="46">
        <f t="shared" si="36"/>
        <v>-8467.9782404650323</v>
      </c>
      <c r="AH72" s="46">
        <f t="shared" si="36"/>
        <v>-8467.9782404650323</v>
      </c>
      <c r="AI72" s="46">
        <f t="shared" si="36"/>
        <v>-8467.9782404650323</v>
      </c>
      <c r="AJ72" s="46">
        <f t="shared" si="36"/>
        <v>-8467.9782404650323</v>
      </c>
      <c r="AK72" s="46">
        <f t="shared" si="36"/>
        <v>-8467.9782404650323</v>
      </c>
      <c r="AL72" s="46">
        <f t="shared" si="36"/>
        <v>-8467.9782404650323</v>
      </c>
      <c r="AM72" s="46">
        <f t="shared" si="36"/>
        <v>-8467.9782404650323</v>
      </c>
      <c r="AN72" s="46">
        <f t="shared" si="36"/>
        <v>-8467.9782404650323</v>
      </c>
      <c r="AO72" s="46">
        <f t="shared" si="36"/>
        <v>-8467.9782404650323</v>
      </c>
      <c r="AP72" s="46">
        <f t="shared" si="36"/>
        <v>-8467.9782404650323</v>
      </c>
      <c r="AQ72" s="46">
        <f t="shared" si="36"/>
        <v>-8467.9782404650323</v>
      </c>
      <c r="AR72" s="46">
        <f t="shared" si="36"/>
        <v>-8467.9782404650323</v>
      </c>
      <c r="AS72" s="46">
        <f t="shared" si="36"/>
        <v>-8467.9782404650323</v>
      </c>
      <c r="AT72" s="46">
        <f t="shared" si="36"/>
        <v>-8467.9782404650323</v>
      </c>
      <c r="AU72" s="46">
        <f t="shared" si="36"/>
        <v>-8467.9782404650323</v>
      </c>
      <c r="AV72" s="46">
        <f t="shared" si="36"/>
        <v>-8467.9782404650323</v>
      </c>
      <c r="AW72" s="46">
        <f t="shared" si="36"/>
        <v>-8467.9782404650323</v>
      </c>
      <c r="AX72" s="46">
        <f t="shared" si="36"/>
        <v>-8467.9782404650323</v>
      </c>
      <c r="AY72" s="46">
        <f t="shared" si="36"/>
        <v>-8467.9782404650323</v>
      </c>
      <c r="AZ72" s="46">
        <f t="shared" si="36"/>
        <v>-8467.9782404650323</v>
      </c>
      <c r="BA72" s="46">
        <f t="shared" si="36"/>
        <v>-8467.9782404650323</v>
      </c>
      <c r="BB72" s="46">
        <f t="shared" si="36"/>
        <v>-8467.9782404650323</v>
      </c>
      <c r="BC72" s="46">
        <f t="shared" si="36"/>
        <v>-8467.9782404650323</v>
      </c>
      <c r="BD72" s="46">
        <f t="shared" si="36"/>
        <v>-8467.9782404650323</v>
      </c>
      <c r="BE72" s="46">
        <f t="shared" si="36"/>
        <v>-8467.9782404650323</v>
      </c>
      <c r="BF72" s="46">
        <f t="shared" ref="BF72:CK72" si="37">IF(BF71&lt;&gt;0,-$C$70,0)</f>
        <v>-8467.9782404650323</v>
      </c>
      <c r="BG72" s="46">
        <f t="shared" si="37"/>
        <v>-8467.9782404650323</v>
      </c>
      <c r="BH72" s="46">
        <f t="shared" si="37"/>
        <v>-8467.9782404650323</v>
      </c>
      <c r="BI72" s="46">
        <f t="shared" si="37"/>
        <v>-8467.9782404650323</v>
      </c>
      <c r="BJ72" s="46">
        <f t="shared" si="37"/>
        <v>-8467.9782404650323</v>
      </c>
      <c r="BK72" s="46">
        <f t="shared" si="37"/>
        <v>-8467.9782404650323</v>
      </c>
      <c r="BL72" s="46">
        <f t="shared" si="37"/>
        <v>-8467.9782404650323</v>
      </c>
      <c r="BM72" s="46">
        <f t="shared" si="37"/>
        <v>-8467.9782404650323</v>
      </c>
      <c r="BN72" s="46">
        <f t="shared" si="37"/>
        <v>-8467.9782404650323</v>
      </c>
      <c r="BO72" s="46">
        <f t="shared" si="37"/>
        <v>-8467.9782404650323</v>
      </c>
      <c r="BP72" s="46">
        <f t="shared" si="37"/>
        <v>-8467.9782404650323</v>
      </c>
      <c r="BQ72" s="46">
        <f t="shared" si="37"/>
        <v>-8467.9782404650323</v>
      </c>
      <c r="BR72" s="46">
        <f t="shared" si="37"/>
        <v>-8467.9782404650323</v>
      </c>
      <c r="BS72" s="46">
        <f t="shared" si="37"/>
        <v>-8467.9782404650323</v>
      </c>
      <c r="BT72" s="46">
        <f t="shared" si="37"/>
        <v>-8467.9782404650323</v>
      </c>
      <c r="BU72" s="46">
        <f t="shared" si="37"/>
        <v>-8467.9782404650323</v>
      </c>
      <c r="BV72" s="46">
        <f t="shared" si="37"/>
        <v>-8467.9782404650323</v>
      </c>
      <c r="BW72" s="46">
        <f t="shared" si="37"/>
        <v>-8467.9782404650323</v>
      </c>
      <c r="BX72" s="46">
        <f t="shared" si="37"/>
        <v>-8467.9782404650323</v>
      </c>
      <c r="BY72" s="46">
        <f t="shared" si="37"/>
        <v>-8467.9782404650323</v>
      </c>
      <c r="BZ72" s="46">
        <f t="shared" si="37"/>
        <v>-8467.9782404650323</v>
      </c>
      <c r="CA72" s="46">
        <f t="shared" si="37"/>
        <v>-8467.9782404650323</v>
      </c>
      <c r="CB72" s="46">
        <f t="shared" si="37"/>
        <v>-8467.9782404650323</v>
      </c>
      <c r="CC72" s="46">
        <f t="shared" si="37"/>
        <v>-8467.9782404650323</v>
      </c>
      <c r="CD72" s="46">
        <f t="shared" si="37"/>
        <v>-8467.9782404650323</v>
      </c>
      <c r="CE72" s="46">
        <f t="shared" si="37"/>
        <v>-8467.9782404650323</v>
      </c>
      <c r="CF72" s="46">
        <f t="shared" si="37"/>
        <v>-8467.9782404650323</v>
      </c>
      <c r="CG72" s="46">
        <f t="shared" si="37"/>
        <v>-8467.9782404650323</v>
      </c>
      <c r="CH72" s="46">
        <f t="shared" si="37"/>
        <v>-8467.9782404650323</v>
      </c>
      <c r="CI72" s="46">
        <f t="shared" si="37"/>
        <v>-8467.9782404650323</v>
      </c>
      <c r="CJ72" s="46">
        <f t="shared" si="37"/>
        <v>-8467.9782404650323</v>
      </c>
      <c r="CK72" s="46">
        <f t="shared" si="37"/>
        <v>-8467.9782404650323</v>
      </c>
      <c r="CL72" s="46">
        <f t="shared" ref="CL72:DR72" si="38">IF(CL71&lt;&gt;0,-$C$70,0)</f>
        <v>-8467.9782404650323</v>
      </c>
      <c r="CM72" s="46">
        <f t="shared" si="38"/>
        <v>-8467.9782404650323</v>
      </c>
      <c r="CN72" s="46">
        <f t="shared" si="38"/>
        <v>-8467.9782404650323</v>
      </c>
      <c r="CO72" s="46">
        <f t="shared" si="38"/>
        <v>-8467.9782404650323</v>
      </c>
      <c r="CP72" s="46">
        <f t="shared" si="38"/>
        <v>-8467.9782404650323</v>
      </c>
      <c r="CQ72" s="46">
        <f t="shared" si="38"/>
        <v>-8467.9782404650323</v>
      </c>
      <c r="CR72" s="46">
        <f t="shared" si="38"/>
        <v>-8467.9782404650323</v>
      </c>
      <c r="CS72" s="46">
        <f t="shared" si="38"/>
        <v>-8467.9782404650323</v>
      </c>
      <c r="CT72" s="46">
        <f t="shared" si="38"/>
        <v>-8467.9782404650323</v>
      </c>
      <c r="CU72" s="46">
        <f t="shared" si="38"/>
        <v>-8467.9782404650323</v>
      </c>
      <c r="CV72" s="46">
        <f t="shared" si="38"/>
        <v>-8467.9782404650323</v>
      </c>
      <c r="CW72" s="46">
        <f t="shared" si="38"/>
        <v>-8467.9782404650323</v>
      </c>
      <c r="CX72" s="46">
        <f t="shared" si="38"/>
        <v>-8467.9782404650323</v>
      </c>
      <c r="CY72" s="46">
        <f t="shared" si="38"/>
        <v>-8467.9782404650323</v>
      </c>
      <c r="CZ72" s="46">
        <f t="shared" si="38"/>
        <v>-8467.9782404650323</v>
      </c>
      <c r="DA72" s="46">
        <f t="shared" si="38"/>
        <v>-8467.9782404650323</v>
      </c>
      <c r="DB72" s="46">
        <f t="shared" si="38"/>
        <v>-8467.9782404650323</v>
      </c>
      <c r="DC72" s="46">
        <f t="shared" si="38"/>
        <v>-8467.9782404650323</v>
      </c>
      <c r="DD72" s="46">
        <f t="shared" si="38"/>
        <v>-8467.9782404650323</v>
      </c>
      <c r="DE72" s="46">
        <f t="shared" si="38"/>
        <v>-8467.9782404650323</v>
      </c>
      <c r="DF72" s="46">
        <f t="shared" si="38"/>
        <v>-8467.9782404650323</v>
      </c>
      <c r="DG72" s="46">
        <f t="shared" si="38"/>
        <v>-8467.9782404650323</v>
      </c>
      <c r="DH72" s="46">
        <f t="shared" si="38"/>
        <v>-8467.9782404650323</v>
      </c>
      <c r="DI72" s="46">
        <f t="shared" si="38"/>
        <v>-8467.9782404650323</v>
      </c>
      <c r="DJ72" s="46">
        <f t="shared" si="38"/>
        <v>-8467.9782404650323</v>
      </c>
      <c r="DK72" s="46">
        <f t="shared" si="38"/>
        <v>-8467.9782404650323</v>
      </c>
      <c r="DL72" s="46">
        <f t="shared" si="38"/>
        <v>-8467.9782404650323</v>
      </c>
      <c r="DM72" s="46">
        <f t="shared" si="38"/>
        <v>-8467.9782404650323</v>
      </c>
      <c r="DN72" s="46">
        <f t="shared" si="38"/>
        <v>-8467.9782404650323</v>
      </c>
      <c r="DO72" s="46">
        <f t="shared" si="38"/>
        <v>-8467.9782404650323</v>
      </c>
      <c r="DP72" s="46">
        <f t="shared" si="38"/>
        <v>-8467.9782404650323</v>
      </c>
      <c r="DQ72" s="46">
        <f t="shared" si="38"/>
        <v>-8467.9782404650323</v>
      </c>
      <c r="DR72" s="46">
        <f t="shared" si="38"/>
        <v>-8467.9782404650323</v>
      </c>
      <c r="DS72" s="46">
        <f t="shared" ref="DS72:DT72" si="39">IF(DS71&lt;&gt;0,-$C$70,0)</f>
        <v>-8467.9782404650323</v>
      </c>
      <c r="DT72" s="46">
        <f t="shared" si="39"/>
        <v>-8467.9782404650323</v>
      </c>
      <c r="DU72" s="46"/>
      <c r="DV72" s="135"/>
    </row>
    <row r="73" spans="1:126" s="36" customFormat="1" x14ac:dyDescent="0.2">
      <c r="A73" s="88"/>
      <c r="B73" s="102" t="s">
        <v>142</v>
      </c>
      <c r="C73" s="7">
        <f>C67</f>
        <v>1671250</v>
      </c>
      <c r="D73" s="132">
        <f>SUM(F73:DU73)</f>
        <v>-263237.61323890951</v>
      </c>
      <c r="E73" s="134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>
        <f>Z72+Z71</f>
        <v>-2200.7907404650923</v>
      </c>
      <c r="AA73" s="46">
        <f t="shared" ref="AA73:AI73" si="40">AA72+AA71</f>
        <v>-2209.0437057418358</v>
      </c>
      <c r="AB73" s="46">
        <f t="shared" si="40"/>
        <v>-2217.3276196383677</v>
      </c>
      <c r="AC73" s="46">
        <f t="shared" si="40"/>
        <v>-2225.6425982120118</v>
      </c>
      <c r="AD73" s="46">
        <f t="shared" si="40"/>
        <v>-2233.988757955306</v>
      </c>
      <c r="AE73" s="46">
        <f t="shared" si="40"/>
        <v>-2242.3662157976387</v>
      </c>
      <c r="AF73" s="46">
        <f t="shared" si="40"/>
        <v>-2250.775089106879</v>
      </c>
      <c r="AG73" s="46">
        <f t="shared" si="40"/>
        <v>-2259.2154956910308</v>
      </c>
      <c r="AH73" s="46">
        <f t="shared" si="40"/>
        <v>-2267.6875537998712</v>
      </c>
      <c r="AI73" s="46">
        <f t="shared" si="40"/>
        <v>-2276.1913821266226</v>
      </c>
      <c r="AJ73" s="46">
        <f t="shared" ref="AJ73:CU73" si="41">AJ72+AJ71</f>
        <v>-2284.7270998095946</v>
      </c>
      <c r="AK73" s="46">
        <f t="shared" si="41"/>
        <v>-2293.2948264338811</v>
      </c>
      <c r="AL73" s="46">
        <f t="shared" si="41"/>
        <v>-2301.8946820330084</v>
      </c>
      <c r="AM73" s="46">
        <f t="shared" si="41"/>
        <v>-2310.5267870906309</v>
      </c>
      <c r="AN73" s="46">
        <f t="shared" si="41"/>
        <v>-2319.191262542221</v>
      </c>
      <c r="AO73" s="46">
        <f t="shared" si="41"/>
        <v>-2327.8882297767559</v>
      </c>
      <c r="AP73" s="46">
        <f t="shared" si="41"/>
        <v>-2336.6178106384177</v>
      </c>
      <c r="AQ73" s="46">
        <f t="shared" si="41"/>
        <v>-2345.3801274283114</v>
      </c>
      <c r="AR73" s="46">
        <f t="shared" si="41"/>
        <v>-2354.1753029061683</v>
      </c>
      <c r="AS73" s="46">
        <f t="shared" si="41"/>
        <v>-2363.003460292065</v>
      </c>
      <c r="AT73" s="46">
        <f t="shared" si="41"/>
        <v>-2371.8647232681606</v>
      </c>
      <c r="AU73" s="46">
        <f t="shared" si="41"/>
        <v>-2380.7592159804153</v>
      </c>
      <c r="AV73" s="46">
        <f t="shared" si="41"/>
        <v>-2389.6870630403428</v>
      </c>
      <c r="AW73" s="46">
        <f t="shared" si="41"/>
        <v>-2398.6483895267438</v>
      </c>
      <c r="AX73" s="46">
        <f t="shared" si="41"/>
        <v>-2407.6433209874685</v>
      </c>
      <c r="AY73" s="46">
        <f t="shared" si="41"/>
        <v>-2416.6719834411715</v>
      </c>
      <c r="AZ73" s="46">
        <f t="shared" si="41"/>
        <v>-2425.7345033790762</v>
      </c>
      <c r="BA73" s="46">
        <f t="shared" si="41"/>
        <v>-2434.8310077667456</v>
      </c>
      <c r="BB73" s="46">
        <f t="shared" si="41"/>
        <v>-2443.9616240458708</v>
      </c>
      <c r="BC73" s="46">
        <f t="shared" si="41"/>
        <v>-2453.126480136043</v>
      </c>
      <c r="BD73" s="46">
        <f t="shared" si="41"/>
        <v>-2462.3257044365537</v>
      </c>
      <c r="BE73" s="46">
        <f t="shared" si="41"/>
        <v>-2471.5594258281899</v>
      </c>
      <c r="BF73" s="46">
        <f t="shared" si="41"/>
        <v>-2480.827773675046</v>
      </c>
      <c r="BG73" s="46">
        <f t="shared" si="41"/>
        <v>-2490.1308778263274</v>
      </c>
      <c r="BH73" s="46">
        <f t="shared" si="41"/>
        <v>-2499.4688686181753</v>
      </c>
      <c r="BI73" s="46">
        <f t="shared" si="41"/>
        <v>-2508.8418768754937</v>
      </c>
      <c r="BJ73" s="46">
        <f t="shared" si="41"/>
        <v>-2518.250033913776</v>
      </c>
      <c r="BK73" s="46">
        <f t="shared" si="41"/>
        <v>-2527.6934715409525</v>
      </c>
      <c r="BL73" s="46">
        <f t="shared" si="41"/>
        <v>-2537.1723220592312</v>
      </c>
      <c r="BM73" s="46">
        <f t="shared" si="41"/>
        <v>-2546.686718266953</v>
      </c>
      <c r="BN73" s="46">
        <f t="shared" si="41"/>
        <v>-2556.2367934604536</v>
      </c>
      <c r="BO73" s="46">
        <f t="shared" si="41"/>
        <v>-2565.8226814359314</v>
      </c>
      <c r="BP73" s="46">
        <f t="shared" si="41"/>
        <v>-2575.444516491315</v>
      </c>
      <c r="BQ73" s="46">
        <f t="shared" si="41"/>
        <v>-2585.1024334281565</v>
      </c>
      <c r="BR73" s="46">
        <f t="shared" si="41"/>
        <v>-2594.7965675535133</v>
      </c>
      <c r="BS73" s="46">
        <f t="shared" si="41"/>
        <v>-2604.5270546818374</v>
      </c>
      <c r="BT73" s="46">
        <f t="shared" si="41"/>
        <v>-2614.2940311368948</v>
      </c>
      <c r="BU73" s="46">
        <f t="shared" si="41"/>
        <v>-2624.0976337536586</v>
      </c>
      <c r="BV73" s="46">
        <f t="shared" si="41"/>
        <v>-2633.9379998802342</v>
      </c>
      <c r="BW73" s="46">
        <f t="shared" si="41"/>
        <v>-2643.8152673797858</v>
      </c>
      <c r="BX73" s="46">
        <f t="shared" si="41"/>
        <v>-2653.7295746324589</v>
      </c>
      <c r="BY73" s="46">
        <f t="shared" si="41"/>
        <v>-2663.6810605373294</v>
      </c>
      <c r="BZ73" s="46">
        <f t="shared" si="41"/>
        <v>-2673.6698645143442</v>
      </c>
      <c r="CA73" s="46">
        <f t="shared" si="41"/>
        <v>-2683.6961265062737</v>
      </c>
      <c r="CB73" s="46">
        <f t="shared" si="41"/>
        <v>-2693.7599869806727</v>
      </c>
      <c r="CC73" s="46">
        <f t="shared" si="41"/>
        <v>-2703.8615869318492</v>
      </c>
      <c r="CD73" s="46">
        <f t="shared" si="41"/>
        <v>-2714.0010678828439</v>
      </c>
      <c r="CE73" s="46">
        <f t="shared" si="41"/>
        <v>-2724.1785718874053</v>
      </c>
      <c r="CF73" s="46">
        <f t="shared" si="41"/>
        <v>-2734.3942415319816</v>
      </c>
      <c r="CG73" s="46">
        <f t="shared" si="41"/>
        <v>-2744.648219937726</v>
      </c>
      <c r="CH73" s="46">
        <f t="shared" si="41"/>
        <v>-2754.9406507624917</v>
      </c>
      <c r="CI73" s="46">
        <f t="shared" si="41"/>
        <v>-2765.271678202851</v>
      </c>
      <c r="CJ73" s="46">
        <f t="shared" si="41"/>
        <v>-2775.641446996111</v>
      </c>
      <c r="CK73" s="46">
        <f t="shared" si="41"/>
        <v>-2786.0501024223477</v>
      </c>
      <c r="CL73" s="46">
        <f t="shared" si="41"/>
        <v>-2796.49779030643</v>
      </c>
      <c r="CM73" s="46">
        <f t="shared" si="41"/>
        <v>-2806.9846570200789</v>
      </c>
      <c r="CN73" s="46">
        <f t="shared" si="41"/>
        <v>-2817.5108494839051</v>
      </c>
      <c r="CO73" s="46">
        <f t="shared" si="41"/>
        <v>-2828.0765151694686</v>
      </c>
      <c r="CP73" s="46">
        <f t="shared" si="41"/>
        <v>-2838.6818021013551</v>
      </c>
      <c r="CQ73" s="46">
        <f t="shared" si="41"/>
        <v>-2849.3268588592355</v>
      </c>
      <c r="CR73" s="46">
        <f t="shared" si="41"/>
        <v>-2860.0118345799556</v>
      </c>
      <c r="CS73" s="46">
        <f t="shared" si="41"/>
        <v>-2870.7368789596303</v>
      </c>
      <c r="CT73" s="46">
        <f t="shared" si="41"/>
        <v>-2881.5021422557284</v>
      </c>
      <c r="CU73" s="46">
        <f t="shared" si="41"/>
        <v>-2892.3077752891895</v>
      </c>
      <c r="CV73" s="46">
        <f t="shared" ref="CV73:DR73" si="42">CV72+CV71</f>
        <v>-2903.1539294465229</v>
      </c>
      <c r="CW73" s="46">
        <f t="shared" si="42"/>
        <v>-2914.0407566819467</v>
      </c>
      <c r="CX73" s="46">
        <f t="shared" si="42"/>
        <v>-2924.9684095195034</v>
      </c>
      <c r="CY73" s="46">
        <f t="shared" si="42"/>
        <v>-2935.9370410552019</v>
      </c>
      <c r="CZ73" s="46">
        <f t="shared" si="42"/>
        <v>-2946.9468049591569</v>
      </c>
      <c r="DA73" s="46">
        <f t="shared" si="42"/>
        <v>-2957.9978554777545</v>
      </c>
      <c r="DB73" s="46">
        <f t="shared" si="42"/>
        <v>-2969.0903474357974</v>
      </c>
      <c r="DC73" s="46">
        <f t="shared" si="42"/>
        <v>-2980.22443623868</v>
      </c>
      <c r="DD73" s="46">
        <f t="shared" si="42"/>
        <v>-2991.4002778745753</v>
      </c>
      <c r="DE73" s="46">
        <f t="shared" si="42"/>
        <v>-3002.6180289166041</v>
      </c>
      <c r="DF73" s="46">
        <f t="shared" si="42"/>
        <v>-3013.8778465250416</v>
      </c>
      <c r="DG73" s="46">
        <f t="shared" si="42"/>
        <v>-3025.1798884495111</v>
      </c>
      <c r="DH73" s="46">
        <f t="shared" si="42"/>
        <v>-3036.5243130311947</v>
      </c>
      <c r="DI73" s="46">
        <f t="shared" si="42"/>
        <v>-3047.9112792050619</v>
      </c>
      <c r="DJ73" s="46">
        <f t="shared" si="42"/>
        <v>-3059.3409465020814</v>
      </c>
      <c r="DK73" s="46">
        <f t="shared" si="42"/>
        <v>-3070.8134750514646</v>
      </c>
      <c r="DL73" s="46">
        <f t="shared" si="42"/>
        <v>-3082.3290255829061</v>
      </c>
      <c r="DM73" s="46">
        <f t="shared" si="42"/>
        <v>-3093.8877594288415</v>
      </c>
      <c r="DN73" s="46">
        <f t="shared" si="42"/>
        <v>-3105.4898385266997</v>
      </c>
      <c r="DO73" s="46">
        <f t="shared" si="42"/>
        <v>-3117.1354254211747</v>
      </c>
      <c r="DP73" s="46">
        <f t="shared" si="42"/>
        <v>-3128.8246832665036</v>
      </c>
      <c r="DQ73" s="46">
        <f t="shared" si="42"/>
        <v>-3140.5577758287536</v>
      </c>
      <c r="DR73" s="46">
        <f t="shared" si="42"/>
        <v>-3152.3348674881108</v>
      </c>
      <c r="DS73" s="46">
        <f t="shared" ref="DS73:DT73" si="43">DS72+DS71</f>
        <v>-3164.1561232411905</v>
      </c>
      <c r="DT73" s="46">
        <f t="shared" si="43"/>
        <v>-3176.0217087033452</v>
      </c>
      <c r="DU73" s="46"/>
      <c r="DV73" s="135"/>
    </row>
    <row r="74" spans="1:126" s="36" customFormat="1" x14ac:dyDescent="0.2">
      <c r="A74" s="88"/>
      <c r="B74" s="102"/>
      <c r="C74" s="7"/>
      <c r="D74" s="132"/>
      <c r="E74" s="134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135"/>
    </row>
    <row r="75" spans="1:126" s="36" customFormat="1" x14ac:dyDescent="0.2">
      <c r="A75" s="88"/>
      <c r="B75" s="102" t="s">
        <v>76</v>
      </c>
      <c r="C75" s="7"/>
      <c r="D75" s="132">
        <f>SUM(F75:DU75)</f>
        <v>-1408012.38676108</v>
      </c>
      <c r="E75" s="134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>
        <f>IF(Summary!$K$37='Cash Flow Statement'!AC2,-PV((Summary!$P$34+Summary!$P$35)/12,(Summary!$M$34*12)-COUNT($F$71:$DR$71),'Cash Flow Statement'!$C$70),0)</f>
        <v>0</v>
      </c>
      <c r="AD75" s="46">
        <f>IF(Summary!$K$37='Cash Flow Statement'!AD2,-PV((Summary!$P$34+Summary!$P$35)/12,(Summary!$M$34*12)-COUNT($F$71:$DR$71),'Cash Flow Statement'!$C$70),0)</f>
        <v>0</v>
      </c>
      <c r="AE75" s="46">
        <f>IF(Summary!$K$37='Cash Flow Statement'!AE2,-PV((Summary!$P$34+Summary!$P$35)/12,(Summary!$M$34*12)-COUNT($F$71:$DR$71),'Cash Flow Statement'!$C$70),0)</f>
        <v>0</v>
      </c>
      <c r="AF75" s="46">
        <f>IF(Summary!$K$37='Cash Flow Statement'!AF2,-PV((Summary!$P$34+Summary!$P$35)/12,(Summary!$M$34*12)-COUNT($F$71:$DR$71),'Cash Flow Statement'!$C$70),0)</f>
        <v>0</v>
      </c>
      <c r="AG75" s="46">
        <f>IF(Summary!$K$37='Cash Flow Statement'!AG2,-PV((Summary!$P$34+Summary!$P$35)/12,(Summary!$M$34*12)-COUNT($F$71:$DR$71),'Cash Flow Statement'!$C$70),0)</f>
        <v>0</v>
      </c>
      <c r="AH75" s="46">
        <f>IF(Summary!$K$37='Cash Flow Statement'!AH2,-PV((Summary!$P$34+Summary!$P$35)/12,(Summary!$M$34*12)-COUNT($F$71:$DR$71),'Cash Flow Statement'!$C$70),0)</f>
        <v>0</v>
      </c>
      <c r="AI75" s="46">
        <f>IF(Summary!$K$37='Cash Flow Statement'!AI2,-PV((Summary!$P$34+Summary!$P$35)/12,(Summary!$M$34*12)-COUNT($F$71:$DR$71),'Cash Flow Statement'!$C$70),0)</f>
        <v>0</v>
      </c>
      <c r="AJ75" s="46">
        <f>IF(Summary!$K$37='Cash Flow Statement'!AJ2,-PV((Summary!$P$34+Summary!$P$35)/12,(Summary!$M$34*12)-COUNT($F$71:$DR$71),'Cash Flow Statement'!$C$70),0)</f>
        <v>0</v>
      </c>
      <c r="AK75" s="46">
        <f>IF(Summary!$K$37='Cash Flow Statement'!AK2,-PV((Summary!$P$34+Summary!$P$35)/12,(Summary!$M$34*12)-COUNT($F$71:$DR$71),'Cash Flow Statement'!$C$70),0)</f>
        <v>0</v>
      </c>
      <c r="AL75" s="46">
        <f>IF(Summary!$K$37='Cash Flow Statement'!AL2,-PV((Summary!$P$34+Summary!$P$35)/12,(Summary!$M$34*12)-COUNT($F$71:$DR$71),'Cash Flow Statement'!$C$70),0)</f>
        <v>0</v>
      </c>
      <c r="AM75" s="46">
        <f>IF(Summary!$K$37='Cash Flow Statement'!AM2,-PV((Summary!$P$34+Summary!$P$35)/12,(Summary!$M$34*12)-COUNT($F$71:$DR$71),'Cash Flow Statement'!$C$70),0)</f>
        <v>0</v>
      </c>
      <c r="AN75" s="46">
        <f>IF(Summary!$K$37='Cash Flow Statement'!AN2,-PV((Summary!$P$34+Summary!$P$35)/12,(Summary!$M$34*12)-COUNT($F$71:$DR$71),'Cash Flow Statement'!$C$70),0)</f>
        <v>0</v>
      </c>
      <c r="AO75" s="46">
        <f>IF(Summary!$K$37='Cash Flow Statement'!AO2,-PV((Summary!$P$34+Summary!$P$35)/12,(Summary!$M$34*12)-COUNT($F$71:$DR$71),'Cash Flow Statement'!$C$70),0)</f>
        <v>0</v>
      </c>
      <c r="AP75" s="46">
        <f>IF(Summary!$K$37='Cash Flow Statement'!AP2,-PV((Summary!$P$34+Summary!$P$35)/12,(Summary!$M$34*12)-COUNT($F$71:$DR$71),'Cash Flow Statement'!$C$70),0)</f>
        <v>0</v>
      </c>
      <c r="AQ75" s="46">
        <f>IF(Summary!$K$37='Cash Flow Statement'!AQ2,-PV((Summary!$P$34+Summary!$P$35)/12,(Summary!$M$34*12)-COUNT($F$71:$DR$71),'Cash Flow Statement'!$C$70),0)</f>
        <v>0</v>
      </c>
      <c r="AR75" s="46">
        <f>IF(Summary!$K$37='Cash Flow Statement'!AR2,-PV((Summary!$P$34+Summary!$P$35)/12,(Summary!$M$34*12)-COUNT($F$71:$DR$71),'Cash Flow Statement'!$C$70),0)</f>
        <v>0</v>
      </c>
      <c r="AS75" s="46">
        <f>IF(Summary!$K$37='Cash Flow Statement'!AS2,-PV((Summary!$P$34+Summary!$P$35)/12,(Summary!$M$34*12)-COUNT($F$71:$DR$71),'Cash Flow Statement'!$C$70),0)</f>
        <v>0</v>
      </c>
      <c r="AT75" s="46">
        <f>IF(Summary!$K$37='Cash Flow Statement'!AT2,-PV((Summary!$P$34+Summary!$P$35)/12,(Summary!$M$34*12)-COUNT($F$71:$DR$71),'Cash Flow Statement'!$C$70),0)</f>
        <v>0</v>
      </c>
      <c r="AU75" s="46">
        <f>IF(Summary!$K$37='Cash Flow Statement'!AU2,-PV((Summary!$P$34+Summary!$P$35)/12,(Summary!$M$34*12)-COUNT($F$71:$DR$71),'Cash Flow Statement'!$C$70),0)</f>
        <v>0</v>
      </c>
      <c r="AV75" s="46">
        <f>IF(Summary!$K$37='Cash Flow Statement'!AV2,-PV((Summary!$P$34+Summary!$P$35)/12,(Summary!$M$34*12)-COUNT($F$71:$DR$71),'Cash Flow Statement'!$C$70),0)</f>
        <v>0</v>
      </c>
      <c r="AW75" s="46">
        <f>IF(Summary!$K$37='Cash Flow Statement'!AW2,-PV((Summary!$P$34+Summary!$P$35)/12,(Summary!$M$34*12)-COUNT($F$71:$DR$71),'Cash Flow Statement'!$C$70),0)</f>
        <v>0</v>
      </c>
      <c r="AX75" s="46">
        <f>IF(Summary!$K$37='Cash Flow Statement'!AX2,-PV((Summary!$P$34+Summary!$P$35)/12,(Summary!$M$34*12)-COUNT($F$71:$DR$71),'Cash Flow Statement'!$C$70),0)</f>
        <v>0</v>
      </c>
      <c r="AY75" s="46">
        <f>IF(Summary!$K$37='Cash Flow Statement'!AY2,-PV((Summary!$P$34+Summary!$P$35)/12,(Summary!$M$34*12)-COUNT($F$71:$DR$71),'Cash Flow Statement'!$C$70),0)</f>
        <v>0</v>
      </c>
      <c r="AZ75" s="46">
        <f>IF(Summary!$K$37='Cash Flow Statement'!AZ2,-PV((Summary!$P$34+Summary!$P$35)/12,(Summary!$M$34*12)-COUNT($F$71:$DR$71),'Cash Flow Statement'!$C$70),0)</f>
        <v>0</v>
      </c>
      <c r="BA75" s="46">
        <f>IF(Summary!$K$37='Cash Flow Statement'!BA2,-PV((Summary!$P$34+Summary!$P$35)/12,(Summary!$M$34*12)-COUNT($F$71:$DR$71),'Cash Flow Statement'!$C$70),0)</f>
        <v>0</v>
      </c>
      <c r="BB75" s="46">
        <f>IF(Summary!$K$37='Cash Flow Statement'!BB2,-PV((Summary!$P$34+Summary!$P$35)/12,(Summary!$M$34*12)-COUNT($F$71:$DR$71),'Cash Flow Statement'!$C$70),0)</f>
        <v>0</v>
      </c>
      <c r="BC75" s="46">
        <f>IF(Summary!$K$37='Cash Flow Statement'!BC2,-PV((Summary!$P$34+Summary!$P$35)/12,(Summary!$M$34*12)-COUNT($F$71:$DR$71),'Cash Flow Statement'!$C$70),0)</f>
        <v>0</v>
      </c>
      <c r="BD75" s="46">
        <f>IF(Summary!$K$37='Cash Flow Statement'!BD2,-PV((Summary!$P$34+Summary!$P$35)/12,(Summary!$M$34*12)-COUNT($F$71:$DR$71),'Cash Flow Statement'!$C$70),0)</f>
        <v>0</v>
      </c>
      <c r="BE75" s="46">
        <f>IF(Summary!$K$37='Cash Flow Statement'!BE2,-PV((Summary!$P$34+Summary!$P$35)/12,(Summary!$M$34*12)-COUNT($F$71:$DR$71),'Cash Flow Statement'!$C$70),0)</f>
        <v>0</v>
      </c>
      <c r="BF75" s="46">
        <f>IF(Summary!$K$37='Cash Flow Statement'!BF2,-PV((Summary!$P$34+Summary!$P$35)/12,(Summary!$M$34*12)-COUNT($F$71:$DR$71),'Cash Flow Statement'!$C$70),0)</f>
        <v>0</v>
      </c>
      <c r="BG75" s="46">
        <f>IF(Summary!$K$37='Cash Flow Statement'!BG2,-PV((Summary!$P$34+Summary!$P$35)/12,(Summary!$M$34*12)-COUNT($F$71:$DR$71),'Cash Flow Statement'!$C$70),0)</f>
        <v>0</v>
      </c>
      <c r="BH75" s="46">
        <f>IF(Summary!$K$37='Cash Flow Statement'!BH2,-PV((Summary!$P$34+Summary!$P$35)/12,(Summary!$M$34*12)-COUNT($F$71:$DR$71),'Cash Flow Statement'!$C$70),0)</f>
        <v>0</v>
      </c>
      <c r="BI75" s="46">
        <f>IF(Summary!$K$37='Cash Flow Statement'!BI2,-PV((Summary!$P$34+Summary!$P$35)/12,(Summary!$M$34*12)-COUNT($F$71:$DR$71),'Cash Flow Statement'!$C$70),0)</f>
        <v>0</v>
      </c>
      <c r="BJ75" s="46">
        <f>IF(Summary!$K$37='Cash Flow Statement'!BJ2,-PV((Summary!$P$34+Summary!$P$35)/12,(Summary!$M$34*12)-COUNT($F$71:$DR$71),'Cash Flow Statement'!$C$70),0)</f>
        <v>0</v>
      </c>
      <c r="BK75" s="46">
        <f>IF(Summary!$K$37='Cash Flow Statement'!BK2,-PV((Summary!$P$34+Summary!$P$35)/12,(Summary!$M$34*12)-COUNT($F$71:$DR$71),'Cash Flow Statement'!$C$70),0)</f>
        <v>0</v>
      </c>
      <c r="BL75" s="46">
        <f>IF(Summary!$K$37='Cash Flow Statement'!BL2,-PV((Summary!$P$34+Summary!$P$35)/12,(Summary!$M$34*12)-COUNT($F$71:$DR$71),'Cash Flow Statement'!$C$70),0)</f>
        <v>0</v>
      </c>
      <c r="BM75" s="46">
        <f>IF(Summary!$K$37='Cash Flow Statement'!BM2,-PV((Summary!$P$34+Summary!$P$35)/12,(Summary!$M$34*12)-COUNT($F$71:$DR$71),'Cash Flow Statement'!$C$70),0)</f>
        <v>0</v>
      </c>
      <c r="BN75" s="46">
        <f>IF(Summary!$K$37='Cash Flow Statement'!BN2,-PV((Summary!$P$34+Summary!$P$35)/12,(Summary!$M$34*12)-COUNT($F$71:$DR$71),'Cash Flow Statement'!$C$70),0)</f>
        <v>0</v>
      </c>
      <c r="BO75" s="46">
        <f>IF(Summary!$K$37='Cash Flow Statement'!BO2,-PV((Summary!$P$34+Summary!$P$35)/12,(Summary!$M$34*12)-COUNT($F$71:$DR$71),'Cash Flow Statement'!$C$70),0)</f>
        <v>0</v>
      </c>
      <c r="BP75" s="46">
        <f>IF(Summary!$K$37='Cash Flow Statement'!BP2,-PV((Summary!$P$34+Summary!$P$35)/12,(Summary!$M$34*12)-COUNT($F$71:$DR$71),'Cash Flow Statement'!$C$70),0)</f>
        <v>0</v>
      </c>
      <c r="BQ75" s="46">
        <f>IF(Summary!$K$37='Cash Flow Statement'!BQ2,-PV((Summary!$P$34+Summary!$P$35)/12,(Summary!$M$34*12)-COUNT($F$71:$DR$71),'Cash Flow Statement'!$C$70),0)</f>
        <v>0</v>
      </c>
      <c r="BR75" s="46">
        <f>IF(Summary!$K$37='Cash Flow Statement'!BR2,-PV((Summary!$P$34+Summary!$P$35)/12,(Summary!$M$34*12)-COUNT($F$71:$DR$71),'Cash Flow Statement'!$C$70),0)</f>
        <v>0</v>
      </c>
      <c r="BS75" s="46">
        <f>IF(Summary!$K$37='Cash Flow Statement'!BS2,-PV((Summary!$P$34+Summary!$P$35)/12,(Summary!$M$34*12)-COUNT($F$71:$DR$71),'Cash Flow Statement'!$C$70),0)</f>
        <v>0</v>
      </c>
      <c r="BT75" s="46">
        <f>IF(Summary!$K$37='Cash Flow Statement'!BT2,-PV((Summary!$P$34+Summary!$P$35)/12,(Summary!$M$34*12)-COUNT($F$71:$DR$71),'Cash Flow Statement'!$C$70),0)</f>
        <v>0</v>
      </c>
      <c r="BU75" s="46">
        <f>IF(Summary!$K$37='Cash Flow Statement'!BU2,-PV((Summary!$P$34+Summary!$P$35)/12,(Summary!$M$34*12)-COUNT($F$71:$DR$71),'Cash Flow Statement'!$C$70),0)</f>
        <v>0</v>
      </c>
      <c r="BV75" s="46">
        <f>IF(Summary!$K$37='Cash Flow Statement'!BV2,-PV((Summary!$P$34+Summary!$P$35)/12,(Summary!$M$34*12)-COUNT($F$71:$DR$71),'Cash Flow Statement'!$C$70),0)</f>
        <v>0</v>
      </c>
      <c r="BW75" s="46">
        <f>IF(Summary!$K$37='Cash Flow Statement'!BW2,-PV((Summary!$P$34+Summary!$P$35)/12,(Summary!$M$34*12)-COUNT($F$71:$DR$71),'Cash Flow Statement'!$C$70),0)</f>
        <v>0</v>
      </c>
      <c r="BX75" s="46">
        <f>IF(Summary!$K$37='Cash Flow Statement'!BX2,-PV((Summary!$P$34+Summary!$P$35)/12,(Summary!$M$34*12)-COUNT($F$71:$DR$71),'Cash Flow Statement'!$C$70),0)</f>
        <v>0</v>
      </c>
      <c r="BY75" s="46">
        <f>IF(Summary!$K$37='Cash Flow Statement'!BY2,-PV((Summary!$P$34+Summary!$P$35)/12,(Summary!$M$34*12)-COUNT($F$71:$DR$71),'Cash Flow Statement'!$C$70),0)</f>
        <v>0</v>
      </c>
      <c r="BZ75" s="46">
        <f>IF(Summary!$K$37='Cash Flow Statement'!BZ2,-PV((Summary!$P$34+Summary!$P$35)/12,(Summary!$M$34*12)-COUNT($F$71:$DR$71),'Cash Flow Statement'!$C$70),0)</f>
        <v>0</v>
      </c>
      <c r="CA75" s="46">
        <f>IF(Summary!$K$37='Cash Flow Statement'!CA2,-PV((Summary!$P$34+Summary!$P$35)/12,(Summary!$M$34*12)-COUNT($F$71:$DR$71),'Cash Flow Statement'!$C$70),0)</f>
        <v>0</v>
      </c>
      <c r="CB75" s="46">
        <f>IF(Summary!$K$37='Cash Flow Statement'!CB2,-PV((Summary!$P$34+Summary!$P$35)/12,(Summary!$M$34*12)-COUNT($F$71:$DR$71),'Cash Flow Statement'!$C$70),0)</f>
        <v>0</v>
      </c>
      <c r="CC75" s="46">
        <f>IF(Summary!$K$37='Cash Flow Statement'!CC2,-PV((Summary!$P$34+Summary!$P$35)/12,(Summary!$M$34*12)-COUNT($F$71:$DR$71),'Cash Flow Statement'!$C$70),0)</f>
        <v>0</v>
      </c>
      <c r="CD75" s="46">
        <f>IF(Summary!$K$37='Cash Flow Statement'!CD2,-PV((Summary!$P$34+Summary!$P$35)/12,(Summary!$M$34*12)-COUNT($F$71:$DR$71),'Cash Flow Statement'!$C$70),0)</f>
        <v>0</v>
      </c>
      <c r="CE75" s="46">
        <f>IF(Summary!$K$37='Cash Flow Statement'!CE2,-PV((Summary!$P$34+Summary!$P$35)/12,(Summary!$M$34*12)-COUNT($F$71:$DR$71),'Cash Flow Statement'!$C$70),0)</f>
        <v>0</v>
      </c>
      <c r="CF75" s="46">
        <f>IF(Summary!$K$37='Cash Flow Statement'!CF2,-PV((Summary!$P$34+Summary!$P$35)/12,(Summary!$M$34*12)-COUNT($F$71:$DR$71),'Cash Flow Statement'!$C$70),0)</f>
        <v>0</v>
      </c>
      <c r="CG75" s="46">
        <f>IF(Summary!$K$37='Cash Flow Statement'!CG2,-PV((Summary!$P$34+Summary!$P$35)/12,(Summary!$M$34*12)-COUNT($F$71:$DR$71),'Cash Flow Statement'!$C$70),0)</f>
        <v>0</v>
      </c>
      <c r="CH75" s="46">
        <f>IF(Summary!$K$37='Cash Flow Statement'!CH2,-PV((Summary!$P$34+Summary!$P$35)/12,(Summary!$M$34*12)-COUNT($F$71:$DR$71),'Cash Flow Statement'!$C$70),0)</f>
        <v>0</v>
      </c>
      <c r="CI75" s="46">
        <f>IF(Summary!$K$37='Cash Flow Statement'!CI2,-PV((Summary!$P$34+Summary!$P$35)/12,(Summary!$M$34*12)-COUNT($F$71:$DR$71),'Cash Flow Statement'!$C$70),0)</f>
        <v>0</v>
      </c>
      <c r="CJ75" s="46">
        <f>IF(Summary!$K$37='Cash Flow Statement'!CJ2,-PV((Summary!$P$34+Summary!$P$35)/12,(Summary!$M$34*12)-COUNT($F$71:$DR$71),'Cash Flow Statement'!$C$70),0)</f>
        <v>0</v>
      </c>
      <c r="CK75" s="46">
        <f>IF(Summary!$K$37='Cash Flow Statement'!CK2,-PV((Summary!$P$34+Summary!$P$35)/12,(Summary!$M$34*12)-COUNT($F$71:$DR$71),'Cash Flow Statement'!$C$70),0)</f>
        <v>0</v>
      </c>
      <c r="CL75" s="46">
        <f>IF(Summary!$K$37='Cash Flow Statement'!CL2,-PV((Summary!$P$34+Summary!$P$35)/12,(Summary!$M$34*12)-COUNT($F$71:$DR$71),'Cash Flow Statement'!$C$70),0)</f>
        <v>0</v>
      </c>
      <c r="CM75" s="46">
        <f>IF(Summary!$K$37='Cash Flow Statement'!CM2,-PV((Summary!$P$34+Summary!$P$35)/12,(Summary!$M$34*12)-COUNT($F$71:$DR$71),'Cash Flow Statement'!$C$70),0)</f>
        <v>0</v>
      </c>
      <c r="CN75" s="46">
        <f>IF(Summary!$K$37='Cash Flow Statement'!CN2,-PV((Summary!$P$34+Summary!$P$35)/12,(Summary!$M$34*12)-COUNT($F$71:$DR$71),'Cash Flow Statement'!$C$70),0)</f>
        <v>0</v>
      </c>
      <c r="CO75" s="46">
        <f>IF(Summary!$K$37='Cash Flow Statement'!CO2,-PV((Summary!$P$34+Summary!$P$35)/12,(Summary!$M$34*12)-COUNT($F$71:$DR$71),'Cash Flow Statement'!$C$70),0)</f>
        <v>0</v>
      </c>
      <c r="CP75" s="46">
        <f>IF(Summary!$K$37='Cash Flow Statement'!CP2,-PV((Summary!$P$34+Summary!$P$35)/12,(Summary!$M$34*12)-COUNT($F$71:$DR$71),'Cash Flow Statement'!$C$70),0)</f>
        <v>0</v>
      </c>
      <c r="CQ75" s="46">
        <f>IF(Summary!$K$37='Cash Flow Statement'!CQ2,-PV((Summary!$P$34+Summary!$P$35)/12,(Summary!$M$34*12)-COUNT($F$71:$DR$71),'Cash Flow Statement'!$C$70),0)</f>
        <v>0</v>
      </c>
      <c r="CR75" s="46">
        <f>IF(Summary!$K$37='Cash Flow Statement'!CR2,-PV((Summary!$P$34+Summary!$P$35)/12,(Summary!$M$34*12)-COUNT($F$71:$DR$71),'Cash Flow Statement'!$C$70),0)</f>
        <v>0</v>
      </c>
      <c r="CS75" s="46">
        <f>IF(Summary!$K$37='Cash Flow Statement'!CS2,-PV((Summary!$P$34+Summary!$P$35)/12,(Summary!$M$34*12)-COUNT($F$71:$DR$71),'Cash Flow Statement'!$C$70),0)</f>
        <v>0</v>
      </c>
      <c r="CT75" s="46">
        <f>IF(Summary!$K$37='Cash Flow Statement'!CT2,-PV((Summary!$P$34+Summary!$P$35)/12,(Summary!$M$34*12)-COUNT($F$71:$DR$71),'Cash Flow Statement'!$C$70),0)</f>
        <v>0</v>
      </c>
      <c r="CU75" s="46">
        <f>IF(Summary!$K$37='Cash Flow Statement'!CU2,-PV((Summary!$P$34+Summary!$P$35)/12,(Summary!$M$34*12)-COUNT($F$71:$DR$71),'Cash Flow Statement'!$C$70),0)</f>
        <v>0</v>
      </c>
      <c r="CV75" s="46">
        <f>IF(Summary!$K$37='Cash Flow Statement'!CV2,-PV((Summary!$P$34+Summary!$P$35)/12,(Summary!$M$34*12)-COUNT($F$71:$DR$71),'Cash Flow Statement'!$C$70),0)</f>
        <v>0</v>
      </c>
      <c r="CW75" s="46">
        <f>IF(Summary!$K$37='Cash Flow Statement'!CW2,-PV((Summary!$P$34+Summary!$P$35)/12,(Summary!$M$34*12)-COUNT($F$71:$DR$71),'Cash Flow Statement'!$C$70),0)</f>
        <v>0</v>
      </c>
      <c r="CX75" s="46">
        <f>IF(Summary!$K$37='Cash Flow Statement'!CX2,-PV((Summary!$P$34+Summary!$P$35)/12,(Summary!$M$34*12)-COUNT($F$71:$DR$71),'Cash Flow Statement'!$C$70),0)</f>
        <v>0</v>
      </c>
      <c r="CY75" s="46">
        <f>IF(Summary!$K$37='Cash Flow Statement'!CY2,-PV((Summary!$P$34+Summary!$P$35)/12,(Summary!$M$34*12)-COUNT($F$71:$DR$71),'Cash Flow Statement'!$C$70),0)</f>
        <v>0</v>
      </c>
      <c r="CZ75" s="46">
        <f>IF(Summary!$K$37='Cash Flow Statement'!CZ2,-PV((Summary!$P$34+Summary!$P$35)/12,(Summary!$M$34*12)-COUNT($F$71:$DR$71),'Cash Flow Statement'!$C$70),0)</f>
        <v>0</v>
      </c>
      <c r="DA75" s="46">
        <f>IF(Summary!$K$37='Cash Flow Statement'!DA2,-PV((Summary!$P$34+Summary!$P$35)/12,(Summary!$M$34*12)-COUNT($F$71:$DR$71),'Cash Flow Statement'!$C$70),0)</f>
        <v>0</v>
      </c>
      <c r="DB75" s="46">
        <f>IF(Summary!$K$37='Cash Flow Statement'!DB2,-PV((Summary!$P$34+Summary!$P$35)/12,(Summary!$M$34*12)-COUNT($F$71:$DR$71),'Cash Flow Statement'!$C$70),0)</f>
        <v>0</v>
      </c>
      <c r="DC75" s="46">
        <f>IF(Summary!$K$37='Cash Flow Statement'!DC2,-PV((Summary!$P$34+Summary!$P$35)/12,(Summary!$M$34*12)-COUNT($F$71:$DR$71),'Cash Flow Statement'!$C$70),0)</f>
        <v>0</v>
      </c>
      <c r="DD75" s="46">
        <f>IF(Summary!$K$37='Cash Flow Statement'!DD2,-PV((Summary!$P$34+Summary!$P$35)/12,(Summary!$M$34*12)-COUNT($F$71:$DR$71),'Cash Flow Statement'!$C$70),0)</f>
        <v>0</v>
      </c>
      <c r="DE75" s="46">
        <f>IF(Summary!$K$37='Cash Flow Statement'!DE2,-PV((Summary!$P$34+Summary!$P$35)/12,(Summary!$M$34*12)-COUNT($F$71:$DR$71),'Cash Flow Statement'!$C$70),0)</f>
        <v>0</v>
      </c>
      <c r="DF75" s="46">
        <f>IF(Summary!$K$37='Cash Flow Statement'!DF2,-PV((Summary!$P$34+Summary!$P$35)/12,(Summary!$M$34*12)-COUNT($F$71:$DR$71),'Cash Flow Statement'!$C$70),0)</f>
        <v>0</v>
      </c>
      <c r="DG75" s="46">
        <f>IF(Summary!$K$37='Cash Flow Statement'!DG2,-PV((Summary!$P$34+Summary!$P$35)/12,(Summary!$M$34*12)-COUNT($F$71:$DR$71),'Cash Flow Statement'!$C$70),0)</f>
        <v>0</v>
      </c>
      <c r="DH75" s="46">
        <f>IF(Summary!$K$37='Cash Flow Statement'!DH2,-PV((Summary!$P$34+Summary!$P$35)/12,(Summary!$M$34*12)-COUNT($F$71:$DR$71),'Cash Flow Statement'!$C$70),0)</f>
        <v>0</v>
      </c>
      <c r="DI75" s="46">
        <f>IF(Summary!$K$37='Cash Flow Statement'!DI2,-PV((Summary!$P$34+Summary!$P$35)/12,(Summary!$M$34*12)-COUNT($F$71:$DR$71),'Cash Flow Statement'!$C$70),0)</f>
        <v>0</v>
      </c>
      <c r="DJ75" s="46">
        <f>IF(Summary!$K$37='Cash Flow Statement'!DJ2,-PV((Summary!$P$34+Summary!$P$35)/12,(Summary!$M$34*12)-COUNT($F$71:$DR$71),'Cash Flow Statement'!$C$70),0)</f>
        <v>0</v>
      </c>
      <c r="DK75" s="46">
        <f>IF(Summary!$K$37='Cash Flow Statement'!DK2,-PV((Summary!$P$34+Summary!$P$35)/12,(Summary!$M$34*12)-COUNT($F$71:$DR$71),'Cash Flow Statement'!$C$70),0)</f>
        <v>0</v>
      </c>
      <c r="DL75" s="46">
        <f>IF(Summary!$K$37='Cash Flow Statement'!DL2,-PV((Summary!$P$34+Summary!$P$35)/12,(Summary!$M$34*12)-COUNT($F$71:$DR$71),'Cash Flow Statement'!$C$70),0)</f>
        <v>0</v>
      </c>
      <c r="DM75" s="46">
        <f>IF(Summary!$K$37='Cash Flow Statement'!DM2,-PV((Summary!$P$34+Summary!$P$35)/12,(Summary!$M$34*12)-COUNT($F$71:$DR$71),'Cash Flow Statement'!$C$70),0)</f>
        <v>0</v>
      </c>
      <c r="DN75" s="46">
        <f>IF(Summary!$K$37='Cash Flow Statement'!DN2,-PV((Summary!$P$34+Summary!$P$35)/12,(Summary!$M$34*12)-COUNT($F$71:$DR$71),'Cash Flow Statement'!$C$70),0)</f>
        <v>0</v>
      </c>
      <c r="DO75" s="46">
        <f>IF(Summary!$K$37='Cash Flow Statement'!DO2,-PV((Summary!$P$34+Summary!$P$35)/12,(Summary!$M$34*12)-COUNT($F$71:$DR$71),'Cash Flow Statement'!$C$70),0)</f>
        <v>0</v>
      </c>
      <c r="DP75" s="46">
        <f>IF(Summary!$K$37='Cash Flow Statement'!DP2,-PV((Summary!$P$34+Summary!$P$35)/12,(Summary!$M$34*12)-COUNT($F$71:$DR$71),'Cash Flow Statement'!$C$70),0)</f>
        <v>0</v>
      </c>
      <c r="DQ75" s="46">
        <f>IF(Summary!$K$37='Cash Flow Statement'!DQ2,-PV((Summary!$P$34+Summary!$P$35)/12,(Summary!$M$34*12)-COUNT($F$71:$DR$71),'Cash Flow Statement'!$C$70),0)</f>
        <v>0</v>
      </c>
      <c r="DR75" s="46">
        <f>IF(Summary!$K$37='Cash Flow Statement'!DR2,-PV((Summary!$P$34+Summary!$P$35)/12,(Summary!$M$34*12)-COUNT($F$71:$DR$71),'Cash Flow Statement'!$C$70),0)</f>
        <v>0</v>
      </c>
      <c r="DS75" s="46">
        <f>IF(Summary!$K$37='Cash Flow Statement'!DS2,-PV((Summary!$P$34+Summary!$P$35)/12,(Summary!$M$34*12)-COUNT($F$71:$DR$71),'Cash Flow Statement'!$C$70),0)</f>
        <v>0</v>
      </c>
      <c r="DT75" s="46">
        <f>IF(Summary!$K$37='Cash Flow Statement'!DT2,-PV((Summary!$P$34+Summary!$P$35)/12,(Summary!$M$34*12)-COUNT($F$71:$DR$71),'Cash Flow Statement'!$C$70),0)</f>
        <v>0</v>
      </c>
      <c r="DU75" s="46">
        <f>IF(Summary!$K$37='Cash Flow Statement'!DU2,PV((Summary!$P$34+Summary!$P$35)/12,(Summary!$M$34*12)-COUNT($F$71:$DU$71),'Cash Flow Statement'!$C$70),0)</f>
        <v>-1408012.38676108</v>
      </c>
      <c r="DV75" s="135"/>
    </row>
    <row r="76" spans="1:126" s="36" customFormat="1" x14ac:dyDescent="0.2">
      <c r="A76" s="88"/>
      <c r="B76" s="110"/>
      <c r="C76" s="44"/>
      <c r="D76" s="132"/>
      <c r="E76" s="134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135"/>
    </row>
    <row r="77" spans="1:126" s="36" customFormat="1" x14ac:dyDescent="0.2">
      <c r="A77" s="88"/>
      <c r="B77" s="110" t="s">
        <v>182</v>
      </c>
      <c r="C77" s="44"/>
      <c r="D77" s="132"/>
      <c r="E77" s="134">
        <f>-E53</f>
        <v>-1015507.0572299999</v>
      </c>
      <c r="F77" s="46">
        <f>-F53</f>
        <v>0</v>
      </c>
      <c r="G77" s="46">
        <f>-G53</f>
        <v>0</v>
      </c>
      <c r="H77" s="46">
        <f t="shared" ref="H77:I77" si="44">-H53</f>
        <v>0</v>
      </c>
      <c r="I77" s="46">
        <f t="shared" si="44"/>
        <v>0</v>
      </c>
      <c r="J77" s="46">
        <f>-J53</f>
        <v>0</v>
      </c>
      <c r="K77" s="46">
        <f>K80</f>
        <v>-9000</v>
      </c>
      <c r="L77" s="46">
        <f t="shared" ref="L77:BW77" si="45">L80</f>
        <v>-8250</v>
      </c>
      <c r="M77" s="46">
        <f t="shared" si="45"/>
        <v>-8250</v>
      </c>
      <c r="N77" s="46">
        <f t="shared" si="45"/>
        <v>-11250</v>
      </c>
      <c r="O77" s="46">
        <f t="shared" si="45"/>
        <v>-11250</v>
      </c>
      <c r="P77" s="46">
        <f t="shared" si="45"/>
        <v>-15000</v>
      </c>
      <c r="Q77" s="46">
        <f t="shared" si="45"/>
        <v>-15000</v>
      </c>
      <c r="R77" s="46">
        <f t="shared" si="45"/>
        <v>-15000</v>
      </c>
      <c r="S77" s="46">
        <f t="shared" si="45"/>
        <v>-9000</v>
      </c>
      <c r="T77" s="46">
        <f t="shared" si="45"/>
        <v>-9000</v>
      </c>
      <c r="U77" s="46">
        <f t="shared" si="45"/>
        <v>-4500</v>
      </c>
      <c r="V77" s="46">
        <f>V80</f>
        <v>-4500</v>
      </c>
      <c r="W77" s="46">
        <f t="shared" si="45"/>
        <v>-5243.75</v>
      </c>
      <c r="X77" s="46">
        <f t="shared" si="45"/>
        <v>6856.25</v>
      </c>
      <c r="Y77" s="46">
        <f t="shared" si="45"/>
        <v>6856.25</v>
      </c>
      <c r="Z77" s="46">
        <f>Z80</f>
        <v>489994.06239953474</v>
      </c>
      <c r="AA77" s="46">
        <f t="shared" si="45"/>
        <v>-111.72824046503229</v>
      </c>
      <c r="AB77" s="46">
        <f t="shared" si="45"/>
        <v>-111.72824046503229</v>
      </c>
      <c r="AC77" s="46">
        <f t="shared" si="45"/>
        <v>-168.54074046503229</v>
      </c>
      <c r="AD77" s="46">
        <f t="shared" si="45"/>
        <v>-168.54074046503229</v>
      </c>
      <c r="AE77" s="46">
        <f t="shared" si="45"/>
        <v>-168.54074046503229</v>
      </c>
      <c r="AF77" s="46">
        <f t="shared" si="45"/>
        <v>-56.040740465032286</v>
      </c>
      <c r="AG77" s="46">
        <f t="shared" si="45"/>
        <v>-56.040740465032286</v>
      </c>
      <c r="AH77" s="46">
        <f t="shared" si="45"/>
        <v>-56.040740465032286</v>
      </c>
      <c r="AI77" s="46">
        <f t="shared" si="45"/>
        <v>48.959259534967714</v>
      </c>
      <c r="AJ77" s="46">
        <f t="shared" si="45"/>
        <v>48.959259534967714</v>
      </c>
      <c r="AK77" s="46">
        <f t="shared" si="45"/>
        <v>48.959259534967714</v>
      </c>
      <c r="AL77" s="46">
        <f t="shared" si="45"/>
        <v>123.95925953496771</v>
      </c>
      <c r="AM77" s="46">
        <f t="shared" si="45"/>
        <v>348.95925953496771</v>
      </c>
      <c r="AN77" s="46">
        <f t="shared" si="45"/>
        <v>348.95925953496771</v>
      </c>
      <c r="AO77" s="46">
        <f t="shared" si="45"/>
        <v>290.44238453496837</v>
      </c>
      <c r="AP77" s="46">
        <f t="shared" si="45"/>
        <v>290.44238453496837</v>
      </c>
      <c r="AQ77" s="46">
        <f t="shared" si="45"/>
        <v>290.44238453496837</v>
      </c>
      <c r="AR77" s="46">
        <f t="shared" si="45"/>
        <v>408.56738453496837</v>
      </c>
      <c r="AS77" s="46">
        <f t="shared" si="45"/>
        <v>408.56738453496837</v>
      </c>
      <c r="AT77" s="46">
        <f t="shared" si="45"/>
        <v>408.56738453496837</v>
      </c>
      <c r="AU77" s="46">
        <f t="shared" si="45"/>
        <v>518.96738453496801</v>
      </c>
      <c r="AV77" s="46">
        <f t="shared" si="45"/>
        <v>518.96738453496801</v>
      </c>
      <c r="AW77" s="46">
        <f t="shared" si="45"/>
        <v>518.96738453496801</v>
      </c>
      <c r="AX77" s="46">
        <f t="shared" si="45"/>
        <v>597.71738453496801</v>
      </c>
      <c r="AY77" s="46">
        <f t="shared" si="45"/>
        <v>833.96738453496801</v>
      </c>
      <c r="AZ77" s="46">
        <f t="shared" si="45"/>
        <v>833.96738453496801</v>
      </c>
      <c r="BA77" s="46">
        <f t="shared" si="45"/>
        <v>773.69500328496724</v>
      </c>
      <c r="BB77" s="46">
        <f t="shared" si="45"/>
        <v>773.69500328496724</v>
      </c>
      <c r="BC77" s="46">
        <f t="shared" si="45"/>
        <v>773.69500328496724</v>
      </c>
      <c r="BD77" s="46">
        <f t="shared" si="45"/>
        <v>897.72625328496724</v>
      </c>
      <c r="BE77" s="46">
        <f t="shared" si="45"/>
        <v>897.72625328496724</v>
      </c>
      <c r="BF77" s="46">
        <f t="shared" si="45"/>
        <v>897.72625328496724</v>
      </c>
      <c r="BG77" s="46">
        <f t="shared" si="45"/>
        <v>1013.8007532849679</v>
      </c>
      <c r="BH77" s="46">
        <f t="shared" si="45"/>
        <v>1013.8007532849679</v>
      </c>
      <c r="BI77" s="46">
        <f t="shared" si="45"/>
        <v>1013.8007532849679</v>
      </c>
      <c r="BJ77" s="46">
        <f t="shared" si="45"/>
        <v>1096.4882532849679</v>
      </c>
      <c r="BK77" s="46">
        <f t="shared" si="45"/>
        <v>1344.5507532849697</v>
      </c>
      <c r="BL77" s="46">
        <f t="shared" si="45"/>
        <v>1344.5507532849697</v>
      </c>
      <c r="BM77" s="46">
        <f t="shared" si="45"/>
        <v>1282.4702005974686</v>
      </c>
      <c r="BN77" s="46">
        <f t="shared" si="45"/>
        <v>1282.4702005974686</v>
      </c>
      <c r="BO77" s="46">
        <f t="shared" si="45"/>
        <v>1282.4702005974686</v>
      </c>
      <c r="BP77" s="46">
        <f t="shared" si="45"/>
        <v>1412.7030130974672</v>
      </c>
      <c r="BQ77" s="46">
        <f t="shared" si="45"/>
        <v>1412.7030130974672</v>
      </c>
      <c r="BR77" s="46">
        <f t="shared" si="45"/>
        <v>1412.7030130974672</v>
      </c>
      <c r="BS77" s="46">
        <f t="shared" si="45"/>
        <v>1534.7403730974693</v>
      </c>
      <c r="BT77" s="46">
        <f t="shared" si="45"/>
        <v>1534.7403730974693</v>
      </c>
      <c r="BU77" s="46">
        <f t="shared" si="45"/>
        <v>1534.7403730974693</v>
      </c>
      <c r="BV77" s="46">
        <f t="shared" si="45"/>
        <v>1621.5622480974707</v>
      </c>
      <c r="BW77" s="46">
        <f t="shared" si="45"/>
        <v>1882.0278730974696</v>
      </c>
      <c r="BX77" s="46">
        <f t="shared" ref="BX77:DC77" si="46">BX80</f>
        <v>1882.0278730974696</v>
      </c>
      <c r="BY77" s="46">
        <f t="shared" si="46"/>
        <v>1818.0849038293436</v>
      </c>
      <c r="BZ77" s="46">
        <f t="shared" si="46"/>
        <v>1818.0849038293436</v>
      </c>
      <c r="CA77" s="46">
        <f t="shared" si="46"/>
        <v>1818.0849038293436</v>
      </c>
      <c r="CB77" s="46">
        <f t="shared" si="46"/>
        <v>1954.8293569543439</v>
      </c>
      <c r="CC77" s="46">
        <f t="shared" si="46"/>
        <v>1954.8293569543439</v>
      </c>
      <c r="CD77" s="46">
        <f t="shared" si="46"/>
        <v>1954.8293569543439</v>
      </c>
      <c r="CE77" s="46">
        <f t="shared" si="46"/>
        <v>2083.1324940043451</v>
      </c>
      <c r="CF77" s="46">
        <f t="shared" si="46"/>
        <v>2083.1324940043451</v>
      </c>
      <c r="CG77" s="46">
        <f t="shared" si="46"/>
        <v>2083.1324940043451</v>
      </c>
      <c r="CH77" s="46">
        <f t="shared" si="46"/>
        <v>2174.295462754344</v>
      </c>
      <c r="CI77" s="46">
        <f t="shared" si="46"/>
        <v>2447.7843690043446</v>
      </c>
      <c r="CJ77" s="46">
        <f t="shared" si="46"/>
        <v>2447.7843690043446</v>
      </c>
      <c r="CK77" s="46">
        <f t="shared" si="46"/>
        <v>2381.9231106581756</v>
      </c>
      <c r="CL77" s="46">
        <f t="shared" si="46"/>
        <v>2381.9231106581756</v>
      </c>
      <c r="CM77" s="46">
        <f t="shared" si="46"/>
        <v>2381.9231106581756</v>
      </c>
      <c r="CN77" s="46">
        <f t="shared" si="46"/>
        <v>2525.5047864394255</v>
      </c>
      <c r="CO77" s="46">
        <f t="shared" si="46"/>
        <v>2525.5047864394255</v>
      </c>
      <c r="CP77" s="46">
        <f t="shared" si="46"/>
        <v>2525.5047864394255</v>
      </c>
      <c r="CQ77" s="46">
        <f t="shared" si="46"/>
        <v>2660.3919066634262</v>
      </c>
      <c r="CR77" s="46">
        <f t="shared" si="46"/>
        <v>2660.3919066634262</v>
      </c>
      <c r="CS77" s="46">
        <f t="shared" si="46"/>
        <v>2660.3919066634262</v>
      </c>
      <c r="CT77" s="46">
        <f t="shared" si="46"/>
        <v>2756.1130238509249</v>
      </c>
      <c r="CU77" s="46">
        <f t="shared" si="46"/>
        <v>3043.2763754134248</v>
      </c>
      <c r="CV77" s="46">
        <f t="shared" si="46"/>
        <v>3043.2763754134248</v>
      </c>
      <c r="CW77" s="46">
        <f t="shared" si="46"/>
        <v>2975.4392793168718</v>
      </c>
      <c r="CX77" s="46">
        <f t="shared" si="46"/>
        <v>2975.4392793168718</v>
      </c>
      <c r="CY77" s="46">
        <f t="shared" si="46"/>
        <v>2975.4392793168718</v>
      </c>
      <c r="CZ77" s="46">
        <f t="shared" si="46"/>
        <v>3126.2000388871838</v>
      </c>
      <c r="DA77" s="46">
        <f t="shared" si="46"/>
        <v>3126.2000388871838</v>
      </c>
      <c r="DB77" s="46">
        <f t="shared" si="46"/>
        <v>3126.2000388871838</v>
      </c>
      <c r="DC77" s="46">
        <f t="shared" si="46"/>
        <v>3268.0054062335294</v>
      </c>
      <c r="DD77" s="46">
        <f t="shared" ref="DD77:DU77" si="47">DD80</f>
        <v>3268.0054062335294</v>
      </c>
      <c r="DE77" s="46">
        <f t="shared" si="47"/>
        <v>3268.0054062335294</v>
      </c>
      <c r="DF77" s="46">
        <f t="shared" si="47"/>
        <v>3368.5125792804029</v>
      </c>
      <c r="DG77" s="46">
        <f t="shared" si="47"/>
        <v>3670.0340984210306</v>
      </c>
      <c r="DH77" s="46">
        <f t="shared" si="47"/>
        <v>3670.0340984210306</v>
      </c>
      <c r="DI77" s="46">
        <f t="shared" si="47"/>
        <v>3600.1618894415806</v>
      </c>
      <c r="DJ77" s="46">
        <f t="shared" si="47"/>
        <v>3600.1618894415806</v>
      </c>
      <c r="DK77" s="46">
        <f t="shared" si="47"/>
        <v>3600.1618894415806</v>
      </c>
      <c r="DL77" s="46">
        <f t="shared" si="47"/>
        <v>3758.4606869904092</v>
      </c>
      <c r="DM77" s="46">
        <f t="shared" si="47"/>
        <v>3758.4606869904092</v>
      </c>
      <c r="DN77" s="46">
        <f t="shared" si="47"/>
        <v>3758.4606869904092</v>
      </c>
      <c r="DO77" s="46">
        <f t="shared" si="47"/>
        <v>3907.5354305485507</v>
      </c>
      <c r="DP77" s="46">
        <f t="shared" si="47"/>
        <v>3907.5354305485507</v>
      </c>
      <c r="DQ77" s="46">
        <f t="shared" si="47"/>
        <v>3907.5354305485507</v>
      </c>
      <c r="DR77" s="46">
        <f t="shared" si="47"/>
        <v>4013.0679622477692</v>
      </c>
      <c r="DS77" s="46">
        <f t="shared" si="47"/>
        <v>4329.6655573454245</v>
      </c>
      <c r="DT77" s="46">
        <f t="shared" si="47"/>
        <v>4329.6655573454245</v>
      </c>
      <c r="DU77" s="46">
        <f>DU80</f>
        <v>1711813.2539847861</v>
      </c>
      <c r="DV77" s="135"/>
    </row>
    <row r="78" spans="1:126" s="36" customFormat="1" x14ac:dyDescent="0.2">
      <c r="A78" s="88"/>
      <c r="B78" s="110" t="s">
        <v>183</v>
      </c>
      <c r="C78" s="116">
        <f>XIRR(E77:DU77,E3:DU3,0.1)</f>
        <v>0.10754751563072204</v>
      </c>
      <c r="D78" s="132"/>
      <c r="E78" s="134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135"/>
    </row>
    <row r="79" spans="1:126" s="36" customFormat="1" ht="16" thickBot="1" x14ac:dyDescent="0.25">
      <c r="A79" s="88"/>
      <c r="B79" s="110" t="s">
        <v>184</v>
      </c>
      <c r="C79" s="118">
        <f>SUMIF(E77:DU77,"&gt;0",E77:DU77)/-SUMIF(E77:DU77,"&lt;0",E77:DU77)</f>
        <v>2.096791016759803</v>
      </c>
      <c r="D79" s="132"/>
      <c r="E79" s="134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135"/>
    </row>
    <row r="80" spans="1:126" s="36" customFormat="1" x14ac:dyDescent="0.2">
      <c r="A80" s="88"/>
      <c r="B80" s="112" t="s">
        <v>17</v>
      </c>
      <c r="C80" s="113"/>
      <c r="D80" s="132">
        <f>SUM(E80:DU80)</f>
        <v>2218785.2268747222</v>
      </c>
      <c r="E80" s="133"/>
      <c r="F80" s="46">
        <f>F48+F53+F72-F65+F67+F68</f>
        <v>-10290.370000000001</v>
      </c>
      <c r="G80" s="46">
        <f>G48+G53+G72-G65+G67+G68</f>
        <v>-10290.370000000001</v>
      </c>
      <c r="H80" s="46">
        <f t="shared" ref="H80:W80" si="48">H48+H53+H72-H65+H67+H68</f>
        <v>-10290.370000000001</v>
      </c>
      <c r="I80" s="46">
        <f t="shared" si="48"/>
        <v>-9000</v>
      </c>
      <c r="J80" s="46">
        <f t="shared" si="48"/>
        <v>-9000</v>
      </c>
      <c r="K80" s="46">
        <f t="shared" si="48"/>
        <v>-9000</v>
      </c>
      <c r="L80" s="46">
        <f t="shared" si="48"/>
        <v>-8250</v>
      </c>
      <c r="M80" s="46">
        <f t="shared" si="48"/>
        <v>-8250</v>
      </c>
      <c r="N80" s="46">
        <f t="shared" si="48"/>
        <v>-11250</v>
      </c>
      <c r="O80" s="46">
        <f t="shared" si="48"/>
        <v>-11250</v>
      </c>
      <c r="P80" s="46">
        <f t="shared" si="48"/>
        <v>-15000</v>
      </c>
      <c r="Q80" s="46">
        <f t="shared" si="48"/>
        <v>-15000</v>
      </c>
      <c r="R80" s="46">
        <f t="shared" si="48"/>
        <v>-15000</v>
      </c>
      <c r="S80" s="46">
        <f t="shared" si="48"/>
        <v>-9000</v>
      </c>
      <c r="T80" s="46">
        <f t="shared" si="48"/>
        <v>-9000</v>
      </c>
      <c r="U80" s="46">
        <f t="shared" si="48"/>
        <v>-4500</v>
      </c>
      <c r="V80" s="46">
        <f t="shared" si="48"/>
        <v>-4500</v>
      </c>
      <c r="W80" s="46">
        <f t="shared" si="48"/>
        <v>-5243.75</v>
      </c>
      <c r="X80" s="46">
        <f>X48+X53+X72-X65+X67+X68</f>
        <v>6856.25</v>
      </c>
      <c r="Y80" s="46">
        <f t="shared" ref="Y80" si="49">Y48+Y53+Y72-Y65+Y67+Y68</f>
        <v>6856.25</v>
      </c>
      <c r="Z80" s="46">
        <f>Z48+Z53+Z72-Z65+Z67+Z68</f>
        <v>489994.06239953474</v>
      </c>
      <c r="AA80" s="46">
        <f t="shared" ref="AA80:CL80" si="50">AA48+AA53+AA55+AA72-AA65+AA67+AA68</f>
        <v>-111.72824046503229</v>
      </c>
      <c r="AB80" s="46">
        <f t="shared" si="50"/>
        <v>-111.72824046503229</v>
      </c>
      <c r="AC80" s="46">
        <f t="shared" si="50"/>
        <v>-168.54074046503229</v>
      </c>
      <c r="AD80" s="46">
        <f t="shared" si="50"/>
        <v>-168.54074046503229</v>
      </c>
      <c r="AE80" s="46">
        <f t="shared" si="50"/>
        <v>-168.54074046503229</v>
      </c>
      <c r="AF80" s="46">
        <f t="shared" si="50"/>
        <v>-56.040740465032286</v>
      </c>
      <c r="AG80" s="46">
        <f t="shared" si="50"/>
        <v>-56.040740465032286</v>
      </c>
      <c r="AH80" s="46">
        <f t="shared" si="50"/>
        <v>-56.040740465032286</v>
      </c>
      <c r="AI80" s="46">
        <f t="shared" si="50"/>
        <v>48.959259534967714</v>
      </c>
      <c r="AJ80" s="46">
        <f t="shared" si="50"/>
        <v>48.959259534967714</v>
      </c>
      <c r="AK80" s="46">
        <f t="shared" si="50"/>
        <v>48.959259534967714</v>
      </c>
      <c r="AL80" s="46">
        <f t="shared" si="50"/>
        <v>123.95925953496771</v>
      </c>
      <c r="AM80" s="46">
        <f t="shared" si="50"/>
        <v>348.95925953496771</v>
      </c>
      <c r="AN80" s="46">
        <f t="shared" si="50"/>
        <v>348.95925953496771</v>
      </c>
      <c r="AO80" s="46">
        <f t="shared" si="50"/>
        <v>290.44238453496837</v>
      </c>
      <c r="AP80" s="46">
        <f t="shared" si="50"/>
        <v>290.44238453496837</v>
      </c>
      <c r="AQ80" s="46">
        <f t="shared" si="50"/>
        <v>290.44238453496837</v>
      </c>
      <c r="AR80" s="46">
        <f t="shared" si="50"/>
        <v>408.56738453496837</v>
      </c>
      <c r="AS80" s="46">
        <f t="shared" si="50"/>
        <v>408.56738453496837</v>
      </c>
      <c r="AT80" s="46">
        <f t="shared" si="50"/>
        <v>408.56738453496837</v>
      </c>
      <c r="AU80" s="46">
        <f t="shared" si="50"/>
        <v>518.96738453496801</v>
      </c>
      <c r="AV80" s="46">
        <f t="shared" si="50"/>
        <v>518.96738453496801</v>
      </c>
      <c r="AW80" s="46">
        <f t="shared" si="50"/>
        <v>518.96738453496801</v>
      </c>
      <c r="AX80" s="46">
        <f t="shared" si="50"/>
        <v>597.71738453496801</v>
      </c>
      <c r="AY80" s="46">
        <f t="shared" si="50"/>
        <v>833.96738453496801</v>
      </c>
      <c r="AZ80" s="46">
        <f t="shared" si="50"/>
        <v>833.96738453496801</v>
      </c>
      <c r="BA80" s="46">
        <f t="shared" si="50"/>
        <v>773.69500328496724</v>
      </c>
      <c r="BB80" s="46">
        <f t="shared" si="50"/>
        <v>773.69500328496724</v>
      </c>
      <c r="BC80" s="46">
        <f t="shared" si="50"/>
        <v>773.69500328496724</v>
      </c>
      <c r="BD80" s="46">
        <f t="shared" si="50"/>
        <v>897.72625328496724</v>
      </c>
      <c r="BE80" s="46">
        <f t="shared" si="50"/>
        <v>897.72625328496724</v>
      </c>
      <c r="BF80" s="46">
        <f t="shared" si="50"/>
        <v>897.72625328496724</v>
      </c>
      <c r="BG80" s="46">
        <f t="shared" si="50"/>
        <v>1013.8007532849679</v>
      </c>
      <c r="BH80" s="46">
        <f t="shared" si="50"/>
        <v>1013.8007532849679</v>
      </c>
      <c r="BI80" s="46">
        <f t="shared" si="50"/>
        <v>1013.8007532849679</v>
      </c>
      <c r="BJ80" s="46">
        <f t="shared" si="50"/>
        <v>1096.4882532849679</v>
      </c>
      <c r="BK80" s="46">
        <f t="shared" si="50"/>
        <v>1344.5507532849697</v>
      </c>
      <c r="BL80" s="46">
        <f t="shared" si="50"/>
        <v>1344.5507532849697</v>
      </c>
      <c r="BM80" s="46">
        <f t="shared" si="50"/>
        <v>1282.4702005974686</v>
      </c>
      <c r="BN80" s="46">
        <f t="shared" si="50"/>
        <v>1282.4702005974686</v>
      </c>
      <c r="BO80" s="46">
        <f t="shared" si="50"/>
        <v>1282.4702005974686</v>
      </c>
      <c r="BP80" s="46">
        <f t="shared" si="50"/>
        <v>1412.7030130974672</v>
      </c>
      <c r="BQ80" s="46">
        <f t="shared" si="50"/>
        <v>1412.7030130974672</v>
      </c>
      <c r="BR80" s="46">
        <f t="shared" si="50"/>
        <v>1412.7030130974672</v>
      </c>
      <c r="BS80" s="46">
        <f t="shared" si="50"/>
        <v>1534.7403730974693</v>
      </c>
      <c r="BT80" s="46">
        <f t="shared" si="50"/>
        <v>1534.7403730974693</v>
      </c>
      <c r="BU80" s="46">
        <f t="shared" si="50"/>
        <v>1534.7403730974693</v>
      </c>
      <c r="BV80" s="46">
        <f t="shared" si="50"/>
        <v>1621.5622480974707</v>
      </c>
      <c r="BW80" s="46">
        <f t="shared" si="50"/>
        <v>1882.0278730974696</v>
      </c>
      <c r="BX80" s="46">
        <f t="shared" si="50"/>
        <v>1882.0278730974696</v>
      </c>
      <c r="BY80" s="46">
        <f t="shared" si="50"/>
        <v>1818.0849038293436</v>
      </c>
      <c r="BZ80" s="46">
        <f t="shared" si="50"/>
        <v>1818.0849038293436</v>
      </c>
      <c r="CA80" s="46">
        <f t="shared" si="50"/>
        <v>1818.0849038293436</v>
      </c>
      <c r="CB80" s="46">
        <f t="shared" si="50"/>
        <v>1954.8293569543439</v>
      </c>
      <c r="CC80" s="46">
        <f t="shared" si="50"/>
        <v>1954.8293569543439</v>
      </c>
      <c r="CD80" s="46">
        <f t="shared" si="50"/>
        <v>1954.8293569543439</v>
      </c>
      <c r="CE80" s="46">
        <f t="shared" si="50"/>
        <v>2083.1324940043451</v>
      </c>
      <c r="CF80" s="46">
        <f t="shared" si="50"/>
        <v>2083.1324940043451</v>
      </c>
      <c r="CG80" s="46">
        <f t="shared" si="50"/>
        <v>2083.1324940043451</v>
      </c>
      <c r="CH80" s="46">
        <f t="shared" si="50"/>
        <v>2174.295462754344</v>
      </c>
      <c r="CI80" s="46">
        <f t="shared" si="50"/>
        <v>2447.7843690043446</v>
      </c>
      <c r="CJ80" s="46">
        <f t="shared" si="50"/>
        <v>2447.7843690043446</v>
      </c>
      <c r="CK80" s="46">
        <f t="shared" si="50"/>
        <v>2381.9231106581756</v>
      </c>
      <c r="CL80" s="46">
        <f t="shared" si="50"/>
        <v>2381.9231106581756</v>
      </c>
      <c r="CM80" s="46">
        <f t="shared" ref="CM80:DU80" si="51">CM48+CM53+CM55+CM72-CM65+CM67+CM68</f>
        <v>2381.9231106581756</v>
      </c>
      <c r="CN80" s="46">
        <f t="shared" si="51"/>
        <v>2525.5047864394255</v>
      </c>
      <c r="CO80" s="46">
        <f t="shared" si="51"/>
        <v>2525.5047864394255</v>
      </c>
      <c r="CP80" s="46">
        <f t="shared" si="51"/>
        <v>2525.5047864394255</v>
      </c>
      <c r="CQ80" s="46">
        <f t="shared" si="51"/>
        <v>2660.3919066634262</v>
      </c>
      <c r="CR80" s="46">
        <f t="shared" si="51"/>
        <v>2660.3919066634262</v>
      </c>
      <c r="CS80" s="46">
        <f t="shared" si="51"/>
        <v>2660.3919066634262</v>
      </c>
      <c r="CT80" s="46">
        <f t="shared" si="51"/>
        <v>2756.1130238509249</v>
      </c>
      <c r="CU80" s="46">
        <f t="shared" si="51"/>
        <v>3043.2763754134248</v>
      </c>
      <c r="CV80" s="46">
        <f t="shared" si="51"/>
        <v>3043.2763754134248</v>
      </c>
      <c r="CW80" s="46">
        <f t="shared" si="51"/>
        <v>2975.4392793168718</v>
      </c>
      <c r="CX80" s="46">
        <f t="shared" si="51"/>
        <v>2975.4392793168718</v>
      </c>
      <c r="CY80" s="46">
        <f t="shared" si="51"/>
        <v>2975.4392793168718</v>
      </c>
      <c r="CZ80" s="46">
        <f t="shared" si="51"/>
        <v>3126.2000388871838</v>
      </c>
      <c r="DA80" s="46">
        <f t="shared" si="51"/>
        <v>3126.2000388871838</v>
      </c>
      <c r="DB80" s="46">
        <f t="shared" si="51"/>
        <v>3126.2000388871838</v>
      </c>
      <c r="DC80" s="46">
        <f t="shared" si="51"/>
        <v>3268.0054062335294</v>
      </c>
      <c r="DD80" s="46">
        <f t="shared" si="51"/>
        <v>3268.0054062335294</v>
      </c>
      <c r="DE80" s="46">
        <f t="shared" si="51"/>
        <v>3268.0054062335294</v>
      </c>
      <c r="DF80" s="46">
        <f t="shared" si="51"/>
        <v>3368.5125792804029</v>
      </c>
      <c r="DG80" s="46">
        <f t="shared" si="51"/>
        <v>3670.0340984210306</v>
      </c>
      <c r="DH80" s="46">
        <f t="shared" si="51"/>
        <v>3670.0340984210306</v>
      </c>
      <c r="DI80" s="46">
        <f t="shared" si="51"/>
        <v>3600.1618894415806</v>
      </c>
      <c r="DJ80" s="46">
        <f t="shared" si="51"/>
        <v>3600.1618894415806</v>
      </c>
      <c r="DK80" s="46">
        <f t="shared" si="51"/>
        <v>3600.1618894415806</v>
      </c>
      <c r="DL80" s="46">
        <f t="shared" si="51"/>
        <v>3758.4606869904092</v>
      </c>
      <c r="DM80" s="46">
        <f t="shared" si="51"/>
        <v>3758.4606869904092</v>
      </c>
      <c r="DN80" s="46">
        <f t="shared" si="51"/>
        <v>3758.4606869904092</v>
      </c>
      <c r="DO80" s="46">
        <f t="shared" si="51"/>
        <v>3907.5354305485507</v>
      </c>
      <c r="DP80" s="46">
        <f t="shared" si="51"/>
        <v>3907.5354305485507</v>
      </c>
      <c r="DQ80" s="46">
        <f t="shared" si="51"/>
        <v>3907.5354305485507</v>
      </c>
      <c r="DR80" s="46">
        <f t="shared" si="51"/>
        <v>4013.0679622477692</v>
      </c>
      <c r="DS80" s="46">
        <f t="shared" si="51"/>
        <v>4329.6655573454245</v>
      </c>
      <c r="DT80" s="46">
        <f t="shared" si="51"/>
        <v>4329.6655573454245</v>
      </c>
      <c r="DU80" s="46">
        <f>DU48+DU53+DU55+DU72-DU65+DU67+DU68+DU75</f>
        <v>1711813.2539847861</v>
      </c>
      <c r="DV80" s="135"/>
    </row>
    <row r="81" spans="1:126" s="36" customFormat="1" x14ac:dyDescent="0.2">
      <c r="A81" s="88"/>
      <c r="B81" s="104" t="s">
        <v>14</v>
      </c>
      <c r="C81" s="114"/>
      <c r="D81" s="132"/>
      <c r="E81" s="134"/>
      <c r="F81" s="46">
        <f t="shared" ref="F81:BM81" si="52">IF(F80&lt;&gt;0,E81+F80,0)</f>
        <v>-10290.370000000001</v>
      </c>
      <c r="G81" s="46">
        <f t="shared" si="52"/>
        <v>-20580.740000000002</v>
      </c>
      <c r="H81" s="46">
        <f t="shared" si="52"/>
        <v>-30871.11</v>
      </c>
      <c r="I81" s="46">
        <f t="shared" si="52"/>
        <v>-39871.11</v>
      </c>
      <c r="J81" s="46">
        <f t="shared" si="52"/>
        <v>-48871.11</v>
      </c>
      <c r="K81" s="46">
        <f t="shared" si="52"/>
        <v>-57871.11</v>
      </c>
      <c r="L81" s="46">
        <f t="shared" si="52"/>
        <v>-66121.11</v>
      </c>
      <c r="M81" s="46">
        <f t="shared" si="52"/>
        <v>-74371.11</v>
      </c>
      <c r="N81" s="46">
        <f t="shared" si="52"/>
        <v>-85621.11</v>
      </c>
      <c r="O81" s="46">
        <f t="shared" si="52"/>
        <v>-96871.11</v>
      </c>
      <c r="P81" s="46">
        <f t="shared" si="52"/>
        <v>-111871.11</v>
      </c>
      <c r="Q81" s="46">
        <f t="shared" si="52"/>
        <v>-126871.11</v>
      </c>
      <c r="R81" s="46">
        <f t="shared" si="52"/>
        <v>-141871.10999999999</v>
      </c>
      <c r="S81" s="46">
        <f t="shared" si="52"/>
        <v>-150871.10999999999</v>
      </c>
      <c r="T81" s="46">
        <f t="shared" si="52"/>
        <v>-159871.10999999999</v>
      </c>
      <c r="U81" s="46">
        <f t="shared" si="52"/>
        <v>-164371.10999999999</v>
      </c>
      <c r="V81" s="46">
        <f t="shared" si="52"/>
        <v>-168871.11</v>
      </c>
      <c r="W81" s="46">
        <f t="shared" si="52"/>
        <v>-174114.86</v>
      </c>
      <c r="X81" s="46">
        <f t="shared" si="52"/>
        <v>-167258.60999999999</v>
      </c>
      <c r="Y81" s="46">
        <f t="shared" si="52"/>
        <v>-160402.35999999999</v>
      </c>
      <c r="Z81" s="46">
        <f t="shared" si="52"/>
        <v>329591.70239953476</v>
      </c>
      <c r="AA81" s="46">
        <f t="shared" si="52"/>
        <v>329479.97415906971</v>
      </c>
      <c r="AB81" s="46">
        <f t="shared" si="52"/>
        <v>329368.24591860466</v>
      </c>
      <c r="AC81" s="46">
        <f t="shared" si="52"/>
        <v>329199.70517813961</v>
      </c>
      <c r="AD81" s="46">
        <f t="shared" si="52"/>
        <v>329031.16443767457</v>
      </c>
      <c r="AE81" s="46">
        <f t="shared" si="52"/>
        <v>328862.62369720952</v>
      </c>
      <c r="AF81" s="46">
        <f t="shared" si="52"/>
        <v>328806.58295674447</v>
      </c>
      <c r="AG81" s="46">
        <f t="shared" si="52"/>
        <v>328750.54221627943</v>
      </c>
      <c r="AH81" s="46">
        <f t="shared" si="52"/>
        <v>328694.50147581438</v>
      </c>
      <c r="AI81" s="46">
        <f t="shared" si="52"/>
        <v>328743.46073534933</v>
      </c>
      <c r="AJ81" s="46">
        <f t="shared" si="52"/>
        <v>328792.41999488429</v>
      </c>
      <c r="AK81" s="46">
        <f t="shared" si="52"/>
        <v>328841.37925441924</v>
      </c>
      <c r="AL81" s="46">
        <f t="shared" si="52"/>
        <v>328965.33851395419</v>
      </c>
      <c r="AM81" s="46">
        <f t="shared" si="52"/>
        <v>329314.29777348915</v>
      </c>
      <c r="AN81" s="46">
        <f t="shared" si="52"/>
        <v>329663.2570330241</v>
      </c>
      <c r="AO81" s="46">
        <f t="shared" si="52"/>
        <v>329953.69941755908</v>
      </c>
      <c r="AP81" s="46">
        <f t="shared" si="52"/>
        <v>330244.14180209406</v>
      </c>
      <c r="AQ81" s="46">
        <f t="shared" si="52"/>
        <v>330534.58418662904</v>
      </c>
      <c r="AR81" s="46">
        <f t="shared" si="52"/>
        <v>330943.15157116402</v>
      </c>
      <c r="AS81" s="46">
        <f t="shared" si="52"/>
        <v>331351.71895569901</v>
      </c>
      <c r="AT81" s="46">
        <f t="shared" si="52"/>
        <v>331760.28634023399</v>
      </c>
      <c r="AU81" s="46">
        <f t="shared" si="52"/>
        <v>332279.25372476893</v>
      </c>
      <c r="AV81" s="46">
        <f t="shared" si="52"/>
        <v>332798.22110930388</v>
      </c>
      <c r="AW81" s="46">
        <f t="shared" si="52"/>
        <v>333317.18849383882</v>
      </c>
      <c r="AX81" s="46">
        <f t="shared" si="52"/>
        <v>333914.90587837377</v>
      </c>
      <c r="AY81" s="46">
        <f t="shared" si="52"/>
        <v>334748.87326290872</v>
      </c>
      <c r="AZ81" s="46">
        <f t="shared" si="52"/>
        <v>335582.84064744366</v>
      </c>
      <c r="BA81" s="46">
        <f t="shared" si="52"/>
        <v>336356.53565072862</v>
      </c>
      <c r="BB81" s="46">
        <f t="shared" si="52"/>
        <v>337130.23065401358</v>
      </c>
      <c r="BC81" s="46">
        <f t="shared" si="52"/>
        <v>337903.92565729853</v>
      </c>
      <c r="BD81" s="46">
        <f t="shared" si="52"/>
        <v>338801.65191058349</v>
      </c>
      <c r="BE81" s="46">
        <f t="shared" si="52"/>
        <v>339699.37816386844</v>
      </c>
      <c r="BF81" s="46">
        <f t="shared" si="52"/>
        <v>340597.1044171534</v>
      </c>
      <c r="BG81" s="46">
        <f t="shared" si="52"/>
        <v>341610.90517043835</v>
      </c>
      <c r="BH81" s="46">
        <f t="shared" si="52"/>
        <v>342624.70592372329</v>
      </c>
      <c r="BI81" s="46">
        <f t="shared" si="52"/>
        <v>343638.50667700823</v>
      </c>
      <c r="BJ81" s="46">
        <f t="shared" si="52"/>
        <v>344734.99493029318</v>
      </c>
      <c r="BK81" s="46">
        <f t="shared" si="52"/>
        <v>346079.54568357812</v>
      </c>
      <c r="BL81" s="46">
        <f t="shared" si="52"/>
        <v>347424.09643686307</v>
      </c>
      <c r="BM81" s="46">
        <f t="shared" si="52"/>
        <v>348706.56663746055</v>
      </c>
      <c r="BN81" s="46">
        <f>IF(BN80&lt;&gt;0,BM81+BN80,0)</f>
        <v>349989.03683805803</v>
      </c>
      <c r="BO81" s="46">
        <f t="shared" ref="BO81:DT81" si="53">IF(BO80&lt;&gt;0,BN81+BO80,0)</f>
        <v>351271.50703865552</v>
      </c>
      <c r="BP81" s="46">
        <f t="shared" si="53"/>
        <v>352684.21005175298</v>
      </c>
      <c r="BQ81" s="46">
        <f t="shared" si="53"/>
        <v>354096.91306485044</v>
      </c>
      <c r="BR81" s="46">
        <f t="shared" si="53"/>
        <v>355509.6160779479</v>
      </c>
      <c r="BS81" s="46">
        <f t="shared" si="53"/>
        <v>357044.35645104537</v>
      </c>
      <c r="BT81" s="46">
        <f t="shared" si="53"/>
        <v>358579.09682414285</v>
      </c>
      <c r="BU81" s="46">
        <f t="shared" si="53"/>
        <v>360113.83719724033</v>
      </c>
      <c r="BV81" s="46">
        <f t="shared" si="53"/>
        <v>361735.39944533783</v>
      </c>
      <c r="BW81" s="46">
        <f t="shared" si="53"/>
        <v>363617.42731843528</v>
      </c>
      <c r="BX81" s="46">
        <f t="shared" si="53"/>
        <v>365499.45519153273</v>
      </c>
      <c r="BY81" s="46">
        <f t="shared" si="53"/>
        <v>367317.54009536206</v>
      </c>
      <c r="BZ81" s="46">
        <f t="shared" si="53"/>
        <v>369135.62499919138</v>
      </c>
      <c r="CA81" s="46">
        <f t="shared" si="53"/>
        <v>370953.7099030207</v>
      </c>
      <c r="CB81" s="46">
        <f t="shared" si="53"/>
        <v>372908.53925997502</v>
      </c>
      <c r="CC81" s="46">
        <f t="shared" si="53"/>
        <v>374863.36861692934</v>
      </c>
      <c r="CD81" s="46">
        <f t="shared" si="53"/>
        <v>376818.19797388365</v>
      </c>
      <c r="CE81" s="46">
        <f t="shared" si="53"/>
        <v>378901.33046788798</v>
      </c>
      <c r="CF81" s="46">
        <f t="shared" si="53"/>
        <v>380984.46296189231</v>
      </c>
      <c r="CG81" s="46">
        <f t="shared" si="53"/>
        <v>383067.59545589663</v>
      </c>
      <c r="CH81" s="46">
        <f t="shared" si="53"/>
        <v>385241.89091865096</v>
      </c>
      <c r="CI81" s="46">
        <f t="shared" si="53"/>
        <v>387689.67528765532</v>
      </c>
      <c r="CJ81" s="46">
        <f t="shared" si="53"/>
        <v>390137.45965665969</v>
      </c>
      <c r="CK81" s="46">
        <f t="shared" si="53"/>
        <v>392519.38276731787</v>
      </c>
      <c r="CL81" s="46">
        <f t="shared" si="53"/>
        <v>394901.30587797606</v>
      </c>
      <c r="CM81" s="46">
        <f t="shared" si="53"/>
        <v>397283.22898863425</v>
      </c>
      <c r="CN81" s="46">
        <f t="shared" si="53"/>
        <v>399808.73377507366</v>
      </c>
      <c r="CO81" s="46">
        <f t="shared" si="53"/>
        <v>402334.23856151308</v>
      </c>
      <c r="CP81" s="46">
        <f t="shared" si="53"/>
        <v>404859.74334795249</v>
      </c>
      <c r="CQ81" s="46">
        <f t="shared" si="53"/>
        <v>407520.13525461592</v>
      </c>
      <c r="CR81" s="46">
        <f t="shared" si="53"/>
        <v>410180.52716127934</v>
      </c>
      <c r="CS81" s="46">
        <f t="shared" si="53"/>
        <v>412840.91906794277</v>
      </c>
      <c r="CT81" s="46">
        <f t="shared" si="53"/>
        <v>415597.03209179372</v>
      </c>
      <c r="CU81" s="46">
        <f t="shared" si="53"/>
        <v>418640.30846720713</v>
      </c>
      <c r="CV81" s="46">
        <f t="shared" si="53"/>
        <v>421683.58484262053</v>
      </c>
      <c r="CW81" s="46">
        <f t="shared" si="53"/>
        <v>424659.0241219374</v>
      </c>
      <c r="CX81" s="46">
        <f t="shared" si="53"/>
        <v>427634.46340125427</v>
      </c>
      <c r="CY81" s="46">
        <f t="shared" si="53"/>
        <v>430609.90268057113</v>
      </c>
      <c r="CZ81" s="46">
        <f t="shared" si="53"/>
        <v>433736.10271945834</v>
      </c>
      <c r="DA81" s="46">
        <f t="shared" si="53"/>
        <v>436862.30275834556</v>
      </c>
      <c r="DB81" s="46">
        <f t="shared" si="53"/>
        <v>439988.50279723277</v>
      </c>
      <c r="DC81" s="46">
        <f t="shared" si="53"/>
        <v>443256.50820346631</v>
      </c>
      <c r="DD81" s="46">
        <f t="shared" si="53"/>
        <v>446524.51360969985</v>
      </c>
      <c r="DE81" s="46">
        <f t="shared" si="53"/>
        <v>449792.51901593339</v>
      </c>
      <c r="DF81" s="46">
        <f t="shared" si="53"/>
        <v>453161.0315952138</v>
      </c>
      <c r="DG81" s="46">
        <f t="shared" si="53"/>
        <v>456831.06569363485</v>
      </c>
      <c r="DH81" s="46">
        <f t="shared" si="53"/>
        <v>460501.0997920559</v>
      </c>
      <c r="DI81" s="46">
        <f t="shared" si="53"/>
        <v>464101.2616814975</v>
      </c>
      <c r="DJ81" s="46">
        <f t="shared" si="53"/>
        <v>467701.42357093911</v>
      </c>
      <c r="DK81" s="46">
        <f t="shared" si="53"/>
        <v>471301.58546038071</v>
      </c>
      <c r="DL81" s="46">
        <f t="shared" si="53"/>
        <v>475060.04614737112</v>
      </c>
      <c r="DM81" s="46">
        <f t="shared" si="53"/>
        <v>478818.50683436153</v>
      </c>
      <c r="DN81" s="46">
        <f t="shared" si="53"/>
        <v>482576.96752135194</v>
      </c>
      <c r="DO81" s="46">
        <f t="shared" si="53"/>
        <v>486484.50295190047</v>
      </c>
      <c r="DP81" s="46">
        <f t="shared" si="53"/>
        <v>490392.03838244901</v>
      </c>
      <c r="DQ81" s="46">
        <f t="shared" si="53"/>
        <v>494299.57381299755</v>
      </c>
      <c r="DR81" s="46">
        <f t="shared" si="53"/>
        <v>498312.64177524531</v>
      </c>
      <c r="DS81" s="46">
        <f t="shared" si="53"/>
        <v>502642.30733259075</v>
      </c>
      <c r="DT81" s="46">
        <f t="shared" si="53"/>
        <v>506971.97288993618</v>
      </c>
      <c r="DU81" s="46">
        <f>IF(DU80&lt;&gt;0,DT81+DU80,0)</f>
        <v>2218785.2268747222</v>
      </c>
      <c r="DV81" s="135"/>
    </row>
    <row r="82" spans="1:126" s="36" customFormat="1" x14ac:dyDescent="0.2">
      <c r="A82" s="88"/>
      <c r="B82" s="115"/>
      <c r="C82" s="116"/>
      <c r="D82" s="132"/>
      <c r="E82" s="134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135"/>
    </row>
    <row r="83" spans="1:126" s="36" customFormat="1" ht="16" thickBot="1" x14ac:dyDescent="0.25">
      <c r="A83" s="88"/>
      <c r="B83" s="117"/>
      <c r="C83" s="118"/>
      <c r="D83" s="151"/>
      <c r="E83" s="152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3"/>
      <c r="BR83" s="153"/>
      <c r="BS83" s="153"/>
      <c r="BT83" s="153"/>
      <c r="BU83" s="153"/>
      <c r="BV83" s="153"/>
      <c r="BW83" s="153"/>
      <c r="BX83" s="153"/>
      <c r="BY83" s="153"/>
      <c r="BZ83" s="153"/>
      <c r="CA83" s="153"/>
      <c r="CB83" s="153"/>
      <c r="CC83" s="153"/>
      <c r="CD83" s="153"/>
      <c r="CE83" s="153"/>
      <c r="CF83" s="153"/>
      <c r="CG83" s="153"/>
      <c r="CH83" s="153"/>
      <c r="CI83" s="153"/>
      <c r="CJ83" s="153"/>
      <c r="CK83" s="153"/>
      <c r="CL83" s="153"/>
      <c r="CM83" s="153"/>
      <c r="CN83" s="153"/>
      <c r="CO83" s="153"/>
      <c r="CP83" s="153"/>
      <c r="CQ83" s="153"/>
      <c r="CR83" s="153"/>
      <c r="CS83" s="153"/>
      <c r="CT83" s="153"/>
      <c r="CU83" s="153"/>
      <c r="CV83" s="153"/>
      <c r="CW83" s="153"/>
      <c r="CX83" s="153"/>
      <c r="CY83" s="153"/>
      <c r="CZ83" s="153"/>
      <c r="DA83" s="153"/>
      <c r="DB83" s="153"/>
      <c r="DC83" s="153"/>
      <c r="DD83" s="153"/>
      <c r="DE83" s="153"/>
      <c r="DF83" s="153"/>
      <c r="DG83" s="153"/>
      <c r="DH83" s="153"/>
      <c r="DI83" s="153"/>
      <c r="DJ83" s="153"/>
      <c r="DK83" s="153"/>
      <c r="DL83" s="153"/>
      <c r="DM83" s="153"/>
      <c r="DN83" s="153"/>
      <c r="DO83" s="153"/>
      <c r="DP83" s="153"/>
      <c r="DQ83" s="153"/>
      <c r="DR83" s="153"/>
      <c r="DS83" s="153"/>
      <c r="DT83" s="153"/>
      <c r="DU83" s="153"/>
      <c r="DV83" s="154"/>
    </row>
    <row r="84" spans="1:126" s="36" customFormat="1" ht="16" thickBot="1" x14ac:dyDescent="0.25">
      <c r="A84" s="88"/>
      <c r="B84" s="97"/>
      <c r="C84" s="1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</row>
    <row r="85" spans="1:126" x14ac:dyDescent="0.2">
      <c r="A85" s="158"/>
      <c r="B85" s="178"/>
      <c r="C85" s="179"/>
      <c r="D85" s="206"/>
      <c r="E85" s="179">
        <f t="shared" ref="E85:AJ85" si="54">E1</f>
        <v>0</v>
      </c>
      <c r="F85" s="180">
        <f t="shared" si="54"/>
        <v>1</v>
      </c>
      <c r="G85" s="180">
        <f t="shared" si="54"/>
        <v>1</v>
      </c>
      <c r="H85" s="180">
        <f t="shared" si="54"/>
        <v>1</v>
      </c>
      <c r="I85" s="180">
        <f t="shared" si="54"/>
        <v>1</v>
      </c>
      <c r="J85" s="180">
        <f t="shared" si="54"/>
        <v>1</v>
      </c>
      <c r="K85" s="180">
        <f t="shared" si="54"/>
        <v>1</v>
      </c>
      <c r="L85" s="180">
        <f t="shared" si="54"/>
        <v>1</v>
      </c>
      <c r="M85" s="180">
        <f t="shared" si="54"/>
        <v>1</v>
      </c>
      <c r="N85" s="180">
        <f t="shared" si="54"/>
        <v>1</v>
      </c>
      <c r="O85" s="180">
        <f t="shared" si="54"/>
        <v>1</v>
      </c>
      <c r="P85" s="180">
        <f t="shared" si="54"/>
        <v>1</v>
      </c>
      <c r="Q85" s="180">
        <f t="shared" si="54"/>
        <v>1</v>
      </c>
      <c r="R85" s="180">
        <f t="shared" si="54"/>
        <v>2</v>
      </c>
      <c r="S85" s="180">
        <f t="shared" si="54"/>
        <v>2</v>
      </c>
      <c r="T85" s="180">
        <f t="shared" si="54"/>
        <v>2</v>
      </c>
      <c r="U85" s="180">
        <f t="shared" si="54"/>
        <v>2</v>
      </c>
      <c r="V85" s="180">
        <f t="shared" si="54"/>
        <v>2</v>
      </c>
      <c r="W85" s="180">
        <f t="shared" si="54"/>
        <v>2</v>
      </c>
      <c r="X85" s="180">
        <f t="shared" si="54"/>
        <v>2</v>
      </c>
      <c r="Y85" s="180">
        <f t="shared" si="54"/>
        <v>2</v>
      </c>
      <c r="Z85" s="180">
        <f t="shared" si="54"/>
        <v>2</v>
      </c>
      <c r="AA85" s="180">
        <f t="shared" si="54"/>
        <v>2</v>
      </c>
      <c r="AB85" s="180">
        <f t="shared" si="54"/>
        <v>2</v>
      </c>
      <c r="AC85" s="180">
        <f t="shared" si="54"/>
        <v>2</v>
      </c>
      <c r="AD85" s="180">
        <f t="shared" si="54"/>
        <v>3</v>
      </c>
      <c r="AE85" s="180">
        <f t="shared" si="54"/>
        <v>3</v>
      </c>
      <c r="AF85" s="180">
        <f t="shared" si="54"/>
        <v>3</v>
      </c>
      <c r="AG85" s="180">
        <f t="shared" si="54"/>
        <v>3</v>
      </c>
      <c r="AH85" s="180">
        <f t="shared" si="54"/>
        <v>3</v>
      </c>
      <c r="AI85" s="180">
        <f t="shared" si="54"/>
        <v>3</v>
      </c>
      <c r="AJ85" s="180">
        <f t="shared" si="54"/>
        <v>3</v>
      </c>
      <c r="AK85" s="180">
        <f t="shared" ref="AK85:BP85" si="55">AK1</f>
        <v>3</v>
      </c>
      <c r="AL85" s="180">
        <f t="shared" si="55"/>
        <v>3</v>
      </c>
      <c r="AM85" s="180">
        <f t="shared" si="55"/>
        <v>3</v>
      </c>
      <c r="AN85" s="180">
        <f t="shared" si="55"/>
        <v>3</v>
      </c>
      <c r="AO85" s="180">
        <f t="shared" si="55"/>
        <v>3</v>
      </c>
      <c r="AP85" s="180">
        <f t="shared" si="55"/>
        <v>4</v>
      </c>
      <c r="AQ85" s="180">
        <f t="shared" si="55"/>
        <v>4</v>
      </c>
      <c r="AR85" s="180">
        <f t="shared" si="55"/>
        <v>4</v>
      </c>
      <c r="AS85" s="180">
        <f t="shared" si="55"/>
        <v>4</v>
      </c>
      <c r="AT85" s="180">
        <f t="shared" si="55"/>
        <v>4</v>
      </c>
      <c r="AU85" s="180">
        <f t="shared" si="55"/>
        <v>4</v>
      </c>
      <c r="AV85" s="180">
        <f t="shared" si="55"/>
        <v>4</v>
      </c>
      <c r="AW85" s="180">
        <f t="shared" si="55"/>
        <v>4</v>
      </c>
      <c r="AX85" s="180">
        <f t="shared" si="55"/>
        <v>4</v>
      </c>
      <c r="AY85" s="180">
        <f t="shared" si="55"/>
        <v>4</v>
      </c>
      <c r="AZ85" s="180">
        <f t="shared" si="55"/>
        <v>4</v>
      </c>
      <c r="BA85" s="180">
        <f t="shared" si="55"/>
        <v>4</v>
      </c>
      <c r="BB85" s="180">
        <f t="shared" si="55"/>
        <v>5</v>
      </c>
      <c r="BC85" s="180">
        <f t="shared" si="55"/>
        <v>5</v>
      </c>
      <c r="BD85" s="180">
        <f t="shared" si="55"/>
        <v>5</v>
      </c>
      <c r="BE85" s="180">
        <f t="shared" si="55"/>
        <v>5</v>
      </c>
      <c r="BF85" s="180">
        <f t="shared" si="55"/>
        <v>5</v>
      </c>
      <c r="BG85" s="180">
        <f t="shared" si="55"/>
        <v>5</v>
      </c>
      <c r="BH85" s="180">
        <f t="shared" si="55"/>
        <v>5</v>
      </c>
      <c r="BI85" s="180">
        <f t="shared" si="55"/>
        <v>5</v>
      </c>
      <c r="BJ85" s="180">
        <f t="shared" si="55"/>
        <v>5</v>
      </c>
      <c r="BK85" s="180">
        <f t="shared" si="55"/>
        <v>5</v>
      </c>
      <c r="BL85" s="180">
        <f t="shared" si="55"/>
        <v>5</v>
      </c>
      <c r="BM85" s="180">
        <f t="shared" si="55"/>
        <v>5</v>
      </c>
      <c r="BN85" s="180">
        <f t="shared" si="55"/>
        <v>6</v>
      </c>
      <c r="BO85" s="180">
        <f t="shared" si="55"/>
        <v>6</v>
      </c>
      <c r="BP85" s="180">
        <f t="shared" si="55"/>
        <v>6</v>
      </c>
      <c r="BQ85" s="180">
        <f t="shared" ref="BQ85:CV85" si="56">BQ1</f>
        <v>6</v>
      </c>
      <c r="BR85" s="180">
        <f t="shared" si="56"/>
        <v>6</v>
      </c>
      <c r="BS85" s="180">
        <f t="shared" si="56"/>
        <v>6</v>
      </c>
      <c r="BT85" s="180">
        <f t="shared" si="56"/>
        <v>6</v>
      </c>
      <c r="BU85" s="180">
        <f t="shared" si="56"/>
        <v>6</v>
      </c>
      <c r="BV85" s="180">
        <f t="shared" si="56"/>
        <v>6</v>
      </c>
      <c r="BW85" s="180">
        <f t="shared" si="56"/>
        <v>6</v>
      </c>
      <c r="BX85" s="180">
        <f t="shared" si="56"/>
        <v>6</v>
      </c>
      <c r="BY85" s="180">
        <f t="shared" si="56"/>
        <v>6</v>
      </c>
      <c r="BZ85" s="180">
        <f t="shared" si="56"/>
        <v>7</v>
      </c>
      <c r="CA85" s="180">
        <f t="shared" si="56"/>
        <v>7</v>
      </c>
      <c r="CB85" s="180">
        <f t="shared" si="56"/>
        <v>7</v>
      </c>
      <c r="CC85" s="180">
        <f t="shared" si="56"/>
        <v>7</v>
      </c>
      <c r="CD85" s="180">
        <f t="shared" si="56"/>
        <v>7</v>
      </c>
      <c r="CE85" s="180">
        <f t="shared" si="56"/>
        <v>7</v>
      </c>
      <c r="CF85" s="180">
        <f t="shared" si="56"/>
        <v>7</v>
      </c>
      <c r="CG85" s="180">
        <f t="shared" si="56"/>
        <v>7</v>
      </c>
      <c r="CH85" s="180">
        <f t="shared" si="56"/>
        <v>7</v>
      </c>
      <c r="CI85" s="180">
        <f t="shared" si="56"/>
        <v>7</v>
      </c>
      <c r="CJ85" s="180">
        <f t="shared" si="56"/>
        <v>7</v>
      </c>
      <c r="CK85" s="180">
        <f t="shared" si="56"/>
        <v>7</v>
      </c>
      <c r="CL85" s="180">
        <f t="shared" si="56"/>
        <v>8</v>
      </c>
      <c r="CM85" s="180">
        <f t="shared" si="56"/>
        <v>8</v>
      </c>
      <c r="CN85" s="180">
        <f t="shared" si="56"/>
        <v>8</v>
      </c>
      <c r="CO85" s="180">
        <f t="shared" si="56"/>
        <v>8</v>
      </c>
      <c r="CP85" s="180">
        <f t="shared" si="56"/>
        <v>8</v>
      </c>
      <c r="CQ85" s="180">
        <f t="shared" si="56"/>
        <v>8</v>
      </c>
      <c r="CR85" s="180">
        <f t="shared" si="56"/>
        <v>8</v>
      </c>
      <c r="CS85" s="180">
        <f t="shared" si="56"/>
        <v>8</v>
      </c>
      <c r="CT85" s="180">
        <f t="shared" si="56"/>
        <v>8</v>
      </c>
      <c r="CU85" s="180">
        <f t="shared" si="56"/>
        <v>8</v>
      </c>
      <c r="CV85" s="180">
        <f t="shared" si="56"/>
        <v>8</v>
      </c>
      <c r="CW85" s="180">
        <f t="shared" ref="CW85:DU85" si="57">CW1</f>
        <v>8</v>
      </c>
      <c r="CX85" s="180">
        <f t="shared" si="57"/>
        <v>9</v>
      </c>
      <c r="CY85" s="180">
        <f t="shared" si="57"/>
        <v>9</v>
      </c>
      <c r="CZ85" s="180">
        <f t="shared" si="57"/>
        <v>9</v>
      </c>
      <c r="DA85" s="180">
        <f t="shared" si="57"/>
        <v>9</v>
      </c>
      <c r="DB85" s="180">
        <f t="shared" si="57"/>
        <v>9</v>
      </c>
      <c r="DC85" s="180">
        <f t="shared" si="57"/>
        <v>9</v>
      </c>
      <c r="DD85" s="180">
        <f t="shared" si="57"/>
        <v>9</v>
      </c>
      <c r="DE85" s="180">
        <f t="shared" si="57"/>
        <v>9</v>
      </c>
      <c r="DF85" s="180">
        <f t="shared" si="57"/>
        <v>9</v>
      </c>
      <c r="DG85" s="180">
        <f t="shared" si="57"/>
        <v>9</v>
      </c>
      <c r="DH85" s="180">
        <f t="shared" si="57"/>
        <v>9</v>
      </c>
      <c r="DI85" s="180">
        <f t="shared" si="57"/>
        <v>9</v>
      </c>
      <c r="DJ85" s="180">
        <f t="shared" si="57"/>
        <v>10</v>
      </c>
      <c r="DK85" s="180">
        <f t="shared" si="57"/>
        <v>10</v>
      </c>
      <c r="DL85" s="180">
        <f t="shared" si="57"/>
        <v>10</v>
      </c>
      <c r="DM85" s="180">
        <f t="shared" si="57"/>
        <v>10</v>
      </c>
      <c r="DN85" s="180">
        <f t="shared" si="57"/>
        <v>10</v>
      </c>
      <c r="DO85" s="180">
        <f t="shared" si="57"/>
        <v>10</v>
      </c>
      <c r="DP85" s="180">
        <f t="shared" si="57"/>
        <v>10</v>
      </c>
      <c r="DQ85" s="180">
        <f t="shared" si="57"/>
        <v>10</v>
      </c>
      <c r="DR85" s="180">
        <f t="shared" si="57"/>
        <v>10</v>
      </c>
      <c r="DS85" s="180">
        <f t="shared" si="57"/>
        <v>10</v>
      </c>
      <c r="DT85" s="180">
        <f t="shared" si="57"/>
        <v>10</v>
      </c>
      <c r="DU85" s="180">
        <f t="shared" si="57"/>
        <v>10</v>
      </c>
      <c r="DV85" s="181"/>
    </row>
    <row r="86" spans="1:126" x14ac:dyDescent="0.2">
      <c r="A86" s="159"/>
      <c r="B86" s="182"/>
      <c r="C86" s="67"/>
      <c r="D86" s="207" t="str">
        <f>D2</f>
        <v>Investment</v>
      </c>
      <c r="E86" s="71">
        <f t="shared" ref="E86:AJ86" si="58">E2</f>
        <v>0</v>
      </c>
      <c r="F86" s="71">
        <f t="shared" si="58"/>
        <v>1</v>
      </c>
      <c r="G86" s="71">
        <f t="shared" si="58"/>
        <v>2</v>
      </c>
      <c r="H86" s="71">
        <f t="shared" si="58"/>
        <v>3</v>
      </c>
      <c r="I86" s="71">
        <f t="shared" si="58"/>
        <v>4</v>
      </c>
      <c r="J86" s="71">
        <f t="shared" si="58"/>
        <v>5</v>
      </c>
      <c r="K86" s="71">
        <f t="shared" si="58"/>
        <v>6</v>
      </c>
      <c r="L86" s="71">
        <f t="shared" si="58"/>
        <v>7</v>
      </c>
      <c r="M86" s="71">
        <f t="shared" si="58"/>
        <v>8</v>
      </c>
      <c r="N86" s="71">
        <f t="shared" si="58"/>
        <v>9</v>
      </c>
      <c r="O86" s="71">
        <f t="shared" si="58"/>
        <v>10</v>
      </c>
      <c r="P86" s="71">
        <f t="shared" si="58"/>
        <v>11</v>
      </c>
      <c r="Q86" s="71">
        <f t="shared" si="58"/>
        <v>12</v>
      </c>
      <c r="R86" s="71">
        <f t="shared" si="58"/>
        <v>13</v>
      </c>
      <c r="S86" s="71">
        <f t="shared" si="58"/>
        <v>14</v>
      </c>
      <c r="T86" s="71">
        <f t="shared" si="58"/>
        <v>15</v>
      </c>
      <c r="U86" s="71">
        <f t="shared" si="58"/>
        <v>16</v>
      </c>
      <c r="V86" s="71">
        <f t="shared" si="58"/>
        <v>17</v>
      </c>
      <c r="W86" s="71">
        <f t="shared" si="58"/>
        <v>18</v>
      </c>
      <c r="X86" s="71">
        <f t="shared" si="58"/>
        <v>19</v>
      </c>
      <c r="Y86" s="71">
        <f t="shared" si="58"/>
        <v>20</v>
      </c>
      <c r="Z86" s="71">
        <f t="shared" si="58"/>
        <v>21</v>
      </c>
      <c r="AA86" s="71">
        <f t="shared" si="58"/>
        <v>22</v>
      </c>
      <c r="AB86" s="71">
        <f t="shared" si="58"/>
        <v>23</v>
      </c>
      <c r="AC86" s="71">
        <f t="shared" si="58"/>
        <v>24</v>
      </c>
      <c r="AD86" s="71">
        <f t="shared" si="58"/>
        <v>25</v>
      </c>
      <c r="AE86" s="71">
        <f t="shared" si="58"/>
        <v>26</v>
      </c>
      <c r="AF86" s="71">
        <f t="shared" si="58"/>
        <v>27</v>
      </c>
      <c r="AG86" s="71">
        <f t="shared" si="58"/>
        <v>28</v>
      </c>
      <c r="AH86" s="71">
        <f t="shared" si="58"/>
        <v>29</v>
      </c>
      <c r="AI86" s="71">
        <f t="shared" si="58"/>
        <v>30</v>
      </c>
      <c r="AJ86" s="71">
        <f t="shared" si="58"/>
        <v>31</v>
      </c>
      <c r="AK86" s="71">
        <f t="shared" ref="AK86:BP86" si="59">AK2</f>
        <v>32</v>
      </c>
      <c r="AL86" s="71">
        <f t="shared" si="59"/>
        <v>33</v>
      </c>
      <c r="AM86" s="71">
        <f t="shared" si="59"/>
        <v>34</v>
      </c>
      <c r="AN86" s="71">
        <f t="shared" si="59"/>
        <v>35</v>
      </c>
      <c r="AO86" s="71">
        <f t="shared" si="59"/>
        <v>36</v>
      </c>
      <c r="AP86" s="71">
        <f t="shared" si="59"/>
        <v>37</v>
      </c>
      <c r="AQ86" s="71">
        <f t="shared" si="59"/>
        <v>38</v>
      </c>
      <c r="AR86" s="71">
        <f t="shared" si="59"/>
        <v>39</v>
      </c>
      <c r="AS86" s="71">
        <f t="shared" si="59"/>
        <v>40</v>
      </c>
      <c r="AT86" s="71">
        <f t="shared" si="59"/>
        <v>41</v>
      </c>
      <c r="AU86" s="71">
        <f t="shared" si="59"/>
        <v>42</v>
      </c>
      <c r="AV86" s="71">
        <f t="shared" si="59"/>
        <v>43</v>
      </c>
      <c r="AW86" s="71">
        <f t="shared" si="59"/>
        <v>44</v>
      </c>
      <c r="AX86" s="71">
        <f t="shared" si="59"/>
        <v>45</v>
      </c>
      <c r="AY86" s="71">
        <f t="shared" si="59"/>
        <v>46</v>
      </c>
      <c r="AZ86" s="71">
        <f t="shared" si="59"/>
        <v>47</v>
      </c>
      <c r="BA86" s="71">
        <f t="shared" si="59"/>
        <v>48</v>
      </c>
      <c r="BB86" s="71">
        <f t="shared" si="59"/>
        <v>49</v>
      </c>
      <c r="BC86" s="71">
        <f t="shared" si="59"/>
        <v>50</v>
      </c>
      <c r="BD86" s="71">
        <f t="shared" si="59"/>
        <v>51</v>
      </c>
      <c r="BE86" s="71">
        <f t="shared" si="59"/>
        <v>52</v>
      </c>
      <c r="BF86" s="71">
        <f t="shared" si="59"/>
        <v>53</v>
      </c>
      <c r="BG86" s="71">
        <f t="shared" si="59"/>
        <v>54</v>
      </c>
      <c r="BH86" s="71">
        <f t="shared" si="59"/>
        <v>55</v>
      </c>
      <c r="BI86" s="71">
        <f t="shared" si="59"/>
        <v>56</v>
      </c>
      <c r="BJ86" s="71">
        <f t="shared" si="59"/>
        <v>57</v>
      </c>
      <c r="BK86" s="71">
        <f t="shared" si="59"/>
        <v>58</v>
      </c>
      <c r="BL86" s="71">
        <f t="shared" si="59"/>
        <v>59</v>
      </c>
      <c r="BM86" s="71">
        <f t="shared" si="59"/>
        <v>60</v>
      </c>
      <c r="BN86" s="71">
        <f t="shared" si="59"/>
        <v>61</v>
      </c>
      <c r="BO86" s="71">
        <f t="shared" si="59"/>
        <v>62</v>
      </c>
      <c r="BP86" s="71">
        <f t="shared" si="59"/>
        <v>63</v>
      </c>
      <c r="BQ86" s="71">
        <f t="shared" ref="BQ86:CV86" si="60">BQ2</f>
        <v>64</v>
      </c>
      <c r="BR86" s="71">
        <f t="shared" si="60"/>
        <v>65</v>
      </c>
      <c r="BS86" s="71">
        <f t="shared" si="60"/>
        <v>66</v>
      </c>
      <c r="BT86" s="71">
        <f t="shared" si="60"/>
        <v>67</v>
      </c>
      <c r="BU86" s="71">
        <f t="shared" si="60"/>
        <v>68</v>
      </c>
      <c r="BV86" s="71">
        <f t="shared" si="60"/>
        <v>69</v>
      </c>
      <c r="BW86" s="71">
        <f t="shared" si="60"/>
        <v>70</v>
      </c>
      <c r="BX86" s="71">
        <f t="shared" si="60"/>
        <v>71</v>
      </c>
      <c r="BY86" s="71">
        <f t="shared" si="60"/>
        <v>72</v>
      </c>
      <c r="BZ86" s="71">
        <f t="shared" si="60"/>
        <v>73</v>
      </c>
      <c r="CA86" s="71">
        <f t="shared" si="60"/>
        <v>74</v>
      </c>
      <c r="CB86" s="71">
        <f t="shared" si="60"/>
        <v>75</v>
      </c>
      <c r="CC86" s="71">
        <f t="shared" si="60"/>
        <v>76</v>
      </c>
      <c r="CD86" s="71">
        <f t="shared" si="60"/>
        <v>77</v>
      </c>
      <c r="CE86" s="71">
        <f t="shared" si="60"/>
        <v>78</v>
      </c>
      <c r="CF86" s="71">
        <f t="shared" si="60"/>
        <v>79</v>
      </c>
      <c r="CG86" s="71">
        <f t="shared" si="60"/>
        <v>80</v>
      </c>
      <c r="CH86" s="71">
        <f t="shared" si="60"/>
        <v>81</v>
      </c>
      <c r="CI86" s="71">
        <f t="shared" si="60"/>
        <v>82</v>
      </c>
      <c r="CJ86" s="71">
        <f t="shared" si="60"/>
        <v>83</v>
      </c>
      <c r="CK86" s="71">
        <f t="shared" si="60"/>
        <v>84</v>
      </c>
      <c r="CL86" s="71">
        <f t="shared" si="60"/>
        <v>85</v>
      </c>
      <c r="CM86" s="71">
        <f t="shared" si="60"/>
        <v>86</v>
      </c>
      <c r="CN86" s="71">
        <f t="shared" si="60"/>
        <v>87</v>
      </c>
      <c r="CO86" s="71">
        <f t="shared" si="60"/>
        <v>88</v>
      </c>
      <c r="CP86" s="71">
        <f t="shared" si="60"/>
        <v>89</v>
      </c>
      <c r="CQ86" s="71">
        <f t="shared" si="60"/>
        <v>90</v>
      </c>
      <c r="CR86" s="71">
        <f t="shared" si="60"/>
        <v>91</v>
      </c>
      <c r="CS86" s="71">
        <f t="shared" si="60"/>
        <v>92</v>
      </c>
      <c r="CT86" s="71">
        <f t="shared" si="60"/>
        <v>93</v>
      </c>
      <c r="CU86" s="71">
        <f t="shared" si="60"/>
        <v>94</v>
      </c>
      <c r="CV86" s="71">
        <f t="shared" si="60"/>
        <v>95</v>
      </c>
      <c r="CW86" s="71">
        <f t="shared" ref="CW86:DU86" si="61">CW2</f>
        <v>96</v>
      </c>
      <c r="CX86" s="71">
        <f t="shared" si="61"/>
        <v>97</v>
      </c>
      <c r="CY86" s="71">
        <f t="shared" si="61"/>
        <v>98</v>
      </c>
      <c r="CZ86" s="71">
        <f t="shared" si="61"/>
        <v>99</v>
      </c>
      <c r="DA86" s="71">
        <f t="shared" si="61"/>
        <v>100</v>
      </c>
      <c r="DB86" s="71">
        <f t="shared" si="61"/>
        <v>101</v>
      </c>
      <c r="DC86" s="71">
        <f t="shared" si="61"/>
        <v>102</v>
      </c>
      <c r="DD86" s="71">
        <f t="shared" si="61"/>
        <v>103</v>
      </c>
      <c r="DE86" s="71">
        <f t="shared" si="61"/>
        <v>104</v>
      </c>
      <c r="DF86" s="71">
        <f t="shared" si="61"/>
        <v>105</v>
      </c>
      <c r="DG86" s="71">
        <f t="shared" si="61"/>
        <v>106</v>
      </c>
      <c r="DH86" s="71">
        <f t="shared" si="61"/>
        <v>107</v>
      </c>
      <c r="DI86" s="71">
        <f t="shared" si="61"/>
        <v>108</v>
      </c>
      <c r="DJ86" s="71">
        <f t="shared" si="61"/>
        <v>109</v>
      </c>
      <c r="DK86" s="71">
        <f t="shared" si="61"/>
        <v>110</v>
      </c>
      <c r="DL86" s="71">
        <f t="shared" si="61"/>
        <v>111</v>
      </c>
      <c r="DM86" s="71">
        <f t="shared" si="61"/>
        <v>112</v>
      </c>
      <c r="DN86" s="71">
        <f t="shared" si="61"/>
        <v>113</v>
      </c>
      <c r="DO86" s="71">
        <f t="shared" si="61"/>
        <v>114</v>
      </c>
      <c r="DP86" s="71">
        <f t="shared" si="61"/>
        <v>115</v>
      </c>
      <c r="DQ86" s="71">
        <f t="shared" si="61"/>
        <v>116</v>
      </c>
      <c r="DR86" s="71">
        <f t="shared" si="61"/>
        <v>117</v>
      </c>
      <c r="DS86" s="71">
        <f t="shared" si="61"/>
        <v>118</v>
      </c>
      <c r="DT86" s="71">
        <f t="shared" si="61"/>
        <v>119</v>
      </c>
      <c r="DU86" s="71">
        <f t="shared" si="61"/>
        <v>120</v>
      </c>
      <c r="DV86" s="183"/>
    </row>
    <row r="87" spans="1:126" x14ac:dyDescent="0.2">
      <c r="A87" s="88"/>
      <c r="B87" s="184"/>
      <c r="C87" s="74"/>
      <c r="D87" s="185"/>
      <c r="E87" s="201">
        <f t="shared" ref="E87:AJ87" si="62">E3</f>
        <v>44561</v>
      </c>
      <c r="F87" s="74">
        <f t="shared" si="62"/>
        <v>44562</v>
      </c>
      <c r="G87" s="74">
        <f t="shared" si="62"/>
        <v>44593</v>
      </c>
      <c r="H87" s="74">
        <f t="shared" si="62"/>
        <v>44621</v>
      </c>
      <c r="I87" s="74">
        <f t="shared" si="62"/>
        <v>44652</v>
      </c>
      <c r="J87" s="74">
        <f t="shared" si="62"/>
        <v>44682</v>
      </c>
      <c r="K87" s="74">
        <f t="shared" si="62"/>
        <v>44713</v>
      </c>
      <c r="L87" s="74">
        <f t="shared" si="62"/>
        <v>44743</v>
      </c>
      <c r="M87" s="74">
        <f t="shared" si="62"/>
        <v>44774</v>
      </c>
      <c r="N87" s="74">
        <f t="shared" si="62"/>
        <v>44805</v>
      </c>
      <c r="O87" s="74">
        <f t="shared" si="62"/>
        <v>44835</v>
      </c>
      <c r="P87" s="74">
        <f t="shared" si="62"/>
        <v>44866</v>
      </c>
      <c r="Q87" s="74">
        <f t="shared" si="62"/>
        <v>44896</v>
      </c>
      <c r="R87" s="74">
        <f t="shared" si="62"/>
        <v>44927</v>
      </c>
      <c r="S87" s="74">
        <f t="shared" si="62"/>
        <v>44958</v>
      </c>
      <c r="T87" s="74">
        <f t="shared" si="62"/>
        <v>44986</v>
      </c>
      <c r="U87" s="74">
        <f t="shared" si="62"/>
        <v>45017</v>
      </c>
      <c r="V87" s="74">
        <f t="shared" si="62"/>
        <v>45047</v>
      </c>
      <c r="W87" s="74">
        <f t="shared" si="62"/>
        <v>45078</v>
      </c>
      <c r="X87" s="74">
        <f t="shared" si="62"/>
        <v>45108</v>
      </c>
      <c r="Y87" s="74">
        <f t="shared" si="62"/>
        <v>45139</v>
      </c>
      <c r="Z87" s="74">
        <f t="shared" si="62"/>
        <v>45170</v>
      </c>
      <c r="AA87" s="74">
        <f t="shared" si="62"/>
        <v>45200</v>
      </c>
      <c r="AB87" s="74">
        <f t="shared" si="62"/>
        <v>45231</v>
      </c>
      <c r="AC87" s="74">
        <f t="shared" si="62"/>
        <v>45261</v>
      </c>
      <c r="AD87" s="74">
        <f t="shared" si="62"/>
        <v>45292</v>
      </c>
      <c r="AE87" s="74">
        <f t="shared" si="62"/>
        <v>45323</v>
      </c>
      <c r="AF87" s="74">
        <f t="shared" si="62"/>
        <v>45352</v>
      </c>
      <c r="AG87" s="74">
        <f t="shared" si="62"/>
        <v>45383</v>
      </c>
      <c r="AH87" s="74">
        <f t="shared" si="62"/>
        <v>45413</v>
      </c>
      <c r="AI87" s="74">
        <f t="shared" si="62"/>
        <v>45444</v>
      </c>
      <c r="AJ87" s="74">
        <f t="shared" si="62"/>
        <v>45474</v>
      </c>
      <c r="AK87" s="74">
        <f t="shared" ref="AK87:BP87" si="63">AK3</f>
        <v>45505</v>
      </c>
      <c r="AL87" s="74">
        <f t="shared" si="63"/>
        <v>45536</v>
      </c>
      <c r="AM87" s="74">
        <f t="shared" si="63"/>
        <v>45566</v>
      </c>
      <c r="AN87" s="74">
        <f t="shared" si="63"/>
        <v>45597</v>
      </c>
      <c r="AO87" s="74">
        <f t="shared" si="63"/>
        <v>45627</v>
      </c>
      <c r="AP87" s="74">
        <f t="shared" si="63"/>
        <v>45658</v>
      </c>
      <c r="AQ87" s="74">
        <f t="shared" si="63"/>
        <v>45689</v>
      </c>
      <c r="AR87" s="74">
        <f t="shared" si="63"/>
        <v>45717</v>
      </c>
      <c r="AS87" s="74">
        <f t="shared" si="63"/>
        <v>45748</v>
      </c>
      <c r="AT87" s="74">
        <f t="shared" si="63"/>
        <v>45778</v>
      </c>
      <c r="AU87" s="74">
        <f t="shared" si="63"/>
        <v>45809</v>
      </c>
      <c r="AV87" s="74">
        <f t="shared" si="63"/>
        <v>45839</v>
      </c>
      <c r="AW87" s="74">
        <f t="shared" si="63"/>
        <v>45870</v>
      </c>
      <c r="AX87" s="74">
        <f t="shared" si="63"/>
        <v>45901</v>
      </c>
      <c r="AY87" s="74">
        <f t="shared" si="63"/>
        <v>45931</v>
      </c>
      <c r="AZ87" s="74">
        <f t="shared" si="63"/>
        <v>45962</v>
      </c>
      <c r="BA87" s="74">
        <f t="shared" si="63"/>
        <v>45992</v>
      </c>
      <c r="BB87" s="74">
        <f t="shared" si="63"/>
        <v>46023</v>
      </c>
      <c r="BC87" s="74">
        <f t="shared" si="63"/>
        <v>46054</v>
      </c>
      <c r="BD87" s="74">
        <f t="shared" si="63"/>
        <v>46082</v>
      </c>
      <c r="BE87" s="74">
        <f t="shared" si="63"/>
        <v>46113</v>
      </c>
      <c r="BF87" s="74">
        <f t="shared" si="63"/>
        <v>46143</v>
      </c>
      <c r="BG87" s="74">
        <f t="shared" si="63"/>
        <v>46174</v>
      </c>
      <c r="BH87" s="74">
        <f t="shared" si="63"/>
        <v>46204</v>
      </c>
      <c r="BI87" s="74">
        <f t="shared" si="63"/>
        <v>46235</v>
      </c>
      <c r="BJ87" s="74">
        <f t="shared" si="63"/>
        <v>46266</v>
      </c>
      <c r="BK87" s="74">
        <f t="shared" si="63"/>
        <v>46296</v>
      </c>
      <c r="BL87" s="74">
        <f t="shared" si="63"/>
        <v>46327</v>
      </c>
      <c r="BM87" s="74">
        <f t="shared" si="63"/>
        <v>46357</v>
      </c>
      <c r="BN87" s="74">
        <f t="shared" si="63"/>
        <v>46388</v>
      </c>
      <c r="BO87" s="74">
        <f t="shared" si="63"/>
        <v>46419</v>
      </c>
      <c r="BP87" s="74">
        <f t="shared" si="63"/>
        <v>46447</v>
      </c>
      <c r="BQ87" s="74">
        <f t="shared" ref="BQ87:CV87" si="64">BQ3</f>
        <v>46478</v>
      </c>
      <c r="BR87" s="74">
        <f t="shared" si="64"/>
        <v>46508</v>
      </c>
      <c r="BS87" s="74">
        <f t="shared" si="64"/>
        <v>46539</v>
      </c>
      <c r="BT87" s="74">
        <f t="shared" si="64"/>
        <v>46569</v>
      </c>
      <c r="BU87" s="74">
        <f t="shared" si="64"/>
        <v>46600</v>
      </c>
      <c r="BV87" s="74">
        <f t="shared" si="64"/>
        <v>46631</v>
      </c>
      <c r="BW87" s="74">
        <f t="shared" si="64"/>
        <v>46661</v>
      </c>
      <c r="BX87" s="74">
        <f t="shared" si="64"/>
        <v>46692</v>
      </c>
      <c r="BY87" s="74">
        <f t="shared" si="64"/>
        <v>46722</v>
      </c>
      <c r="BZ87" s="74">
        <f t="shared" si="64"/>
        <v>46753</v>
      </c>
      <c r="CA87" s="74">
        <f t="shared" si="64"/>
        <v>46784</v>
      </c>
      <c r="CB87" s="74">
        <f t="shared" si="64"/>
        <v>46813</v>
      </c>
      <c r="CC87" s="74">
        <f t="shared" si="64"/>
        <v>46844</v>
      </c>
      <c r="CD87" s="74">
        <f t="shared" si="64"/>
        <v>46874</v>
      </c>
      <c r="CE87" s="74">
        <f t="shared" si="64"/>
        <v>46905</v>
      </c>
      <c r="CF87" s="74">
        <f t="shared" si="64"/>
        <v>46935</v>
      </c>
      <c r="CG87" s="74">
        <f t="shared" si="64"/>
        <v>46966</v>
      </c>
      <c r="CH87" s="74">
        <f t="shared" si="64"/>
        <v>46997</v>
      </c>
      <c r="CI87" s="74">
        <f t="shared" si="64"/>
        <v>47027</v>
      </c>
      <c r="CJ87" s="74">
        <f t="shared" si="64"/>
        <v>47058</v>
      </c>
      <c r="CK87" s="74">
        <f t="shared" si="64"/>
        <v>47088</v>
      </c>
      <c r="CL87" s="74">
        <f t="shared" si="64"/>
        <v>47119</v>
      </c>
      <c r="CM87" s="74">
        <f t="shared" si="64"/>
        <v>47150</v>
      </c>
      <c r="CN87" s="74">
        <f t="shared" si="64"/>
        <v>47178</v>
      </c>
      <c r="CO87" s="74">
        <f t="shared" si="64"/>
        <v>47209</v>
      </c>
      <c r="CP87" s="74">
        <f t="shared" si="64"/>
        <v>47239</v>
      </c>
      <c r="CQ87" s="74">
        <f t="shared" si="64"/>
        <v>47270</v>
      </c>
      <c r="CR87" s="74">
        <f t="shared" si="64"/>
        <v>47300</v>
      </c>
      <c r="CS87" s="74">
        <f t="shared" si="64"/>
        <v>47331</v>
      </c>
      <c r="CT87" s="74">
        <f t="shared" si="64"/>
        <v>47362</v>
      </c>
      <c r="CU87" s="74">
        <f t="shared" si="64"/>
        <v>47392</v>
      </c>
      <c r="CV87" s="74">
        <f t="shared" si="64"/>
        <v>47423</v>
      </c>
      <c r="CW87" s="74">
        <f t="shared" ref="CW87:DU87" si="65">CW3</f>
        <v>47453</v>
      </c>
      <c r="CX87" s="74">
        <f t="shared" si="65"/>
        <v>47484</v>
      </c>
      <c r="CY87" s="74">
        <f t="shared" si="65"/>
        <v>47515</v>
      </c>
      <c r="CZ87" s="74">
        <f t="shared" si="65"/>
        <v>47543</v>
      </c>
      <c r="DA87" s="74">
        <f t="shared" si="65"/>
        <v>47574</v>
      </c>
      <c r="DB87" s="74">
        <f t="shared" si="65"/>
        <v>47604</v>
      </c>
      <c r="DC87" s="74">
        <f t="shared" si="65"/>
        <v>47635</v>
      </c>
      <c r="DD87" s="74">
        <f t="shared" si="65"/>
        <v>47665</v>
      </c>
      <c r="DE87" s="74">
        <f t="shared" si="65"/>
        <v>47696</v>
      </c>
      <c r="DF87" s="74">
        <f t="shared" si="65"/>
        <v>47727</v>
      </c>
      <c r="DG87" s="74">
        <f t="shared" si="65"/>
        <v>47757</v>
      </c>
      <c r="DH87" s="74">
        <f t="shared" si="65"/>
        <v>47788</v>
      </c>
      <c r="DI87" s="74">
        <f t="shared" si="65"/>
        <v>47818</v>
      </c>
      <c r="DJ87" s="74">
        <f t="shared" si="65"/>
        <v>47849</v>
      </c>
      <c r="DK87" s="74">
        <f t="shared" si="65"/>
        <v>47880</v>
      </c>
      <c r="DL87" s="74">
        <f t="shared" si="65"/>
        <v>47908</v>
      </c>
      <c r="DM87" s="74">
        <f t="shared" si="65"/>
        <v>47939</v>
      </c>
      <c r="DN87" s="74">
        <f t="shared" si="65"/>
        <v>47969</v>
      </c>
      <c r="DO87" s="74">
        <f t="shared" si="65"/>
        <v>48000</v>
      </c>
      <c r="DP87" s="74">
        <f t="shared" si="65"/>
        <v>48030</v>
      </c>
      <c r="DQ87" s="74">
        <f t="shared" si="65"/>
        <v>48061</v>
      </c>
      <c r="DR87" s="74">
        <f t="shared" si="65"/>
        <v>48092</v>
      </c>
      <c r="DS87" s="74">
        <f t="shared" si="65"/>
        <v>48122</v>
      </c>
      <c r="DT87" s="74">
        <f t="shared" si="65"/>
        <v>48153</v>
      </c>
      <c r="DU87" s="74">
        <f t="shared" si="65"/>
        <v>48183</v>
      </c>
      <c r="DV87" s="185"/>
    </row>
    <row r="88" spans="1:126" x14ac:dyDescent="0.2">
      <c r="A88" s="160"/>
      <c r="B88" s="186" t="str">
        <f>B4</f>
        <v>Revenue</v>
      </c>
      <c r="C88" s="76"/>
      <c r="D88" s="78"/>
      <c r="E88" s="78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8"/>
    </row>
    <row r="89" spans="1:126" s="36" customFormat="1" x14ac:dyDescent="0.2">
      <c r="A89" s="160"/>
      <c r="B89" s="188" t="s">
        <v>145</v>
      </c>
      <c r="C89" s="189"/>
      <c r="D89" s="208">
        <f>D80</f>
        <v>2218785.2268747222</v>
      </c>
      <c r="E89" s="191">
        <f t="shared" ref="E89:BP89" si="66">E80</f>
        <v>0</v>
      </c>
      <c r="F89" s="191">
        <f t="shared" si="66"/>
        <v>-10290.370000000001</v>
      </c>
      <c r="G89" s="191">
        <f t="shared" si="66"/>
        <v>-10290.370000000001</v>
      </c>
      <c r="H89" s="191">
        <f t="shared" si="66"/>
        <v>-10290.370000000001</v>
      </c>
      <c r="I89" s="191">
        <f t="shared" si="66"/>
        <v>-9000</v>
      </c>
      <c r="J89" s="191">
        <f t="shared" si="66"/>
        <v>-9000</v>
      </c>
      <c r="K89" s="191">
        <f t="shared" si="66"/>
        <v>-9000</v>
      </c>
      <c r="L89" s="191">
        <f t="shared" si="66"/>
        <v>-8250</v>
      </c>
      <c r="M89" s="191">
        <f t="shared" si="66"/>
        <v>-8250</v>
      </c>
      <c r="N89" s="191">
        <f t="shared" si="66"/>
        <v>-11250</v>
      </c>
      <c r="O89" s="191">
        <f t="shared" si="66"/>
        <v>-11250</v>
      </c>
      <c r="P89" s="191">
        <f t="shared" si="66"/>
        <v>-15000</v>
      </c>
      <c r="Q89" s="191">
        <f t="shared" si="66"/>
        <v>-15000</v>
      </c>
      <c r="R89" s="191">
        <f t="shared" si="66"/>
        <v>-15000</v>
      </c>
      <c r="S89" s="191">
        <f t="shared" si="66"/>
        <v>-9000</v>
      </c>
      <c r="T89" s="191">
        <f t="shared" si="66"/>
        <v>-9000</v>
      </c>
      <c r="U89" s="191">
        <f t="shared" si="66"/>
        <v>-4500</v>
      </c>
      <c r="V89" s="191">
        <f t="shared" si="66"/>
        <v>-4500</v>
      </c>
      <c r="W89" s="191">
        <f t="shared" si="66"/>
        <v>-5243.75</v>
      </c>
      <c r="X89" s="191">
        <f t="shared" si="66"/>
        <v>6856.25</v>
      </c>
      <c r="Y89" s="191">
        <f t="shared" si="66"/>
        <v>6856.25</v>
      </c>
      <c r="Z89" s="191">
        <f t="shared" si="66"/>
        <v>489994.06239953474</v>
      </c>
      <c r="AA89" s="191">
        <f t="shared" si="66"/>
        <v>-111.72824046503229</v>
      </c>
      <c r="AB89" s="191">
        <f t="shared" si="66"/>
        <v>-111.72824046503229</v>
      </c>
      <c r="AC89" s="191">
        <f t="shared" si="66"/>
        <v>-168.54074046503229</v>
      </c>
      <c r="AD89" s="191">
        <f t="shared" si="66"/>
        <v>-168.54074046503229</v>
      </c>
      <c r="AE89" s="191">
        <f t="shared" si="66"/>
        <v>-168.54074046503229</v>
      </c>
      <c r="AF89" s="191">
        <f t="shared" si="66"/>
        <v>-56.040740465032286</v>
      </c>
      <c r="AG89" s="191">
        <f t="shared" si="66"/>
        <v>-56.040740465032286</v>
      </c>
      <c r="AH89" s="191">
        <f t="shared" si="66"/>
        <v>-56.040740465032286</v>
      </c>
      <c r="AI89" s="191">
        <f t="shared" si="66"/>
        <v>48.959259534967714</v>
      </c>
      <c r="AJ89" s="191">
        <f t="shared" si="66"/>
        <v>48.959259534967714</v>
      </c>
      <c r="AK89" s="191">
        <f t="shared" si="66"/>
        <v>48.959259534967714</v>
      </c>
      <c r="AL89" s="191">
        <f t="shared" si="66"/>
        <v>123.95925953496771</v>
      </c>
      <c r="AM89" s="191">
        <f t="shared" si="66"/>
        <v>348.95925953496771</v>
      </c>
      <c r="AN89" s="191">
        <f t="shared" si="66"/>
        <v>348.95925953496771</v>
      </c>
      <c r="AO89" s="191">
        <f t="shared" si="66"/>
        <v>290.44238453496837</v>
      </c>
      <c r="AP89" s="191">
        <f t="shared" si="66"/>
        <v>290.44238453496837</v>
      </c>
      <c r="AQ89" s="191">
        <f t="shared" si="66"/>
        <v>290.44238453496837</v>
      </c>
      <c r="AR89" s="191">
        <f t="shared" si="66"/>
        <v>408.56738453496837</v>
      </c>
      <c r="AS89" s="191">
        <f t="shared" si="66"/>
        <v>408.56738453496837</v>
      </c>
      <c r="AT89" s="191">
        <f t="shared" si="66"/>
        <v>408.56738453496837</v>
      </c>
      <c r="AU89" s="191">
        <f t="shared" si="66"/>
        <v>518.96738453496801</v>
      </c>
      <c r="AV89" s="191">
        <f t="shared" si="66"/>
        <v>518.96738453496801</v>
      </c>
      <c r="AW89" s="191">
        <f t="shared" si="66"/>
        <v>518.96738453496801</v>
      </c>
      <c r="AX89" s="191">
        <f t="shared" si="66"/>
        <v>597.71738453496801</v>
      </c>
      <c r="AY89" s="191">
        <f t="shared" si="66"/>
        <v>833.96738453496801</v>
      </c>
      <c r="AZ89" s="191">
        <f t="shared" si="66"/>
        <v>833.96738453496801</v>
      </c>
      <c r="BA89" s="191">
        <f t="shared" si="66"/>
        <v>773.69500328496724</v>
      </c>
      <c r="BB89" s="191">
        <f t="shared" si="66"/>
        <v>773.69500328496724</v>
      </c>
      <c r="BC89" s="191">
        <f t="shared" si="66"/>
        <v>773.69500328496724</v>
      </c>
      <c r="BD89" s="191">
        <f t="shared" si="66"/>
        <v>897.72625328496724</v>
      </c>
      <c r="BE89" s="191">
        <f t="shared" si="66"/>
        <v>897.72625328496724</v>
      </c>
      <c r="BF89" s="191">
        <f t="shared" si="66"/>
        <v>897.72625328496724</v>
      </c>
      <c r="BG89" s="191">
        <f t="shared" si="66"/>
        <v>1013.8007532849679</v>
      </c>
      <c r="BH89" s="191">
        <f t="shared" si="66"/>
        <v>1013.8007532849679</v>
      </c>
      <c r="BI89" s="191">
        <f t="shared" si="66"/>
        <v>1013.8007532849679</v>
      </c>
      <c r="BJ89" s="191">
        <f t="shared" si="66"/>
        <v>1096.4882532849679</v>
      </c>
      <c r="BK89" s="191">
        <f t="shared" si="66"/>
        <v>1344.5507532849697</v>
      </c>
      <c r="BL89" s="191">
        <f t="shared" si="66"/>
        <v>1344.5507532849697</v>
      </c>
      <c r="BM89" s="191">
        <f t="shared" si="66"/>
        <v>1282.4702005974686</v>
      </c>
      <c r="BN89" s="191">
        <f t="shared" si="66"/>
        <v>1282.4702005974686</v>
      </c>
      <c r="BO89" s="191">
        <f t="shared" si="66"/>
        <v>1282.4702005974686</v>
      </c>
      <c r="BP89" s="191">
        <f t="shared" si="66"/>
        <v>1412.7030130974672</v>
      </c>
      <c r="BQ89" s="191">
        <f t="shared" ref="BQ89:DV89" si="67">BQ80</f>
        <v>1412.7030130974672</v>
      </c>
      <c r="BR89" s="191">
        <f t="shared" si="67"/>
        <v>1412.7030130974672</v>
      </c>
      <c r="BS89" s="191">
        <f t="shared" si="67"/>
        <v>1534.7403730974693</v>
      </c>
      <c r="BT89" s="191">
        <f t="shared" si="67"/>
        <v>1534.7403730974693</v>
      </c>
      <c r="BU89" s="191">
        <f t="shared" si="67"/>
        <v>1534.7403730974693</v>
      </c>
      <c r="BV89" s="191">
        <f t="shared" si="67"/>
        <v>1621.5622480974707</v>
      </c>
      <c r="BW89" s="191">
        <f t="shared" si="67"/>
        <v>1882.0278730974696</v>
      </c>
      <c r="BX89" s="191">
        <f t="shared" si="67"/>
        <v>1882.0278730974696</v>
      </c>
      <c r="BY89" s="191">
        <f t="shared" si="67"/>
        <v>1818.0849038293436</v>
      </c>
      <c r="BZ89" s="191">
        <f t="shared" si="67"/>
        <v>1818.0849038293436</v>
      </c>
      <c r="CA89" s="191">
        <f t="shared" si="67"/>
        <v>1818.0849038293436</v>
      </c>
      <c r="CB89" s="191">
        <f t="shared" si="67"/>
        <v>1954.8293569543439</v>
      </c>
      <c r="CC89" s="191">
        <f t="shared" si="67"/>
        <v>1954.8293569543439</v>
      </c>
      <c r="CD89" s="191">
        <f t="shared" si="67"/>
        <v>1954.8293569543439</v>
      </c>
      <c r="CE89" s="191">
        <f t="shared" si="67"/>
        <v>2083.1324940043451</v>
      </c>
      <c r="CF89" s="191">
        <f t="shared" si="67"/>
        <v>2083.1324940043451</v>
      </c>
      <c r="CG89" s="191">
        <f t="shared" si="67"/>
        <v>2083.1324940043451</v>
      </c>
      <c r="CH89" s="191">
        <f t="shared" si="67"/>
        <v>2174.295462754344</v>
      </c>
      <c r="CI89" s="191">
        <f t="shared" si="67"/>
        <v>2447.7843690043446</v>
      </c>
      <c r="CJ89" s="191">
        <f t="shared" si="67"/>
        <v>2447.7843690043446</v>
      </c>
      <c r="CK89" s="191">
        <f t="shared" si="67"/>
        <v>2381.9231106581756</v>
      </c>
      <c r="CL89" s="191">
        <f t="shared" si="67"/>
        <v>2381.9231106581756</v>
      </c>
      <c r="CM89" s="191">
        <f t="shared" si="67"/>
        <v>2381.9231106581756</v>
      </c>
      <c r="CN89" s="191">
        <f t="shared" si="67"/>
        <v>2525.5047864394255</v>
      </c>
      <c r="CO89" s="191">
        <f t="shared" si="67"/>
        <v>2525.5047864394255</v>
      </c>
      <c r="CP89" s="191">
        <f t="shared" si="67"/>
        <v>2525.5047864394255</v>
      </c>
      <c r="CQ89" s="191">
        <f t="shared" si="67"/>
        <v>2660.3919066634262</v>
      </c>
      <c r="CR89" s="191">
        <f t="shared" si="67"/>
        <v>2660.3919066634262</v>
      </c>
      <c r="CS89" s="191">
        <f t="shared" si="67"/>
        <v>2660.3919066634262</v>
      </c>
      <c r="CT89" s="191">
        <f t="shared" si="67"/>
        <v>2756.1130238509249</v>
      </c>
      <c r="CU89" s="191">
        <f t="shared" si="67"/>
        <v>3043.2763754134248</v>
      </c>
      <c r="CV89" s="191">
        <f t="shared" si="67"/>
        <v>3043.2763754134248</v>
      </c>
      <c r="CW89" s="191">
        <f t="shared" si="67"/>
        <v>2975.4392793168718</v>
      </c>
      <c r="CX89" s="191">
        <f t="shared" si="67"/>
        <v>2975.4392793168718</v>
      </c>
      <c r="CY89" s="191">
        <f t="shared" si="67"/>
        <v>2975.4392793168718</v>
      </c>
      <c r="CZ89" s="191">
        <f t="shared" si="67"/>
        <v>3126.2000388871838</v>
      </c>
      <c r="DA89" s="191">
        <f t="shared" si="67"/>
        <v>3126.2000388871838</v>
      </c>
      <c r="DB89" s="191">
        <f t="shared" si="67"/>
        <v>3126.2000388871838</v>
      </c>
      <c r="DC89" s="191">
        <f t="shared" si="67"/>
        <v>3268.0054062335294</v>
      </c>
      <c r="DD89" s="191">
        <f t="shared" si="67"/>
        <v>3268.0054062335294</v>
      </c>
      <c r="DE89" s="191">
        <f t="shared" si="67"/>
        <v>3268.0054062335294</v>
      </c>
      <c r="DF89" s="191">
        <f t="shared" si="67"/>
        <v>3368.5125792804029</v>
      </c>
      <c r="DG89" s="191">
        <f t="shared" si="67"/>
        <v>3670.0340984210306</v>
      </c>
      <c r="DH89" s="191">
        <f t="shared" si="67"/>
        <v>3670.0340984210306</v>
      </c>
      <c r="DI89" s="191">
        <f t="shared" si="67"/>
        <v>3600.1618894415806</v>
      </c>
      <c r="DJ89" s="191">
        <f t="shared" si="67"/>
        <v>3600.1618894415806</v>
      </c>
      <c r="DK89" s="191">
        <f t="shared" si="67"/>
        <v>3600.1618894415806</v>
      </c>
      <c r="DL89" s="191">
        <f t="shared" si="67"/>
        <v>3758.4606869904092</v>
      </c>
      <c r="DM89" s="191">
        <f t="shared" si="67"/>
        <v>3758.4606869904092</v>
      </c>
      <c r="DN89" s="191">
        <f t="shared" si="67"/>
        <v>3758.4606869904092</v>
      </c>
      <c r="DO89" s="191">
        <f t="shared" si="67"/>
        <v>3907.5354305485507</v>
      </c>
      <c r="DP89" s="191">
        <f t="shared" si="67"/>
        <v>3907.5354305485507</v>
      </c>
      <c r="DQ89" s="191">
        <f t="shared" si="67"/>
        <v>3907.5354305485507</v>
      </c>
      <c r="DR89" s="191">
        <f t="shared" si="67"/>
        <v>4013.0679622477692</v>
      </c>
      <c r="DS89" s="191">
        <f t="shared" si="67"/>
        <v>4329.6655573454245</v>
      </c>
      <c r="DT89" s="191">
        <f t="shared" si="67"/>
        <v>4329.6655573454245</v>
      </c>
      <c r="DU89" s="191">
        <f t="shared" si="67"/>
        <v>1711813.2539847861</v>
      </c>
      <c r="DV89" s="192">
        <f t="shared" si="67"/>
        <v>0</v>
      </c>
    </row>
    <row r="90" spans="1:126" s="36" customFormat="1" x14ac:dyDescent="0.2">
      <c r="A90" s="160"/>
      <c r="B90" s="190" t="s">
        <v>28</v>
      </c>
      <c r="C90" s="187"/>
      <c r="D90" s="197">
        <f>D53</f>
        <v>1015507.0572299999</v>
      </c>
      <c r="E90" s="193">
        <f t="shared" ref="E90:AI90" si="68">E53</f>
        <v>1015507.0572299999</v>
      </c>
      <c r="F90" s="193">
        <f>F53</f>
        <v>0</v>
      </c>
      <c r="G90" s="193">
        <f>G53</f>
        <v>0</v>
      </c>
      <c r="H90" s="193">
        <f t="shared" si="68"/>
        <v>0</v>
      </c>
      <c r="I90" s="193">
        <f t="shared" si="68"/>
        <v>0</v>
      </c>
      <c r="J90" s="193">
        <f t="shared" si="68"/>
        <v>0</v>
      </c>
      <c r="K90" s="193">
        <f t="shared" si="68"/>
        <v>0</v>
      </c>
      <c r="L90" s="193">
        <f t="shared" si="68"/>
        <v>0</v>
      </c>
      <c r="M90" s="193">
        <f t="shared" si="68"/>
        <v>0</v>
      </c>
      <c r="N90" s="193">
        <f t="shared" si="68"/>
        <v>0</v>
      </c>
      <c r="O90" s="193">
        <f t="shared" si="68"/>
        <v>0</v>
      </c>
      <c r="P90" s="193">
        <f t="shared" si="68"/>
        <v>0</v>
      </c>
      <c r="Q90" s="193">
        <f t="shared" si="68"/>
        <v>0</v>
      </c>
      <c r="R90" s="193">
        <f t="shared" si="68"/>
        <v>0</v>
      </c>
      <c r="S90" s="193">
        <f t="shared" si="68"/>
        <v>0</v>
      </c>
      <c r="T90" s="193">
        <f t="shared" si="68"/>
        <v>0</v>
      </c>
      <c r="U90" s="193">
        <f t="shared" si="68"/>
        <v>0</v>
      </c>
      <c r="V90" s="193">
        <f t="shared" si="68"/>
        <v>0</v>
      </c>
      <c r="W90" s="193">
        <f t="shared" si="68"/>
        <v>0</v>
      </c>
      <c r="X90" s="193">
        <f t="shared" si="68"/>
        <v>0</v>
      </c>
      <c r="Y90" s="193">
        <f t="shared" si="68"/>
        <v>0</v>
      </c>
      <c r="Z90" s="193">
        <f t="shared" si="68"/>
        <v>0</v>
      </c>
      <c r="AA90" s="193">
        <f t="shared" si="68"/>
        <v>0</v>
      </c>
      <c r="AB90" s="193">
        <f t="shared" si="68"/>
        <v>0</v>
      </c>
      <c r="AC90" s="193">
        <f t="shared" si="68"/>
        <v>0</v>
      </c>
      <c r="AD90" s="193">
        <f t="shared" si="68"/>
        <v>0</v>
      </c>
      <c r="AE90" s="193">
        <f t="shared" si="68"/>
        <v>0</v>
      </c>
      <c r="AF90" s="193">
        <f t="shared" si="68"/>
        <v>0</v>
      </c>
      <c r="AG90" s="193">
        <f t="shared" si="68"/>
        <v>0</v>
      </c>
      <c r="AH90" s="193">
        <f t="shared" si="68"/>
        <v>0</v>
      </c>
      <c r="AI90" s="193">
        <f t="shared" si="68"/>
        <v>0</v>
      </c>
      <c r="AJ90" s="193">
        <f t="shared" ref="AJ90:BO90" si="69">AJ53</f>
        <v>0</v>
      </c>
      <c r="AK90" s="193">
        <f t="shared" si="69"/>
        <v>0</v>
      </c>
      <c r="AL90" s="193">
        <f t="shared" si="69"/>
        <v>0</v>
      </c>
      <c r="AM90" s="193">
        <f t="shared" si="69"/>
        <v>0</v>
      </c>
      <c r="AN90" s="193">
        <f t="shared" si="69"/>
        <v>0</v>
      </c>
      <c r="AO90" s="193">
        <f t="shared" si="69"/>
        <v>0</v>
      </c>
      <c r="AP90" s="193">
        <f t="shared" si="69"/>
        <v>0</v>
      </c>
      <c r="AQ90" s="193">
        <f t="shared" si="69"/>
        <v>0</v>
      </c>
      <c r="AR90" s="193">
        <f t="shared" si="69"/>
        <v>0</v>
      </c>
      <c r="AS90" s="193">
        <f t="shared" si="69"/>
        <v>0</v>
      </c>
      <c r="AT90" s="193">
        <f t="shared" si="69"/>
        <v>0</v>
      </c>
      <c r="AU90" s="193">
        <f t="shared" si="69"/>
        <v>0</v>
      </c>
      <c r="AV90" s="193">
        <f t="shared" si="69"/>
        <v>0</v>
      </c>
      <c r="AW90" s="193">
        <f t="shared" si="69"/>
        <v>0</v>
      </c>
      <c r="AX90" s="193">
        <f t="shared" si="69"/>
        <v>0</v>
      </c>
      <c r="AY90" s="193">
        <f t="shared" si="69"/>
        <v>0</v>
      </c>
      <c r="AZ90" s="193">
        <f t="shared" si="69"/>
        <v>0</v>
      </c>
      <c r="BA90" s="193">
        <f t="shared" si="69"/>
        <v>0</v>
      </c>
      <c r="BB90" s="193">
        <f t="shared" si="69"/>
        <v>0</v>
      </c>
      <c r="BC90" s="193">
        <f t="shared" si="69"/>
        <v>0</v>
      </c>
      <c r="BD90" s="193">
        <f t="shared" si="69"/>
        <v>0</v>
      </c>
      <c r="BE90" s="193">
        <f t="shared" si="69"/>
        <v>0</v>
      </c>
      <c r="BF90" s="193">
        <f t="shared" si="69"/>
        <v>0</v>
      </c>
      <c r="BG90" s="193">
        <f t="shared" si="69"/>
        <v>0</v>
      </c>
      <c r="BH90" s="193">
        <f t="shared" si="69"/>
        <v>0</v>
      </c>
      <c r="BI90" s="193">
        <f t="shared" si="69"/>
        <v>0</v>
      </c>
      <c r="BJ90" s="193">
        <f t="shared" si="69"/>
        <v>0</v>
      </c>
      <c r="BK90" s="193">
        <f t="shared" si="69"/>
        <v>0</v>
      </c>
      <c r="BL90" s="193">
        <f t="shared" si="69"/>
        <v>0</v>
      </c>
      <c r="BM90" s="193">
        <f t="shared" si="69"/>
        <v>0</v>
      </c>
      <c r="BN90" s="193">
        <f t="shared" si="69"/>
        <v>0</v>
      </c>
      <c r="BO90" s="193">
        <f t="shared" si="69"/>
        <v>0</v>
      </c>
      <c r="BP90" s="193">
        <f t="shared" ref="BP90:CU90" si="70">BP53</f>
        <v>0</v>
      </c>
      <c r="BQ90" s="193">
        <f t="shared" si="70"/>
        <v>0</v>
      </c>
      <c r="BR90" s="193">
        <f t="shared" si="70"/>
        <v>0</v>
      </c>
      <c r="BS90" s="193">
        <f t="shared" si="70"/>
        <v>0</v>
      </c>
      <c r="BT90" s="193">
        <f t="shared" si="70"/>
        <v>0</v>
      </c>
      <c r="BU90" s="193">
        <f t="shared" si="70"/>
        <v>0</v>
      </c>
      <c r="BV90" s="193">
        <f t="shared" si="70"/>
        <v>0</v>
      </c>
      <c r="BW90" s="193">
        <f t="shared" si="70"/>
        <v>0</v>
      </c>
      <c r="BX90" s="193">
        <f t="shared" si="70"/>
        <v>0</v>
      </c>
      <c r="BY90" s="193">
        <f t="shared" si="70"/>
        <v>0</v>
      </c>
      <c r="BZ90" s="193">
        <f t="shared" si="70"/>
        <v>0</v>
      </c>
      <c r="CA90" s="193">
        <f t="shared" si="70"/>
        <v>0</v>
      </c>
      <c r="CB90" s="193">
        <f t="shared" si="70"/>
        <v>0</v>
      </c>
      <c r="CC90" s="193">
        <f t="shared" si="70"/>
        <v>0</v>
      </c>
      <c r="CD90" s="193">
        <f t="shared" si="70"/>
        <v>0</v>
      </c>
      <c r="CE90" s="193">
        <f t="shared" si="70"/>
        <v>0</v>
      </c>
      <c r="CF90" s="193">
        <f t="shared" si="70"/>
        <v>0</v>
      </c>
      <c r="CG90" s="193">
        <f t="shared" si="70"/>
        <v>0</v>
      </c>
      <c r="CH90" s="193">
        <f t="shared" si="70"/>
        <v>0</v>
      </c>
      <c r="CI90" s="193">
        <f t="shared" si="70"/>
        <v>0</v>
      </c>
      <c r="CJ90" s="193">
        <f t="shared" si="70"/>
        <v>0</v>
      </c>
      <c r="CK90" s="193">
        <f t="shared" si="70"/>
        <v>0</v>
      </c>
      <c r="CL90" s="193">
        <f t="shared" si="70"/>
        <v>0</v>
      </c>
      <c r="CM90" s="193">
        <f t="shared" si="70"/>
        <v>0</v>
      </c>
      <c r="CN90" s="193">
        <f t="shared" si="70"/>
        <v>0</v>
      </c>
      <c r="CO90" s="193">
        <f t="shared" si="70"/>
        <v>0</v>
      </c>
      <c r="CP90" s="193">
        <f t="shared" si="70"/>
        <v>0</v>
      </c>
      <c r="CQ90" s="193">
        <f t="shared" si="70"/>
        <v>0</v>
      </c>
      <c r="CR90" s="193">
        <f t="shared" si="70"/>
        <v>0</v>
      </c>
      <c r="CS90" s="193">
        <f t="shared" si="70"/>
        <v>0</v>
      </c>
      <c r="CT90" s="193">
        <f t="shared" si="70"/>
        <v>0</v>
      </c>
      <c r="CU90" s="193">
        <f t="shared" si="70"/>
        <v>0</v>
      </c>
      <c r="CV90" s="193">
        <f t="shared" ref="CV90:DV90" si="71">CV53</f>
        <v>0</v>
      </c>
      <c r="CW90" s="193">
        <f t="shared" si="71"/>
        <v>0</v>
      </c>
      <c r="CX90" s="193">
        <f t="shared" si="71"/>
        <v>0</v>
      </c>
      <c r="CY90" s="193">
        <f t="shared" si="71"/>
        <v>0</v>
      </c>
      <c r="CZ90" s="193">
        <f t="shared" si="71"/>
        <v>0</v>
      </c>
      <c r="DA90" s="193">
        <f t="shared" si="71"/>
        <v>0</v>
      </c>
      <c r="DB90" s="193">
        <f t="shared" si="71"/>
        <v>0</v>
      </c>
      <c r="DC90" s="193">
        <f t="shared" si="71"/>
        <v>0</v>
      </c>
      <c r="DD90" s="193">
        <f t="shared" si="71"/>
        <v>0</v>
      </c>
      <c r="DE90" s="193">
        <f t="shared" si="71"/>
        <v>0</v>
      </c>
      <c r="DF90" s="193">
        <f t="shared" si="71"/>
        <v>0</v>
      </c>
      <c r="DG90" s="193">
        <f t="shared" si="71"/>
        <v>0</v>
      </c>
      <c r="DH90" s="193">
        <f t="shared" si="71"/>
        <v>0</v>
      </c>
      <c r="DI90" s="193">
        <f t="shared" si="71"/>
        <v>0</v>
      </c>
      <c r="DJ90" s="193">
        <f t="shared" si="71"/>
        <v>0</v>
      </c>
      <c r="DK90" s="193">
        <f t="shared" si="71"/>
        <v>0</v>
      </c>
      <c r="DL90" s="193">
        <f t="shared" si="71"/>
        <v>0</v>
      </c>
      <c r="DM90" s="193">
        <f t="shared" si="71"/>
        <v>0</v>
      </c>
      <c r="DN90" s="193">
        <f t="shared" si="71"/>
        <v>0</v>
      </c>
      <c r="DO90" s="193">
        <f t="shared" si="71"/>
        <v>0</v>
      </c>
      <c r="DP90" s="193">
        <f t="shared" si="71"/>
        <v>0</v>
      </c>
      <c r="DQ90" s="193">
        <f t="shared" si="71"/>
        <v>0</v>
      </c>
      <c r="DR90" s="193">
        <f t="shared" si="71"/>
        <v>0</v>
      </c>
      <c r="DS90" s="193">
        <f t="shared" si="71"/>
        <v>0</v>
      </c>
      <c r="DT90" s="193">
        <f t="shared" si="71"/>
        <v>0</v>
      </c>
      <c r="DU90" s="193">
        <f t="shared" si="71"/>
        <v>0</v>
      </c>
      <c r="DV90" s="197">
        <f t="shared" si="71"/>
        <v>0</v>
      </c>
    </row>
    <row r="91" spans="1:126" s="36" customFormat="1" x14ac:dyDescent="0.2">
      <c r="A91" s="160"/>
      <c r="B91" s="190"/>
      <c r="C91" s="187"/>
      <c r="D91" s="197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  <c r="AV91" s="193"/>
      <c r="AW91" s="193"/>
      <c r="AX91" s="193"/>
      <c r="AY91" s="193"/>
      <c r="AZ91" s="193"/>
      <c r="BA91" s="193"/>
      <c r="BB91" s="193"/>
      <c r="BC91" s="193"/>
      <c r="BD91" s="193"/>
      <c r="BE91" s="193"/>
      <c r="BF91" s="193"/>
      <c r="BG91" s="193"/>
      <c r="BH91" s="193"/>
      <c r="BI91" s="193"/>
      <c r="BJ91" s="193"/>
      <c r="BK91" s="193"/>
      <c r="BL91" s="193"/>
      <c r="BM91" s="193"/>
      <c r="BN91" s="193"/>
      <c r="BO91" s="193"/>
      <c r="BP91" s="193"/>
      <c r="BQ91" s="193"/>
      <c r="BR91" s="193"/>
      <c r="BS91" s="193"/>
      <c r="BT91" s="193"/>
      <c r="BU91" s="193"/>
      <c r="BV91" s="193"/>
      <c r="BW91" s="193"/>
      <c r="BX91" s="193"/>
      <c r="BY91" s="193"/>
      <c r="BZ91" s="193"/>
      <c r="CA91" s="193"/>
      <c r="CB91" s="193"/>
      <c r="CC91" s="193"/>
      <c r="CD91" s="193"/>
      <c r="CE91" s="193"/>
      <c r="CF91" s="193"/>
      <c r="CG91" s="193"/>
      <c r="CH91" s="193"/>
      <c r="CI91" s="193"/>
      <c r="CJ91" s="193"/>
      <c r="CK91" s="193"/>
      <c r="CL91" s="193"/>
      <c r="CM91" s="193"/>
      <c r="CN91" s="193"/>
      <c r="CO91" s="193"/>
      <c r="CP91" s="193"/>
      <c r="CQ91" s="193"/>
      <c r="CR91" s="193"/>
      <c r="CS91" s="193"/>
      <c r="CT91" s="193"/>
      <c r="CU91" s="193"/>
      <c r="CV91" s="193"/>
      <c r="CW91" s="193"/>
      <c r="CX91" s="193"/>
      <c r="CY91" s="193"/>
      <c r="CZ91" s="193"/>
      <c r="DA91" s="193"/>
      <c r="DB91" s="193"/>
      <c r="DC91" s="193"/>
      <c r="DD91" s="193"/>
      <c r="DE91" s="193"/>
      <c r="DF91" s="193"/>
      <c r="DG91" s="193"/>
      <c r="DH91" s="193"/>
      <c r="DI91" s="193"/>
      <c r="DJ91" s="193"/>
      <c r="DK91" s="193"/>
      <c r="DL91" s="193"/>
      <c r="DM91" s="193"/>
      <c r="DN91" s="193"/>
      <c r="DO91" s="193"/>
      <c r="DP91" s="193"/>
      <c r="DQ91" s="193"/>
      <c r="DR91" s="193"/>
      <c r="DS91" s="193"/>
      <c r="DT91" s="193"/>
      <c r="DU91" s="193"/>
      <c r="DV91" s="197"/>
    </row>
    <row r="92" spans="1:126" s="36" customFormat="1" x14ac:dyDescent="0.2">
      <c r="A92" s="160"/>
      <c r="B92" s="194" t="s">
        <v>146</v>
      </c>
      <c r="C92" s="195"/>
      <c r="D92" s="198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  <c r="AA92" s="196"/>
      <c r="AB92" s="196"/>
      <c r="AC92" s="196"/>
      <c r="AD92" s="196"/>
      <c r="AE92" s="196"/>
      <c r="AF92" s="196"/>
      <c r="AG92" s="196"/>
      <c r="AH92" s="196"/>
      <c r="AI92" s="196"/>
      <c r="AJ92" s="196"/>
      <c r="AK92" s="196"/>
      <c r="AL92" s="196"/>
      <c r="AM92" s="196"/>
      <c r="AN92" s="196"/>
      <c r="AO92" s="196"/>
      <c r="AP92" s="196"/>
      <c r="AQ92" s="196"/>
      <c r="AR92" s="196"/>
      <c r="AS92" s="196"/>
      <c r="AT92" s="196"/>
      <c r="AU92" s="196"/>
      <c r="AV92" s="196"/>
      <c r="AW92" s="196"/>
      <c r="AX92" s="196"/>
      <c r="AY92" s="196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8"/>
    </row>
    <row r="93" spans="1:126" s="36" customFormat="1" x14ac:dyDescent="0.2">
      <c r="A93" s="160"/>
      <c r="B93" s="211" t="s">
        <v>147</v>
      </c>
      <c r="C93" s="212" t="s">
        <v>148</v>
      </c>
      <c r="D93" s="197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  <c r="AX93" s="193"/>
      <c r="AY93" s="193"/>
      <c r="AZ93" s="193"/>
      <c r="BA93" s="193"/>
      <c r="BB93" s="193"/>
      <c r="BC93" s="193"/>
      <c r="BD93" s="193"/>
      <c r="BE93" s="193"/>
      <c r="BF93" s="193"/>
      <c r="BG93" s="193"/>
      <c r="BH93" s="193"/>
      <c r="BI93" s="193"/>
      <c r="BJ93" s="193"/>
      <c r="BK93" s="193"/>
      <c r="BL93" s="193"/>
      <c r="BM93" s="193"/>
      <c r="BN93" s="193"/>
      <c r="BO93" s="193"/>
      <c r="BP93" s="193"/>
      <c r="BQ93" s="193"/>
      <c r="BR93" s="193"/>
      <c r="BS93" s="193"/>
      <c r="BT93" s="193"/>
      <c r="BU93" s="193"/>
      <c r="BV93" s="193"/>
      <c r="BW93" s="193"/>
      <c r="BX93" s="193"/>
      <c r="BY93" s="193"/>
      <c r="BZ93" s="193"/>
      <c r="CA93" s="193"/>
      <c r="CB93" s="193"/>
      <c r="CC93" s="193"/>
      <c r="CD93" s="193"/>
      <c r="CE93" s="193"/>
      <c r="CF93" s="193"/>
      <c r="CG93" s="193"/>
      <c r="CH93" s="193"/>
      <c r="CI93" s="193"/>
      <c r="CJ93" s="193"/>
      <c r="CK93" s="193"/>
      <c r="CL93" s="193"/>
      <c r="CM93" s="193"/>
      <c r="CN93" s="193"/>
      <c r="CO93" s="193"/>
      <c r="CP93" s="193"/>
      <c r="CQ93" s="193"/>
      <c r="CR93" s="193"/>
      <c r="CS93" s="193"/>
      <c r="CT93" s="193"/>
      <c r="CU93" s="193"/>
      <c r="CV93" s="193"/>
      <c r="CW93" s="193"/>
      <c r="CX93" s="193"/>
      <c r="CY93" s="193"/>
      <c r="CZ93" s="193"/>
      <c r="DA93" s="193"/>
      <c r="DB93" s="193"/>
      <c r="DC93" s="193"/>
      <c r="DD93" s="193"/>
      <c r="DE93" s="193"/>
      <c r="DF93" s="193"/>
      <c r="DG93" s="193"/>
      <c r="DH93" s="193"/>
      <c r="DI93" s="193"/>
      <c r="DJ93" s="193"/>
      <c r="DK93" s="193"/>
      <c r="DL93" s="193"/>
      <c r="DM93" s="193"/>
      <c r="DN93" s="193"/>
      <c r="DO93" s="193"/>
      <c r="DP93" s="193"/>
      <c r="DQ93" s="193"/>
      <c r="DR93" s="193"/>
      <c r="DS93" s="193"/>
      <c r="DT93" s="193"/>
      <c r="DU93" s="193"/>
      <c r="DV93" s="197"/>
    </row>
    <row r="94" spans="1:126" s="36" customFormat="1" x14ac:dyDescent="0.2">
      <c r="A94" s="160"/>
      <c r="B94" s="211" t="s">
        <v>149</v>
      </c>
      <c r="C94" s="213">
        <f>Summary!F48</f>
        <v>0.1</v>
      </c>
      <c r="D94" s="197">
        <f>C94*D90</f>
        <v>101550.70572299999</v>
      </c>
      <c r="E94" s="193">
        <f>$C$94*E90</f>
        <v>101550.70572299999</v>
      </c>
      <c r="F94" s="193">
        <f t="shared" ref="F94:I94" si="72">$C$94*F90</f>
        <v>0</v>
      </c>
      <c r="G94" s="193">
        <f t="shared" si="72"/>
        <v>0</v>
      </c>
      <c r="H94" s="193">
        <f t="shared" si="72"/>
        <v>0</v>
      </c>
      <c r="I94" s="193">
        <f t="shared" si="72"/>
        <v>0</v>
      </c>
      <c r="J94" s="193">
        <f t="shared" ref="J94:BU94" si="73">$C$94*J90</f>
        <v>0</v>
      </c>
      <c r="K94" s="193">
        <f t="shared" si="73"/>
        <v>0</v>
      </c>
      <c r="L94" s="193">
        <f t="shared" si="73"/>
        <v>0</v>
      </c>
      <c r="M94" s="193">
        <f t="shared" si="73"/>
        <v>0</v>
      </c>
      <c r="N94" s="193">
        <f t="shared" si="73"/>
        <v>0</v>
      </c>
      <c r="O94" s="193">
        <f t="shared" si="73"/>
        <v>0</v>
      </c>
      <c r="P94" s="193">
        <f t="shared" si="73"/>
        <v>0</v>
      </c>
      <c r="Q94" s="193">
        <f t="shared" si="73"/>
        <v>0</v>
      </c>
      <c r="R94" s="193">
        <f t="shared" si="73"/>
        <v>0</v>
      </c>
      <c r="S94" s="193">
        <f t="shared" si="73"/>
        <v>0</v>
      </c>
      <c r="T94" s="193">
        <f t="shared" si="73"/>
        <v>0</v>
      </c>
      <c r="U94" s="193">
        <f t="shared" si="73"/>
        <v>0</v>
      </c>
      <c r="V94" s="193">
        <f t="shared" si="73"/>
        <v>0</v>
      </c>
      <c r="W94" s="193">
        <f t="shared" si="73"/>
        <v>0</v>
      </c>
      <c r="X94" s="193">
        <f t="shared" si="73"/>
        <v>0</v>
      </c>
      <c r="Y94" s="193">
        <f t="shared" si="73"/>
        <v>0</v>
      </c>
      <c r="Z94" s="193">
        <f t="shared" si="73"/>
        <v>0</v>
      </c>
      <c r="AA94" s="193">
        <f t="shared" si="73"/>
        <v>0</v>
      </c>
      <c r="AB94" s="193">
        <f t="shared" si="73"/>
        <v>0</v>
      </c>
      <c r="AC94" s="193">
        <f t="shared" si="73"/>
        <v>0</v>
      </c>
      <c r="AD94" s="193">
        <f t="shared" si="73"/>
        <v>0</v>
      </c>
      <c r="AE94" s="193">
        <f t="shared" si="73"/>
        <v>0</v>
      </c>
      <c r="AF94" s="193">
        <f t="shared" si="73"/>
        <v>0</v>
      </c>
      <c r="AG94" s="193">
        <f t="shared" si="73"/>
        <v>0</v>
      </c>
      <c r="AH94" s="193">
        <f t="shared" si="73"/>
        <v>0</v>
      </c>
      <c r="AI94" s="193">
        <f t="shared" si="73"/>
        <v>0</v>
      </c>
      <c r="AJ94" s="193">
        <f t="shared" si="73"/>
        <v>0</v>
      </c>
      <c r="AK94" s="193">
        <f t="shared" si="73"/>
        <v>0</v>
      </c>
      <c r="AL94" s="193">
        <f t="shared" si="73"/>
        <v>0</v>
      </c>
      <c r="AM94" s="193">
        <f t="shared" si="73"/>
        <v>0</v>
      </c>
      <c r="AN94" s="193">
        <f t="shared" si="73"/>
        <v>0</v>
      </c>
      <c r="AO94" s="193">
        <f t="shared" si="73"/>
        <v>0</v>
      </c>
      <c r="AP94" s="193">
        <f t="shared" si="73"/>
        <v>0</v>
      </c>
      <c r="AQ94" s="193">
        <f t="shared" si="73"/>
        <v>0</v>
      </c>
      <c r="AR94" s="193">
        <f t="shared" si="73"/>
        <v>0</v>
      </c>
      <c r="AS94" s="193">
        <f t="shared" si="73"/>
        <v>0</v>
      </c>
      <c r="AT94" s="193">
        <f t="shared" si="73"/>
        <v>0</v>
      </c>
      <c r="AU94" s="193">
        <f t="shared" si="73"/>
        <v>0</v>
      </c>
      <c r="AV94" s="193">
        <f t="shared" si="73"/>
        <v>0</v>
      </c>
      <c r="AW94" s="193">
        <f t="shared" si="73"/>
        <v>0</v>
      </c>
      <c r="AX94" s="193">
        <f t="shared" si="73"/>
        <v>0</v>
      </c>
      <c r="AY94" s="193">
        <f t="shared" si="73"/>
        <v>0</v>
      </c>
      <c r="AZ94" s="193">
        <f t="shared" si="73"/>
        <v>0</v>
      </c>
      <c r="BA94" s="193">
        <f t="shared" si="73"/>
        <v>0</v>
      </c>
      <c r="BB94" s="193">
        <f t="shared" si="73"/>
        <v>0</v>
      </c>
      <c r="BC94" s="193">
        <f t="shared" si="73"/>
        <v>0</v>
      </c>
      <c r="BD94" s="193">
        <f t="shared" si="73"/>
        <v>0</v>
      </c>
      <c r="BE94" s="193">
        <f t="shared" si="73"/>
        <v>0</v>
      </c>
      <c r="BF94" s="193">
        <f t="shared" si="73"/>
        <v>0</v>
      </c>
      <c r="BG94" s="193">
        <f t="shared" si="73"/>
        <v>0</v>
      </c>
      <c r="BH94" s="193">
        <f t="shared" si="73"/>
        <v>0</v>
      </c>
      <c r="BI94" s="193">
        <f t="shared" si="73"/>
        <v>0</v>
      </c>
      <c r="BJ94" s="193">
        <f t="shared" si="73"/>
        <v>0</v>
      </c>
      <c r="BK94" s="193">
        <f t="shared" si="73"/>
        <v>0</v>
      </c>
      <c r="BL94" s="193">
        <f t="shared" si="73"/>
        <v>0</v>
      </c>
      <c r="BM94" s="193">
        <f t="shared" si="73"/>
        <v>0</v>
      </c>
      <c r="BN94" s="193">
        <f t="shared" si="73"/>
        <v>0</v>
      </c>
      <c r="BO94" s="193">
        <f t="shared" si="73"/>
        <v>0</v>
      </c>
      <c r="BP94" s="193">
        <f t="shared" si="73"/>
        <v>0</v>
      </c>
      <c r="BQ94" s="193">
        <f t="shared" si="73"/>
        <v>0</v>
      </c>
      <c r="BR94" s="193">
        <f t="shared" si="73"/>
        <v>0</v>
      </c>
      <c r="BS94" s="193">
        <f t="shared" si="73"/>
        <v>0</v>
      </c>
      <c r="BT94" s="193">
        <f t="shared" si="73"/>
        <v>0</v>
      </c>
      <c r="BU94" s="193">
        <f t="shared" si="73"/>
        <v>0</v>
      </c>
      <c r="BV94" s="193">
        <f t="shared" ref="BV94:DV94" si="74">$C$94*BV90</f>
        <v>0</v>
      </c>
      <c r="BW94" s="193">
        <f t="shared" si="74"/>
        <v>0</v>
      </c>
      <c r="BX94" s="193">
        <f t="shared" si="74"/>
        <v>0</v>
      </c>
      <c r="BY94" s="193">
        <f t="shared" si="74"/>
        <v>0</v>
      </c>
      <c r="BZ94" s="193">
        <f t="shared" si="74"/>
        <v>0</v>
      </c>
      <c r="CA94" s="193">
        <f t="shared" si="74"/>
        <v>0</v>
      </c>
      <c r="CB94" s="193">
        <f t="shared" si="74"/>
        <v>0</v>
      </c>
      <c r="CC94" s="193">
        <f t="shared" si="74"/>
        <v>0</v>
      </c>
      <c r="CD94" s="193">
        <f t="shared" si="74"/>
        <v>0</v>
      </c>
      <c r="CE94" s="193">
        <f t="shared" si="74"/>
        <v>0</v>
      </c>
      <c r="CF94" s="193">
        <f t="shared" si="74"/>
        <v>0</v>
      </c>
      <c r="CG94" s="193">
        <f t="shared" si="74"/>
        <v>0</v>
      </c>
      <c r="CH94" s="193">
        <f t="shared" si="74"/>
        <v>0</v>
      </c>
      <c r="CI94" s="193">
        <f t="shared" si="74"/>
        <v>0</v>
      </c>
      <c r="CJ94" s="193">
        <f t="shared" si="74"/>
        <v>0</v>
      </c>
      <c r="CK94" s="193">
        <f t="shared" si="74"/>
        <v>0</v>
      </c>
      <c r="CL94" s="193">
        <f t="shared" si="74"/>
        <v>0</v>
      </c>
      <c r="CM94" s="193">
        <f t="shared" si="74"/>
        <v>0</v>
      </c>
      <c r="CN94" s="193">
        <f t="shared" si="74"/>
        <v>0</v>
      </c>
      <c r="CO94" s="193">
        <f t="shared" si="74"/>
        <v>0</v>
      </c>
      <c r="CP94" s="193">
        <f t="shared" si="74"/>
        <v>0</v>
      </c>
      <c r="CQ94" s="193">
        <f t="shared" si="74"/>
        <v>0</v>
      </c>
      <c r="CR94" s="193">
        <f t="shared" si="74"/>
        <v>0</v>
      </c>
      <c r="CS94" s="193">
        <f t="shared" si="74"/>
        <v>0</v>
      </c>
      <c r="CT94" s="193">
        <f t="shared" si="74"/>
        <v>0</v>
      </c>
      <c r="CU94" s="193">
        <f t="shared" si="74"/>
        <v>0</v>
      </c>
      <c r="CV94" s="193">
        <f t="shared" si="74"/>
        <v>0</v>
      </c>
      <c r="CW94" s="193">
        <f t="shared" si="74"/>
        <v>0</v>
      </c>
      <c r="CX94" s="193">
        <f t="shared" si="74"/>
        <v>0</v>
      </c>
      <c r="CY94" s="193">
        <f t="shared" si="74"/>
        <v>0</v>
      </c>
      <c r="CZ94" s="193">
        <f t="shared" si="74"/>
        <v>0</v>
      </c>
      <c r="DA94" s="193">
        <f t="shared" si="74"/>
        <v>0</v>
      </c>
      <c r="DB94" s="193">
        <f t="shared" si="74"/>
        <v>0</v>
      </c>
      <c r="DC94" s="193">
        <f t="shared" si="74"/>
        <v>0</v>
      </c>
      <c r="DD94" s="193">
        <f t="shared" si="74"/>
        <v>0</v>
      </c>
      <c r="DE94" s="193">
        <f t="shared" si="74"/>
        <v>0</v>
      </c>
      <c r="DF94" s="193">
        <f t="shared" si="74"/>
        <v>0</v>
      </c>
      <c r="DG94" s="193">
        <f t="shared" si="74"/>
        <v>0</v>
      </c>
      <c r="DH94" s="193">
        <f t="shared" si="74"/>
        <v>0</v>
      </c>
      <c r="DI94" s="193">
        <f t="shared" si="74"/>
        <v>0</v>
      </c>
      <c r="DJ94" s="193">
        <f t="shared" si="74"/>
        <v>0</v>
      </c>
      <c r="DK94" s="193">
        <f t="shared" si="74"/>
        <v>0</v>
      </c>
      <c r="DL94" s="193">
        <f t="shared" si="74"/>
        <v>0</v>
      </c>
      <c r="DM94" s="193">
        <f t="shared" si="74"/>
        <v>0</v>
      </c>
      <c r="DN94" s="193">
        <f t="shared" si="74"/>
        <v>0</v>
      </c>
      <c r="DO94" s="193">
        <f t="shared" si="74"/>
        <v>0</v>
      </c>
      <c r="DP94" s="193">
        <f t="shared" si="74"/>
        <v>0</v>
      </c>
      <c r="DQ94" s="193">
        <f t="shared" si="74"/>
        <v>0</v>
      </c>
      <c r="DR94" s="193">
        <f t="shared" si="74"/>
        <v>0</v>
      </c>
      <c r="DS94" s="193">
        <f t="shared" si="74"/>
        <v>0</v>
      </c>
      <c r="DT94" s="193">
        <f t="shared" si="74"/>
        <v>0</v>
      </c>
      <c r="DU94" s="193">
        <f t="shared" si="74"/>
        <v>0</v>
      </c>
      <c r="DV94" s="197">
        <f t="shared" si="74"/>
        <v>0</v>
      </c>
    </row>
    <row r="95" spans="1:126" s="36" customFormat="1" x14ac:dyDescent="0.2">
      <c r="A95" s="160"/>
      <c r="B95" s="211" t="s">
        <v>150</v>
      </c>
      <c r="C95" s="213">
        <f>Summary!F49</f>
        <v>0.9</v>
      </c>
      <c r="D95" s="209">
        <f>C95*D90</f>
        <v>913956.35150699993</v>
      </c>
      <c r="E95" s="196">
        <f>$C$95*E90</f>
        <v>913956.35150699993</v>
      </c>
      <c r="F95" s="196">
        <f t="shared" ref="F95" si="75">$C$95*F90</f>
        <v>0</v>
      </c>
      <c r="G95" s="196">
        <f t="shared" ref="G95:BR95" si="76">$C$95*G90</f>
        <v>0</v>
      </c>
      <c r="H95" s="196">
        <f t="shared" si="76"/>
        <v>0</v>
      </c>
      <c r="I95" s="196">
        <f t="shared" si="76"/>
        <v>0</v>
      </c>
      <c r="J95" s="196">
        <f t="shared" si="76"/>
        <v>0</v>
      </c>
      <c r="K95" s="196">
        <f t="shared" si="76"/>
        <v>0</v>
      </c>
      <c r="L95" s="196">
        <f t="shared" si="76"/>
        <v>0</v>
      </c>
      <c r="M95" s="196">
        <f t="shared" si="76"/>
        <v>0</v>
      </c>
      <c r="N95" s="196">
        <f t="shared" si="76"/>
        <v>0</v>
      </c>
      <c r="O95" s="196">
        <f t="shared" si="76"/>
        <v>0</v>
      </c>
      <c r="P95" s="196">
        <f t="shared" si="76"/>
        <v>0</v>
      </c>
      <c r="Q95" s="196">
        <f t="shared" si="76"/>
        <v>0</v>
      </c>
      <c r="R95" s="196">
        <f t="shared" si="76"/>
        <v>0</v>
      </c>
      <c r="S95" s="196">
        <f t="shared" si="76"/>
        <v>0</v>
      </c>
      <c r="T95" s="196">
        <f t="shared" si="76"/>
        <v>0</v>
      </c>
      <c r="U95" s="196">
        <f t="shared" si="76"/>
        <v>0</v>
      </c>
      <c r="V95" s="196">
        <f t="shared" si="76"/>
        <v>0</v>
      </c>
      <c r="W95" s="196">
        <f t="shared" si="76"/>
        <v>0</v>
      </c>
      <c r="X95" s="196">
        <f t="shared" si="76"/>
        <v>0</v>
      </c>
      <c r="Y95" s="196">
        <f t="shared" si="76"/>
        <v>0</v>
      </c>
      <c r="Z95" s="196">
        <f t="shared" si="76"/>
        <v>0</v>
      </c>
      <c r="AA95" s="196">
        <f t="shared" si="76"/>
        <v>0</v>
      </c>
      <c r="AB95" s="196">
        <f t="shared" si="76"/>
        <v>0</v>
      </c>
      <c r="AC95" s="196">
        <f t="shared" si="76"/>
        <v>0</v>
      </c>
      <c r="AD95" s="196">
        <f t="shared" si="76"/>
        <v>0</v>
      </c>
      <c r="AE95" s="196">
        <f t="shared" si="76"/>
        <v>0</v>
      </c>
      <c r="AF95" s="196">
        <f t="shared" si="76"/>
        <v>0</v>
      </c>
      <c r="AG95" s="196">
        <f t="shared" si="76"/>
        <v>0</v>
      </c>
      <c r="AH95" s="196">
        <f t="shared" si="76"/>
        <v>0</v>
      </c>
      <c r="AI95" s="196">
        <f t="shared" si="76"/>
        <v>0</v>
      </c>
      <c r="AJ95" s="196">
        <f t="shared" si="76"/>
        <v>0</v>
      </c>
      <c r="AK95" s="196">
        <f t="shared" si="76"/>
        <v>0</v>
      </c>
      <c r="AL95" s="196">
        <f t="shared" si="76"/>
        <v>0</v>
      </c>
      <c r="AM95" s="196">
        <f t="shared" si="76"/>
        <v>0</v>
      </c>
      <c r="AN95" s="196">
        <f t="shared" si="76"/>
        <v>0</v>
      </c>
      <c r="AO95" s="196">
        <f t="shared" si="76"/>
        <v>0</v>
      </c>
      <c r="AP95" s="196">
        <f t="shared" si="76"/>
        <v>0</v>
      </c>
      <c r="AQ95" s="196">
        <f t="shared" si="76"/>
        <v>0</v>
      </c>
      <c r="AR95" s="196">
        <f t="shared" si="76"/>
        <v>0</v>
      </c>
      <c r="AS95" s="196">
        <f t="shared" si="76"/>
        <v>0</v>
      </c>
      <c r="AT95" s="196">
        <f t="shared" si="76"/>
        <v>0</v>
      </c>
      <c r="AU95" s="196">
        <f t="shared" si="76"/>
        <v>0</v>
      </c>
      <c r="AV95" s="196">
        <f t="shared" si="76"/>
        <v>0</v>
      </c>
      <c r="AW95" s="196">
        <f t="shared" si="76"/>
        <v>0</v>
      </c>
      <c r="AX95" s="196">
        <f t="shared" si="76"/>
        <v>0</v>
      </c>
      <c r="AY95" s="196">
        <f t="shared" si="76"/>
        <v>0</v>
      </c>
      <c r="AZ95" s="196">
        <f t="shared" si="76"/>
        <v>0</v>
      </c>
      <c r="BA95" s="196">
        <f t="shared" si="76"/>
        <v>0</v>
      </c>
      <c r="BB95" s="196">
        <f t="shared" si="76"/>
        <v>0</v>
      </c>
      <c r="BC95" s="196">
        <f t="shared" si="76"/>
        <v>0</v>
      </c>
      <c r="BD95" s="196">
        <f t="shared" si="76"/>
        <v>0</v>
      </c>
      <c r="BE95" s="196">
        <f t="shared" si="76"/>
        <v>0</v>
      </c>
      <c r="BF95" s="196">
        <f t="shared" si="76"/>
        <v>0</v>
      </c>
      <c r="BG95" s="196">
        <f t="shared" si="76"/>
        <v>0</v>
      </c>
      <c r="BH95" s="196">
        <f t="shared" si="76"/>
        <v>0</v>
      </c>
      <c r="BI95" s="196">
        <f t="shared" si="76"/>
        <v>0</v>
      </c>
      <c r="BJ95" s="196">
        <f t="shared" si="76"/>
        <v>0</v>
      </c>
      <c r="BK95" s="196">
        <f t="shared" si="76"/>
        <v>0</v>
      </c>
      <c r="BL95" s="196">
        <f t="shared" si="76"/>
        <v>0</v>
      </c>
      <c r="BM95" s="196">
        <f t="shared" si="76"/>
        <v>0</v>
      </c>
      <c r="BN95" s="196">
        <f t="shared" si="76"/>
        <v>0</v>
      </c>
      <c r="BO95" s="196">
        <f t="shared" si="76"/>
        <v>0</v>
      </c>
      <c r="BP95" s="196">
        <f t="shared" si="76"/>
        <v>0</v>
      </c>
      <c r="BQ95" s="196">
        <f t="shared" si="76"/>
        <v>0</v>
      </c>
      <c r="BR95" s="196">
        <f t="shared" si="76"/>
        <v>0</v>
      </c>
      <c r="BS95" s="196">
        <f t="shared" ref="BS95:DV95" si="77">$C$95*BS90</f>
        <v>0</v>
      </c>
      <c r="BT95" s="196">
        <f t="shared" si="77"/>
        <v>0</v>
      </c>
      <c r="BU95" s="196">
        <f t="shared" si="77"/>
        <v>0</v>
      </c>
      <c r="BV95" s="196">
        <f t="shared" si="77"/>
        <v>0</v>
      </c>
      <c r="BW95" s="196">
        <f t="shared" si="77"/>
        <v>0</v>
      </c>
      <c r="BX95" s="196">
        <f t="shared" si="77"/>
        <v>0</v>
      </c>
      <c r="BY95" s="196">
        <f t="shared" si="77"/>
        <v>0</v>
      </c>
      <c r="BZ95" s="196">
        <f t="shared" si="77"/>
        <v>0</v>
      </c>
      <c r="CA95" s="196">
        <f t="shared" si="77"/>
        <v>0</v>
      </c>
      <c r="CB95" s="196">
        <f t="shared" si="77"/>
        <v>0</v>
      </c>
      <c r="CC95" s="196">
        <f t="shared" si="77"/>
        <v>0</v>
      </c>
      <c r="CD95" s="196">
        <f t="shared" si="77"/>
        <v>0</v>
      </c>
      <c r="CE95" s="196">
        <f t="shared" si="77"/>
        <v>0</v>
      </c>
      <c r="CF95" s="196">
        <f t="shared" si="77"/>
        <v>0</v>
      </c>
      <c r="CG95" s="196">
        <f t="shared" si="77"/>
        <v>0</v>
      </c>
      <c r="CH95" s="196">
        <f t="shared" si="77"/>
        <v>0</v>
      </c>
      <c r="CI95" s="196">
        <f t="shared" si="77"/>
        <v>0</v>
      </c>
      <c r="CJ95" s="196">
        <f t="shared" si="77"/>
        <v>0</v>
      </c>
      <c r="CK95" s="196">
        <f t="shared" si="77"/>
        <v>0</v>
      </c>
      <c r="CL95" s="196">
        <f t="shared" si="77"/>
        <v>0</v>
      </c>
      <c r="CM95" s="196">
        <f t="shared" si="77"/>
        <v>0</v>
      </c>
      <c r="CN95" s="196">
        <f t="shared" si="77"/>
        <v>0</v>
      </c>
      <c r="CO95" s="196">
        <f t="shared" si="77"/>
        <v>0</v>
      </c>
      <c r="CP95" s="196">
        <f t="shared" si="77"/>
        <v>0</v>
      </c>
      <c r="CQ95" s="196">
        <f t="shared" si="77"/>
        <v>0</v>
      </c>
      <c r="CR95" s="196">
        <f t="shared" si="77"/>
        <v>0</v>
      </c>
      <c r="CS95" s="196">
        <f t="shared" si="77"/>
        <v>0</v>
      </c>
      <c r="CT95" s="196">
        <f t="shared" si="77"/>
        <v>0</v>
      </c>
      <c r="CU95" s="196">
        <f t="shared" si="77"/>
        <v>0</v>
      </c>
      <c r="CV95" s="196">
        <f t="shared" si="77"/>
        <v>0</v>
      </c>
      <c r="CW95" s="196">
        <f t="shared" si="77"/>
        <v>0</v>
      </c>
      <c r="CX95" s="196">
        <f t="shared" si="77"/>
        <v>0</v>
      </c>
      <c r="CY95" s="196">
        <f t="shared" si="77"/>
        <v>0</v>
      </c>
      <c r="CZ95" s="196">
        <f t="shared" si="77"/>
        <v>0</v>
      </c>
      <c r="DA95" s="196">
        <f t="shared" si="77"/>
        <v>0</v>
      </c>
      <c r="DB95" s="196">
        <f t="shared" si="77"/>
        <v>0</v>
      </c>
      <c r="DC95" s="196">
        <f t="shared" si="77"/>
        <v>0</v>
      </c>
      <c r="DD95" s="196">
        <f t="shared" si="77"/>
        <v>0</v>
      </c>
      <c r="DE95" s="196">
        <f t="shared" si="77"/>
        <v>0</v>
      </c>
      <c r="DF95" s="196">
        <f t="shared" si="77"/>
        <v>0</v>
      </c>
      <c r="DG95" s="196">
        <f t="shared" si="77"/>
        <v>0</v>
      </c>
      <c r="DH95" s="196">
        <f t="shared" si="77"/>
        <v>0</v>
      </c>
      <c r="DI95" s="196">
        <f t="shared" si="77"/>
        <v>0</v>
      </c>
      <c r="DJ95" s="196">
        <f t="shared" si="77"/>
        <v>0</v>
      </c>
      <c r="DK95" s="196">
        <f t="shared" si="77"/>
        <v>0</v>
      </c>
      <c r="DL95" s="196">
        <f t="shared" si="77"/>
        <v>0</v>
      </c>
      <c r="DM95" s="196">
        <f t="shared" si="77"/>
        <v>0</v>
      </c>
      <c r="DN95" s="196">
        <f t="shared" si="77"/>
        <v>0</v>
      </c>
      <c r="DO95" s="196">
        <f t="shared" si="77"/>
        <v>0</v>
      </c>
      <c r="DP95" s="196">
        <f t="shared" si="77"/>
        <v>0</v>
      </c>
      <c r="DQ95" s="196">
        <f t="shared" si="77"/>
        <v>0</v>
      </c>
      <c r="DR95" s="196">
        <f t="shared" si="77"/>
        <v>0</v>
      </c>
      <c r="DS95" s="196">
        <f t="shared" si="77"/>
        <v>0</v>
      </c>
      <c r="DT95" s="196">
        <f t="shared" si="77"/>
        <v>0</v>
      </c>
      <c r="DU95" s="196">
        <f t="shared" si="77"/>
        <v>0</v>
      </c>
      <c r="DV95" s="198">
        <f t="shared" si="77"/>
        <v>0</v>
      </c>
    </row>
    <row r="96" spans="1:126" s="36" customFormat="1" x14ac:dyDescent="0.2">
      <c r="A96" s="160"/>
      <c r="B96" s="214" t="s">
        <v>151</v>
      </c>
      <c r="C96" s="215">
        <f>SUM(C94:C95)</f>
        <v>1</v>
      </c>
      <c r="D96" s="197">
        <f>SUM(D94:D95)</f>
        <v>1015507.0572299999</v>
      </c>
      <c r="E96" s="193">
        <f>SUM(E94:E95)</f>
        <v>1015507.0572299999</v>
      </c>
      <c r="F96" s="193">
        <f>SUM(F94:F95)</f>
        <v>0</v>
      </c>
      <c r="G96" s="193">
        <f t="shared" ref="G96:BR96" si="78">SUM(G94:G95)</f>
        <v>0</v>
      </c>
      <c r="H96" s="193">
        <f t="shared" si="78"/>
        <v>0</v>
      </c>
      <c r="I96" s="193">
        <f t="shared" si="78"/>
        <v>0</v>
      </c>
      <c r="J96" s="193">
        <f t="shared" si="78"/>
        <v>0</v>
      </c>
      <c r="K96" s="193">
        <f t="shared" si="78"/>
        <v>0</v>
      </c>
      <c r="L96" s="193">
        <f t="shared" si="78"/>
        <v>0</v>
      </c>
      <c r="M96" s="193">
        <f t="shared" si="78"/>
        <v>0</v>
      </c>
      <c r="N96" s="193">
        <f t="shared" si="78"/>
        <v>0</v>
      </c>
      <c r="O96" s="193">
        <f t="shared" si="78"/>
        <v>0</v>
      </c>
      <c r="P96" s="193">
        <f t="shared" si="78"/>
        <v>0</v>
      </c>
      <c r="Q96" s="193">
        <f t="shared" si="78"/>
        <v>0</v>
      </c>
      <c r="R96" s="193">
        <f t="shared" si="78"/>
        <v>0</v>
      </c>
      <c r="S96" s="193">
        <f t="shared" si="78"/>
        <v>0</v>
      </c>
      <c r="T96" s="193">
        <f t="shared" si="78"/>
        <v>0</v>
      </c>
      <c r="U96" s="193">
        <f t="shared" si="78"/>
        <v>0</v>
      </c>
      <c r="V96" s="193">
        <f t="shared" si="78"/>
        <v>0</v>
      </c>
      <c r="W96" s="193">
        <f t="shared" si="78"/>
        <v>0</v>
      </c>
      <c r="X96" s="193">
        <f t="shared" si="78"/>
        <v>0</v>
      </c>
      <c r="Y96" s="193">
        <f t="shared" si="78"/>
        <v>0</v>
      </c>
      <c r="Z96" s="193">
        <f t="shared" si="78"/>
        <v>0</v>
      </c>
      <c r="AA96" s="193">
        <f t="shared" si="78"/>
        <v>0</v>
      </c>
      <c r="AB96" s="193">
        <f t="shared" si="78"/>
        <v>0</v>
      </c>
      <c r="AC96" s="193">
        <f t="shared" si="78"/>
        <v>0</v>
      </c>
      <c r="AD96" s="193">
        <f t="shared" si="78"/>
        <v>0</v>
      </c>
      <c r="AE96" s="193">
        <f t="shared" si="78"/>
        <v>0</v>
      </c>
      <c r="AF96" s="193">
        <f t="shared" si="78"/>
        <v>0</v>
      </c>
      <c r="AG96" s="193">
        <f t="shared" si="78"/>
        <v>0</v>
      </c>
      <c r="AH96" s="193">
        <f t="shared" si="78"/>
        <v>0</v>
      </c>
      <c r="AI96" s="193">
        <f t="shared" si="78"/>
        <v>0</v>
      </c>
      <c r="AJ96" s="193">
        <f t="shared" si="78"/>
        <v>0</v>
      </c>
      <c r="AK96" s="193">
        <f t="shared" si="78"/>
        <v>0</v>
      </c>
      <c r="AL96" s="193">
        <f t="shared" si="78"/>
        <v>0</v>
      </c>
      <c r="AM96" s="193">
        <f t="shared" si="78"/>
        <v>0</v>
      </c>
      <c r="AN96" s="193">
        <f t="shared" si="78"/>
        <v>0</v>
      </c>
      <c r="AO96" s="193">
        <f t="shared" si="78"/>
        <v>0</v>
      </c>
      <c r="AP96" s="193">
        <f t="shared" si="78"/>
        <v>0</v>
      </c>
      <c r="AQ96" s="193">
        <f t="shared" si="78"/>
        <v>0</v>
      </c>
      <c r="AR96" s="193">
        <f t="shared" si="78"/>
        <v>0</v>
      </c>
      <c r="AS96" s="193">
        <f t="shared" si="78"/>
        <v>0</v>
      </c>
      <c r="AT96" s="193">
        <f t="shared" si="78"/>
        <v>0</v>
      </c>
      <c r="AU96" s="193">
        <f t="shared" si="78"/>
        <v>0</v>
      </c>
      <c r="AV96" s="193">
        <f t="shared" si="78"/>
        <v>0</v>
      </c>
      <c r="AW96" s="193">
        <f t="shared" si="78"/>
        <v>0</v>
      </c>
      <c r="AX96" s="193">
        <f t="shared" si="78"/>
        <v>0</v>
      </c>
      <c r="AY96" s="193">
        <f t="shared" si="78"/>
        <v>0</v>
      </c>
      <c r="AZ96" s="193">
        <f t="shared" si="78"/>
        <v>0</v>
      </c>
      <c r="BA96" s="193">
        <f t="shared" si="78"/>
        <v>0</v>
      </c>
      <c r="BB96" s="193">
        <f t="shared" si="78"/>
        <v>0</v>
      </c>
      <c r="BC96" s="193">
        <f t="shared" si="78"/>
        <v>0</v>
      </c>
      <c r="BD96" s="193">
        <f t="shared" si="78"/>
        <v>0</v>
      </c>
      <c r="BE96" s="193">
        <f t="shared" si="78"/>
        <v>0</v>
      </c>
      <c r="BF96" s="193">
        <f t="shared" si="78"/>
        <v>0</v>
      </c>
      <c r="BG96" s="193">
        <f t="shared" si="78"/>
        <v>0</v>
      </c>
      <c r="BH96" s="193">
        <f t="shared" si="78"/>
        <v>0</v>
      </c>
      <c r="BI96" s="193">
        <f t="shared" si="78"/>
        <v>0</v>
      </c>
      <c r="BJ96" s="193">
        <f t="shared" si="78"/>
        <v>0</v>
      </c>
      <c r="BK96" s="193">
        <f t="shared" si="78"/>
        <v>0</v>
      </c>
      <c r="BL96" s="193">
        <f t="shared" si="78"/>
        <v>0</v>
      </c>
      <c r="BM96" s="193">
        <f t="shared" si="78"/>
        <v>0</v>
      </c>
      <c r="BN96" s="193">
        <f t="shared" si="78"/>
        <v>0</v>
      </c>
      <c r="BO96" s="193">
        <f t="shared" si="78"/>
        <v>0</v>
      </c>
      <c r="BP96" s="193">
        <f t="shared" si="78"/>
        <v>0</v>
      </c>
      <c r="BQ96" s="193">
        <f t="shared" si="78"/>
        <v>0</v>
      </c>
      <c r="BR96" s="193">
        <f t="shared" si="78"/>
        <v>0</v>
      </c>
      <c r="BS96" s="193">
        <f t="shared" ref="BS96:DV96" si="79">SUM(BS94:BS95)</f>
        <v>0</v>
      </c>
      <c r="BT96" s="193">
        <f t="shared" si="79"/>
        <v>0</v>
      </c>
      <c r="BU96" s="193">
        <f t="shared" si="79"/>
        <v>0</v>
      </c>
      <c r="BV96" s="193">
        <f t="shared" si="79"/>
        <v>0</v>
      </c>
      <c r="BW96" s="193">
        <f t="shared" si="79"/>
        <v>0</v>
      </c>
      <c r="BX96" s="193">
        <f t="shared" si="79"/>
        <v>0</v>
      </c>
      <c r="BY96" s="193">
        <f t="shared" si="79"/>
        <v>0</v>
      </c>
      <c r="BZ96" s="193">
        <f t="shared" si="79"/>
        <v>0</v>
      </c>
      <c r="CA96" s="193">
        <f t="shared" si="79"/>
        <v>0</v>
      </c>
      <c r="CB96" s="193">
        <f t="shared" si="79"/>
        <v>0</v>
      </c>
      <c r="CC96" s="193">
        <f t="shared" si="79"/>
        <v>0</v>
      </c>
      <c r="CD96" s="193">
        <f t="shared" si="79"/>
        <v>0</v>
      </c>
      <c r="CE96" s="193">
        <f t="shared" si="79"/>
        <v>0</v>
      </c>
      <c r="CF96" s="193">
        <f t="shared" si="79"/>
        <v>0</v>
      </c>
      <c r="CG96" s="193">
        <f t="shared" si="79"/>
        <v>0</v>
      </c>
      <c r="CH96" s="193">
        <f t="shared" si="79"/>
        <v>0</v>
      </c>
      <c r="CI96" s="193">
        <f t="shared" si="79"/>
        <v>0</v>
      </c>
      <c r="CJ96" s="193">
        <f t="shared" si="79"/>
        <v>0</v>
      </c>
      <c r="CK96" s="193">
        <f t="shared" si="79"/>
        <v>0</v>
      </c>
      <c r="CL96" s="193">
        <f t="shared" si="79"/>
        <v>0</v>
      </c>
      <c r="CM96" s="193">
        <f t="shared" si="79"/>
        <v>0</v>
      </c>
      <c r="CN96" s="193">
        <f t="shared" si="79"/>
        <v>0</v>
      </c>
      <c r="CO96" s="193">
        <f t="shared" si="79"/>
        <v>0</v>
      </c>
      <c r="CP96" s="193">
        <f t="shared" si="79"/>
        <v>0</v>
      </c>
      <c r="CQ96" s="193">
        <f t="shared" si="79"/>
        <v>0</v>
      </c>
      <c r="CR96" s="193">
        <f t="shared" si="79"/>
        <v>0</v>
      </c>
      <c r="CS96" s="193">
        <f t="shared" si="79"/>
        <v>0</v>
      </c>
      <c r="CT96" s="193">
        <f t="shared" si="79"/>
        <v>0</v>
      </c>
      <c r="CU96" s="193">
        <f t="shared" si="79"/>
        <v>0</v>
      </c>
      <c r="CV96" s="193">
        <f t="shared" si="79"/>
        <v>0</v>
      </c>
      <c r="CW96" s="193">
        <f t="shared" si="79"/>
        <v>0</v>
      </c>
      <c r="CX96" s="193">
        <f t="shared" si="79"/>
        <v>0</v>
      </c>
      <c r="CY96" s="193">
        <f t="shared" si="79"/>
        <v>0</v>
      </c>
      <c r="CZ96" s="193">
        <f t="shared" si="79"/>
        <v>0</v>
      </c>
      <c r="DA96" s="193">
        <f t="shared" si="79"/>
        <v>0</v>
      </c>
      <c r="DB96" s="193">
        <f t="shared" si="79"/>
        <v>0</v>
      </c>
      <c r="DC96" s="193">
        <f t="shared" si="79"/>
        <v>0</v>
      </c>
      <c r="DD96" s="193">
        <f t="shared" si="79"/>
        <v>0</v>
      </c>
      <c r="DE96" s="193">
        <f t="shared" si="79"/>
        <v>0</v>
      </c>
      <c r="DF96" s="193">
        <f t="shared" si="79"/>
        <v>0</v>
      </c>
      <c r="DG96" s="193">
        <f t="shared" si="79"/>
        <v>0</v>
      </c>
      <c r="DH96" s="193">
        <f t="shared" si="79"/>
        <v>0</v>
      </c>
      <c r="DI96" s="193">
        <f t="shared" si="79"/>
        <v>0</v>
      </c>
      <c r="DJ96" s="193">
        <f t="shared" si="79"/>
        <v>0</v>
      </c>
      <c r="DK96" s="193">
        <f t="shared" si="79"/>
        <v>0</v>
      </c>
      <c r="DL96" s="193">
        <f t="shared" si="79"/>
        <v>0</v>
      </c>
      <c r="DM96" s="193">
        <f t="shared" si="79"/>
        <v>0</v>
      </c>
      <c r="DN96" s="193">
        <f t="shared" si="79"/>
        <v>0</v>
      </c>
      <c r="DO96" s="193">
        <f t="shared" si="79"/>
        <v>0</v>
      </c>
      <c r="DP96" s="193">
        <f t="shared" si="79"/>
        <v>0</v>
      </c>
      <c r="DQ96" s="193">
        <f t="shared" si="79"/>
        <v>0</v>
      </c>
      <c r="DR96" s="193">
        <f t="shared" si="79"/>
        <v>0</v>
      </c>
      <c r="DS96" s="193">
        <f t="shared" si="79"/>
        <v>0</v>
      </c>
      <c r="DT96" s="193">
        <f t="shared" si="79"/>
        <v>0</v>
      </c>
      <c r="DU96" s="193">
        <f t="shared" si="79"/>
        <v>0</v>
      </c>
      <c r="DV96" s="197">
        <f t="shared" si="79"/>
        <v>0</v>
      </c>
    </row>
    <row r="97" spans="1:162" s="36" customFormat="1" x14ac:dyDescent="0.2">
      <c r="A97" s="160"/>
      <c r="B97" s="190"/>
      <c r="C97" s="187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  <c r="AV97" s="193"/>
      <c r="AW97" s="193"/>
      <c r="AX97" s="193"/>
      <c r="AY97" s="193"/>
      <c r="AZ97" s="193"/>
      <c r="BA97" s="193"/>
      <c r="BB97" s="193"/>
      <c r="BC97" s="193"/>
      <c r="BD97" s="193"/>
      <c r="BE97" s="193"/>
      <c r="BF97" s="193"/>
      <c r="BG97" s="193"/>
      <c r="BH97" s="193"/>
      <c r="BI97" s="193"/>
      <c r="BJ97" s="193"/>
      <c r="BK97" s="193"/>
      <c r="BL97" s="193"/>
      <c r="BM97" s="193"/>
      <c r="BN97" s="193"/>
      <c r="BO97" s="193"/>
      <c r="BP97" s="193"/>
      <c r="BQ97" s="193"/>
      <c r="BR97" s="193"/>
      <c r="BS97" s="193"/>
      <c r="BT97" s="193"/>
      <c r="BU97" s="193"/>
      <c r="BV97" s="193"/>
      <c r="BW97" s="193"/>
      <c r="BX97" s="193"/>
      <c r="BY97" s="193"/>
      <c r="BZ97" s="193"/>
      <c r="CA97" s="193"/>
      <c r="CB97" s="193"/>
      <c r="CC97" s="193"/>
      <c r="CD97" s="193"/>
      <c r="CE97" s="193"/>
      <c r="CF97" s="193"/>
      <c r="CG97" s="193"/>
      <c r="CH97" s="193"/>
      <c r="CI97" s="193"/>
      <c r="CJ97" s="193"/>
      <c r="CK97" s="193"/>
      <c r="CL97" s="193"/>
      <c r="CM97" s="193"/>
      <c r="CN97" s="193"/>
      <c r="CO97" s="193"/>
      <c r="CP97" s="193"/>
      <c r="CQ97" s="193"/>
      <c r="CR97" s="193"/>
      <c r="CS97" s="193"/>
      <c r="CT97" s="193"/>
      <c r="CU97" s="193"/>
      <c r="CV97" s="193"/>
      <c r="CW97" s="193"/>
      <c r="CX97" s="193"/>
      <c r="CY97" s="193"/>
      <c r="CZ97" s="193"/>
      <c r="DA97" s="193"/>
      <c r="DB97" s="193"/>
      <c r="DC97" s="193"/>
      <c r="DD97" s="193"/>
      <c r="DE97" s="193"/>
      <c r="DF97" s="193"/>
      <c r="DG97" s="193"/>
      <c r="DH97" s="193"/>
      <c r="DI97" s="193"/>
      <c r="DJ97" s="193"/>
      <c r="DK97" s="193"/>
      <c r="DL97" s="193"/>
      <c r="DM97" s="193"/>
      <c r="DN97" s="193"/>
      <c r="DO97" s="193"/>
      <c r="DP97" s="193"/>
      <c r="DQ97" s="193"/>
      <c r="DR97" s="193"/>
      <c r="DS97" s="193"/>
      <c r="DT97" s="193"/>
      <c r="DU97" s="193"/>
      <c r="DV97" s="197"/>
    </row>
    <row r="98" spans="1:162" s="36" customFormat="1" x14ac:dyDescent="0.2">
      <c r="A98" s="160"/>
      <c r="B98" s="194" t="s">
        <v>61</v>
      </c>
      <c r="C98" s="74"/>
      <c r="D98" s="18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  <c r="DU98" s="74"/>
      <c r="DV98" s="185"/>
    </row>
    <row r="99" spans="1:162" s="36" customFormat="1" x14ac:dyDescent="0.2">
      <c r="A99" s="160"/>
      <c r="B99" s="216" t="s">
        <v>153</v>
      </c>
      <c r="C99" s="217"/>
      <c r="D99" s="218">
        <f>MAX(E99:DV99)</f>
        <v>0</v>
      </c>
      <c r="E99" s="219"/>
      <c r="F99" s="219">
        <f>E103</f>
        <v>-913956.35150699993</v>
      </c>
      <c r="G99" s="219">
        <f>F103</f>
        <v>-921244.36779980524</v>
      </c>
      <c r="H99" s="219">
        <f>G103</f>
        <v>-928590.49975797755</v>
      </c>
      <c r="I99" s="219">
        <f t="shared" ref="I99:BR99" si="80">H103</f>
        <v>-935995.21080399363</v>
      </c>
      <c r="J99" s="219">
        <f t="shared" si="80"/>
        <v>-943458.96805572603</v>
      </c>
      <c r="K99" s="219">
        <f t="shared" si="80"/>
        <v>-950982.24235591106</v>
      </c>
      <c r="L99" s="219">
        <f t="shared" si="80"/>
        <v>-958565.50830185087</v>
      </c>
      <c r="M99" s="219">
        <f t="shared" si="80"/>
        <v>-966209.24427535338</v>
      </c>
      <c r="N99" s="219">
        <f t="shared" si="80"/>
        <v>-973913.93247291003</v>
      </c>
      <c r="O99" s="219">
        <f t="shared" si="80"/>
        <v>-981680.05893611489</v>
      </c>
      <c r="P99" s="219">
        <f t="shared" si="80"/>
        <v>-989508.11358232598</v>
      </c>
      <c r="Q99" s="219">
        <f t="shared" si="80"/>
        <v>-997398.59023557114</v>
      </c>
      <c r="R99" s="219">
        <f t="shared" si="80"/>
        <v>-1005351.9866577003</v>
      </c>
      <c r="S99" s="219">
        <f t="shared" si="80"/>
        <v>-1013368.8045797861</v>
      </c>
      <c r="T99" s="219">
        <f t="shared" si="80"/>
        <v>-1021449.5497337757</v>
      </c>
      <c r="U99" s="219">
        <f t="shared" si="80"/>
        <v>-1029594.7318843933</v>
      </c>
      <c r="V99" s="219">
        <f t="shared" si="80"/>
        <v>-1037804.8648612989</v>
      </c>
      <c r="W99" s="219">
        <f t="shared" si="80"/>
        <v>-1046080.4665915024</v>
      </c>
      <c r="X99" s="219">
        <f t="shared" si="80"/>
        <v>-1054422.0591320363</v>
      </c>
      <c r="Y99" s="219">
        <f>X103</f>
        <v>-1056659.543702889</v>
      </c>
      <c r="Z99" s="219">
        <f t="shared" si="80"/>
        <v>-1058914.8702899171</v>
      </c>
      <c r="AA99" s="219">
        <f t="shared" si="80"/>
        <v>-626364.15000828204</v>
      </c>
      <c r="AB99" s="219">
        <f t="shared" si="80"/>
        <v>-631358.86570007901</v>
      </c>
      <c r="AC99" s="219">
        <f t="shared" si="80"/>
        <v>-636393.40995620482</v>
      </c>
      <c r="AD99" s="219">
        <f t="shared" si="80"/>
        <v>-641468.10037522449</v>
      </c>
      <c r="AE99" s="219">
        <f t="shared" si="80"/>
        <v>-646583.25708827865</v>
      </c>
      <c r="AF99" s="219">
        <f t="shared" si="80"/>
        <v>-651739.20277927862</v>
      </c>
      <c r="AG99" s="219">
        <f t="shared" si="80"/>
        <v>-656936.2627052624</v>
      </c>
      <c r="AH99" s="219">
        <f t="shared" si="80"/>
        <v>-662174.76471691334</v>
      </c>
      <c r="AI99" s="219">
        <f t="shared" si="80"/>
        <v>-667455.03927924228</v>
      </c>
      <c r="AJ99" s="219">
        <f t="shared" si="80"/>
        <v>-672733.35615885304</v>
      </c>
      <c r="AK99" s="219">
        <f t="shared" si="80"/>
        <v>-678053.76307849004</v>
      </c>
      <c r="AL99" s="219">
        <f t="shared" si="80"/>
        <v>-683416.59567004314</v>
      </c>
      <c r="AM99" s="219">
        <f t="shared" si="80"/>
        <v>-688754.69224177802</v>
      </c>
      <c r="AN99" s="219">
        <f t="shared" si="80"/>
        <v>-693932.85554519889</v>
      </c>
      <c r="AO99" s="219">
        <f t="shared" si="80"/>
        <v>-699152.31024996506</v>
      </c>
      <c r="AP99" s="219">
        <f t="shared" si="80"/>
        <v>-704466.05080700933</v>
      </c>
      <c r="AQ99" s="219">
        <f t="shared" si="80"/>
        <v>-709822.1638774582</v>
      </c>
      <c r="AR99" s="219">
        <f t="shared" si="80"/>
        <v>-715220.98734568385</v>
      </c>
      <c r="AS99" s="219">
        <f t="shared" si="80"/>
        <v>-720556.54929039604</v>
      </c>
      <c r="AT99" s="219">
        <f t="shared" si="80"/>
        <v>-725934.65775532252</v>
      </c>
      <c r="AU99" s="219">
        <f t="shared" si="80"/>
        <v>-731355.6520123902</v>
      </c>
      <c r="AV99" s="219">
        <f t="shared" si="80"/>
        <v>-736720.51403892797</v>
      </c>
      <c r="AW99" s="219">
        <f t="shared" si="80"/>
        <v>-742128.1562286471</v>
      </c>
      <c r="AX99" s="219">
        <f t="shared" si="80"/>
        <v>-747578.91971657635</v>
      </c>
      <c r="AY99" s="219">
        <f t="shared" si="80"/>
        <v>-753002.273358003</v>
      </c>
      <c r="AZ99" s="219">
        <f t="shared" si="80"/>
        <v>-758256.24858296209</v>
      </c>
      <c r="BA99" s="219">
        <f t="shared" si="80"/>
        <v>-763552.11974417488</v>
      </c>
      <c r="BB99" s="219">
        <f t="shared" si="80"/>
        <v>-768944.46606884559</v>
      </c>
      <c r="BC99" s="219">
        <f t="shared" si="80"/>
        <v>-774379.81172035052</v>
      </c>
      <c r="BD99" s="219">
        <f t="shared" si="80"/>
        <v>-779858.49958136014</v>
      </c>
      <c r="BE99" s="219">
        <f t="shared" si="80"/>
        <v>-785269.2471437396</v>
      </c>
      <c r="BF99" s="219">
        <f t="shared" si="80"/>
        <v>-790723.1407670069</v>
      </c>
      <c r="BG99" s="219">
        <f t="shared" si="80"/>
        <v>-796220.52450391045</v>
      </c>
      <c r="BH99" s="219">
        <f t="shared" si="80"/>
        <v>-801657.27810072363</v>
      </c>
      <c r="BI99" s="219">
        <f t="shared" si="80"/>
        <v>-807137.38513419509</v>
      </c>
      <c r="BJ99" s="219">
        <f t="shared" si="80"/>
        <v>-812661.19131071691</v>
      </c>
      <c r="BK99" s="219">
        <f t="shared" si="80"/>
        <v>-818154.6263433923</v>
      </c>
      <c r="BL99" s="219">
        <f t="shared" si="80"/>
        <v>-823468.61054845527</v>
      </c>
      <c r="BM99" s="219">
        <f t="shared" si="80"/>
        <v>-828824.96920980641</v>
      </c>
      <c r="BN99" s="219">
        <f t="shared" si="80"/>
        <v>-834279.91272472951</v>
      </c>
      <c r="BO99" s="219">
        <f t="shared" si="80"/>
        <v>-839778.35472527239</v>
      </c>
      <c r="BP99" s="219">
        <f t="shared" si="80"/>
        <v>-845320.64207446773</v>
      </c>
      <c r="BQ99" s="219">
        <f t="shared" si="80"/>
        <v>-850789.91487003292</v>
      </c>
      <c r="BR99" s="219">
        <f t="shared" si="80"/>
        <v>-856302.80041491392</v>
      </c>
      <c r="BS99" s="219">
        <f t="shared" ref="BS99:DV99" si="81">BR103</f>
        <v>-861859.64648329827</v>
      </c>
      <c r="BT99" s="219">
        <f t="shared" si="81"/>
        <v>-867350.96999857377</v>
      </c>
      <c r="BU99" s="219">
        <f t="shared" si="81"/>
        <v>-872886.08209870057</v>
      </c>
      <c r="BV99" s="219">
        <f t="shared" si="81"/>
        <v>-878465.33196000347</v>
      </c>
      <c r="BW99" s="219">
        <f t="shared" si="81"/>
        <v>-884010.93185568845</v>
      </c>
      <c r="BX99" s="219">
        <f t="shared" si="81"/>
        <v>-889366.33408120414</v>
      </c>
      <c r="BY99" s="219">
        <f t="shared" si="81"/>
        <v>-894764.44103611936</v>
      </c>
      <c r="BZ99" s="219">
        <f t="shared" si="81"/>
        <v>-900263.14192628453</v>
      </c>
      <c r="CA99" s="219">
        <f t="shared" si="81"/>
        <v>-905805.69022952439</v>
      </c>
      <c r="CB99" s="219">
        <f t="shared" si="81"/>
        <v>-911392.43559126835</v>
      </c>
      <c r="CC99" s="219">
        <f t="shared" si="81"/>
        <v>-916900.66043725493</v>
      </c>
      <c r="CD99" s="219">
        <f t="shared" si="81"/>
        <v>-922452.80864167737</v>
      </c>
      <c r="CE99" s="219">
        <f t="shared" si="81"/>
        <v>-928049.23045556387</v>
      </c>
      <c r="CF99" s="219">
        <f t="shared" si="81"/>
        <v>-933574.8060995487</v>
      </c>
      <c r="CG99" s="219">
        <f t="shared" si="81"/>
        <v>-939144.44345966924</v>
      </c>
      <c r="CH99" s="219">
        <f t="shared" si="81"/>
        <v>-944758.49389023741</v>
      </c>
      <c r="CI99" s="219">
        <f t="shared" si="81"/>
        <v>-950335.26487543888</v>
      </c>
      <c r="CJ99" s="219">
        <f t="shared" si="81"/>
        <v>-955710.36579999118</v>
      </c>
      <c r="CK99" s="219">
        <f t="shared" si="81"/>
        <v>-961128.32853413536</v>
      </c>
      <c r="CL99" s="219">
        <f t="shared" si="81"/>
        <v>-966648.76999647182</v>
      </c>
      <c r="CM99" s="219">
        <f t="shared" si="81"/>
        <v>-972213.23223425844</v>
      </c>
      <c r="CN99" s="219">
        <f t="shared" si="81"/>
        <v>-977822.0662753405</v>
      </c>
      <c r="CO99" s="219">
        <f t="shared" si="81"/>
        <v>-983346.40243850544</v>
      </c>
      <c r="CP99" s="219">
        <f t="shared" si="81"/>
        <v>-988914.79043401184</v>
      </c>
      <c r="CQ99" s="219">
        <f t="shared" si="81"/>
        <v>-994527.58153735707</v>
      </c>
      <c r="CR99" s="219">
        <f t="shared" si="81"/>
        <v>-1000063.731416957</v>
      </c>
      <c r="CS99" s="219">
        <f t="shared" si="81"/>
        <v>-1005644.0273331322</v>
      </c>
      <c r="CT99" s="219">
        <f t="shared" si="81"/>
        <v>-1011268.8213125779</v>
      </c>
      <c r="CU99" s="219">
        <f t="shared" si="81"/>
        <v>-1016852.3191836305</v>
      </c>
      <c r="CV99" s="219">
        <f t="shared" si="81"/>
        <v>-1022221.8936343852</v>
      </c>
      <c r="CW99" s="219">
        <f t="shared" si="81"/>
        <v>-1027634.2858258537</v>
      </c>
      <c r="CX99" s="219">
        <f t="shared" si="81"/>
        <v>-1033150.8905792</v>
      </c>
      <c r="CY99" s="219">
        <f t="shared" si="81"/>
        <v>-1038711.4855135403</v>
      </c>
      <c r="CZ99" s="219">
        <f t="shared" si="81"/>
        <v>-1044316.4214127553</v>
      </c>
      <c r="DA99" s="219">
        <f t="shared" si="81"/>
        <v>-1049830.3671743122</v>
      </c>
      <c r="DB99" s="219">
        <f t="shared" si="81"/>
        <v>-1055388.2819136893</v>
      </c>
      <c r="DC99" s="219">
        <f t="shared" si="81"/>
        <v>-1060990.5162456902</v>
      </c>
      <c r="DD99" s="219">
        <f t="shared" si="81"/>
        <v>-1066509.7987503582</v>
      </c>
      <c r="DE99" s="219">
        <f t="shared" si="81"/>
        <v>-1072073.0927887852</v>
      </c>
      <c r="DF99" s="219">
        <f t="shared" si="81"/>
        <v>-1077680.7493151219</v>
      </c>
      <c r="DG99" s="219">
        <f t="shared" si="81"/>
        <v>-1083242.6656263345</v>
      </c>
      <c r="DH99" s="219">
        <f t="shared" si="81"/>
        <v>-1088577.5640720399</v>
      </c>
      <c r="DI99" s="219">
        <f t="shared" si="81"/>
        <v>-1093955.0037471254</v>
      </c>
      <c r="DJ99" s="219">
        <f t="shared" si="81"/>
        <v>-1099438.2088694095</v>
      </c>
      <c r="DK99" s="219">
        <f t="shared" si="81"/>
        <v>-1104965.1378393392</v>
      </c>
      <c r="DL99" s="219">
        <f t="shared" si="81"/>
        <v>-1110536.1393170159</v>
      </c>
      <c r="DM99" s="219">
        <f t="shared" si="81"/>
        <v>-1116009.0958250109</v>
      </c>
      <c r="DN99" s="219">
        <f t="shared" si="81"/>
        <v>-1121525.6944567622</v>
      </c>
      <c r="DO99" s="219">
        <f t="shared" si="81"/>
        <v>-1127086.2832206928</v>
      </c>
      <c r="DP99" s="219">
        <f t="shared" si="81"/>
        <v>-1132557.045631092</v>
      </c>
      <c r="DQ99" s="219">
        <f t="shared" si="81"/>
        <v>-1138071.4326692049</v>
      </c>
      <c r="DR99" s="219">
        <f t="shared" si="81"/>
        <v>-1143629.7922039391</v>
      </c>
      <c r="DS99" s="219">
        <f t="shared" si="81"/>
        <v>-1149137.4955996282</v>
      </c>
      <c r="DT99" s="219">
        <f t="shared" si="81"/>
        <v>-1154404.1803600474</v>
      </c>
      <c r="DU99" s="219">
        <f t="shared" si="81"/>
        <v>-1159712.8624043409</v>
      </c>
      <c r="DV99" s="218">
        <f t="shared" si="81"/>
        <v>0</v>
      </c>
    </row>
    <row r="100" spans="1:162" s="36" customFormat="1" x14ac:dyDescent="0.2">
      <c r="A100" s="160"/>
      <c r="B100" s="220" t="s">
        <v>154</v>
      </c>
      <c r="C100" s="217"/>
      <c r="D100" s="218">
        <f>SUM(E100:DV100)</f>
        <v>-868789.85455165047</v>
      </c>
      <c r="E100" s="219">
        <f>E99*((1+Summary!$L$61)^(1/12)-1)</f>
        <v>0</v>
      </c>
      <c r="F100" s="219">
        <f>F99*((1+Summary!$L$61)^(1/12)-1)</f>
        <v>-7288.0162928053478</v>
      </c>
      <c r="G100" s="219">
        <f>G99*((1+Summary!$L$61)^(1/12)-1)</f>
        <v>-7346.1319581723164</v>
      </c>
      <c r="H100" s="219">
        <f>H99*((1+Summary!$L$61)^(1/12)-1)</f>
        <v>-7404.7110460160402</v>
      </c>
      <c r="I100" s="219">
        <f>I99*((1+Summary!$L$61)^(1/12)-1)</f>
        <v>-7463.757251732427</v>
      </c>
      <c r="J100" s="219">
        <f>J99*((1+Summary!$L$61)^(1/12)-1)</f>
        <v>-7523.2743001849904</v>
      </c>
      <c r="K100" s="219">
        <f>K99*((1+Summary!$L$61)^(1/12)-1)</f>
        <v>-7583.2659459398283</v>
      </c>
      <c r="L100" s="219">
        <f>L99*((1+Summary!$L$61)^(1/12)-1)</f>
        <v>-7643.7359735024756</v>
      </c>
      <c r="M100" s="219">
        <f>M99*((1+Summary!$L$61)^(1/12)-1)</f>
        <v>-7704.6881975566484</v>
      </c>
      <c r="N100" s="219">
        <f>N99*((1+Summary!$L$61)^(1/12)-1)</f>
        <v>-7766.1264632048824</v>
      </c>
      <c r="O100" s="219">
        <f>O99*((1+Summary!$L$61)^(1/12)-1)</f>
        <v>-7828.0546462111042</v>
      </c>
      <c r="P100" s="219">
        <f>P99*((1+Summary!$L$61)^(1/12)-1)</f>
        <v>-7890.476653245124</v>
      </c>
      <c r="Q100" s="219">
        <f>Q99*((1+Summary!$L$61)^(1/12)-1)</f>
        <v>-7953.3964221290871</v>
      </c>
      <c r="R100" s="219">
        <f>R99*((1+Summary!$L$61)^(1/12)-1)</f>
        <v>-8016.8179220858856</v>
      </c>
      <c r="S100" s="219">
        <f>S99*((1+Summary!$L$61)^(1/12)-1)</f>
        <v>-8080.745153989551</v>
      </c>
      <c r="T100" s="219">
        <f>T99*((1+Summary!$L$61)^(1/12)-1)</f>
        <v>-8145.1821506176466</v>
      </c>
      <c r="U100" s="219">
        <f>U99*((1+Summary!$L$61)^(1/12)-1)</f>
        <v>-8210.132976905672</v>
      </c>
      <c r="V100" s="219">
        <f>V99*((1+Summary!$L$61)^(1/12)-1)</f>
        <v>-8275.6017302034907</v>
      </c>
      <c r="W100" s="219">
        <f>W99*((1+Summary!$L$61)^(1/12)-1)</f>
        <v>-8341.592540533813</v>
      </c>
      <c r="X100" s="219">
        <f>X99*((1+Summary!$L$61)^(1/12)-1)</f>
        <v>-8408.1095708527264</v>
      </c>
      <c r="Y100" s="219">
        <f>Y99*((1+Summary!$L$61)^(1/12)-1)</f>
        <v>-8425.9515870282103</v>
      </c>
      <c r="Z100" s="219">
        <f>Z99*((1+Summary!$L$61)^(1/12)-1)</f>
        <v>-8443.9358779462127</v>
      </c>
      <c r="AA100" s="219">
        <f>AA99*((1+Summary!$L$61)^(1/12)-1)</f>
        <v>-4994.7156917969842</v>
      </c>
      <c r="AB100" s="219">
        <f>AB99*((1+Summary!$L$61)^(1/12)-1)</f>
        <v>-5034.5442561258224</v>
      </c>
      <c r="AC100" s="219">
        <f>AC99*((1+Summary!$L$61)^(1/12)-1)</f>
        <v>-5074.6904190197001</v>
      </c>
      <c r="AD100" s="219">
        <f>AD99*((1+Summary!$L$61)^(1/12)-1)</f>
        <v>-5115.1567130541753</v>
      </c>
      <c r="AE100" s="219">
        <f>AE99*((1+Summary!$L$61)^(1/12)-1)</f>
        <v>-5155.945690999919</v>
      </c>
      <c r="AF100" s="219">
        <f>AF99*((1+Summary!$L$61)^(1/12)-1)</f>
        <v>-5197.0599259837545</v>
      </c>
      <c r="AG100" s="219">
        <f>AG99*((1+Summary!$L$61)^(1/12)-1)</f>
        <v>-5238.5020116509768</v>
      </c>
      <c r="AH100" s="219">
        <f>AH99*((1+Summary!$L$61)^(1/12)-1)</f>
        <v>-5280.2745623289766</v>
      </c>
      <c r="AI100" s="219">
        <f>AI99*((1+Summary!$L$61)^(1/12)-1)</f>
        <v>-5322.3802131921557</v>
      </c>
      <c r="AJ100" s="219">
        <f>AJ99*((1+Summary!$L$61)^(1/12)-1)</f>
        <v>-5364.4702532184256</v>
      </c>
      <c r="AK100" s="219">
        <f>AK99*((1+Summary!$L$61)^(1/12)-1)</f>
        <v>-5406.8959251345223</v>
      </c>
      <c r="AL100" s="219">
        <f>AL99*((1+Summary!$L$61)^(1/12)-1)</f>
        <v>-5449.6599053162681</v>
      </c>
      <c r="AM100" s="219">
        <f>AM99*((1+Summary!$L$61)^(1/12)-1)</f>
        <v>-5492.2266370023317</v>
      </c>
      <c r="AN100" s="219">
        <f>AN99*((1+Summary!$L$61)^(1/12)-1)</f>
        <v>-5533.5180383476063</v>
      </c>
      <c r="AO100" s="219">
        <f>AO99*((1+Summary!$L$61)^(1/12)-1)</f>
        <v>-5575.1387031257136</v>
      </c>
      <c r="AP100" s="219">
        <f>AP99*((1+Summary!$L$61)^(1/12)-1)</f>
        <v>-5617.5112165303462</v>
      </c>
      <c r="AQ100" s="219">
        <f>AQ99*((1+Summary!$L$61)^(1/12)-1)</f>
        <v>-5660.2216143071928</v>
      </c>
      <c r="AR100" s="219">
        <f>AR99*((1+Summary!$L$61)^(1/12)-1)</f>
        <v>-5703.2725907936856</v>
      </c>
      <c r="AS100" s="219">
        <f>AS99*((1+Summary!$L$61)^(1/12)-1)</f>
        <v>-5745.8191110079351</v>
      </c>
      <c r="AT100" s="219">
        <f>AT99*((1+Summary!$L$61)^(1/12)-1)</f>
        <v>-5788.7049031491351</v>
      </c>
      <c r="AU100" s="219">
        <f>AU99*((1+Summary!$L$61)^(1/12)-1)</f>
        <v>-5831.932672619273</v>
      </c>
      <c r="AV100" s="219">
        <f>AV99*((1+Summary!$L$61)^(1/12)-1)</f>
        <v>-5874.7128358005784</v>
      </c>
      <c r="AW100" s="219">
        <f>AW99*((1+Summary!$L$61)^(1/12)-1)</f>
        <v>-5917.8341340106635</v>
      </c>
      <c r="AX100" s="219">
        <f>AX99*((1+Summary!$L$61)^(1/12)-1)</f>
        <v>-5961.2992875081527</v>
      </c>
      <c r="AY100" s="219">
        <f>AY99*((1+Summary!$L$61)^(1/12)-1)</f>
        <v>-6004.5458710404955</v>
      </c>
      <c r="AZ100" s="219">
        <f>AZ99*((1+Summary!$L$61)^(1/12)-1)</f>
        <v>-6046.4418072943008</v>
      </c>
      <c r="BA100" s="219">
        <f>BA99*((1+Summary!$L$61)^(1/12)-1)</f>
        <v>-6088.6718276271931</v>
      </c>
      <c r="BB100" s="219">
        <f>BB99*((1+Summary!$L$61)^(1/12)-1)</f>
        <v>-6131.6711544614</v>
      </c>
      <c r="BC100" s="219">
        <f>BC99*((1+Summary!$L$61)^(1/12)-1)</f>
        <v>-6175.0133639661326</v>
      </c>
      <c r="BD100" s="219">
        <f>BD99*((1+Summary!$L$61)^(1/12)-1)</f>
        <v>-6218.7011903359535</v>
      </c>
      <c r="BE100" s="219">
        <f>BE99*((1+Summary!$L$61)^(1/12)-1)</f>
        <v>-6261.8472512237158</v>
      </c>
      <c r="BF100" s="219">
        <f>BF99*((1+Summary!$L$61)^(1/12)-1)</f>
        <v>-6305.3373648599518</v>
      </c>
      <c r="BG100" s="219">
        <f>BG99*((1+Summary!$L$61)^(1/12)-1)</f>
        <v>-6349.1742747695926</v>
      </c>
      <c r="BH100" s="219">
        <f>BH99*((1+Summary!$L$61)^(1/12)-1)</f>
        <v>-6392.5277114279288</v>
      </c>
      <c r="BI100" s="219">
        <f>BI99*((1+Summary!$L$61)^(1/12)-1)</f>
        <v>-6436.2268544782537</v>
      </c>
      <c r="BJ100" s="219">
        <f>BJ99*((1+Summary!$L$61)^(1/12)-1)</f>
        <v>-6480.2744606318838</v>
      </c>
      <c r="BK100" s="219">
        <f>BK99*((1+Summary!$L$61)^(1/12)-1)</f>
        <v>-6524.0798830194972</v>
      </c>
      <c r="BL100" s="219">
        <f>BL99*((1+Summary!$L$61)^(1/12)-1)</f>
        <v>-6566.4543393076456</v>
      </c>
      <c r="BM100" s="219">
        <f>BM99*((1+Summary!$L$61)^(1/12)-1)</f>
        <v>-6609.1666954608345</v>
      </c>
      <c r="BN100" s="219">
        <f>BN99*((1+Summary!$L$61)^(1/12)-1)</f>
        <v>-6652.6651810805697</v>
      </c>
      <c r="BO100" s="219">
        <f>BO99*((1+Summary!$L$61)^(1/12)-1)</f>
        <v>-6696.5105297330811</v>
      </c>
      <c r="BP100" s="219">
        <f>BP99*((1+Summary!$L$61)^(1/12)-1)</f>
        <v>-6740.7055073529018</v>
      </c>
      <c r="BQ100" s="219">
        <f>BQ99*((1+Summary!$L$61)^(1/12)-1)</f>
        <v>-6784.318256668721</v>
      </c>
      <c r="BR100" s="219">
        <f>BR99*((1+Summary!$L$61)^(1/12)-1)</f>
        <v>-6828.278780172076</v>
      </c>
      <c r="BS100" s="219">
        <f>BS99*((1+Summary!$L$61)^(1/12)-1)</f>
        <v>-6872.589851063175</v>
      </c>
      <c r="BT100" s="219">
        <f>BT99*((1+Summary!$L$61)^(1/12)-1)</f>
        <v>-6916.3784359145229</v>
      </c>
      <c r="BU100" s="219">
        <f>BU99*((1+Summary!$L$61)^(1/12)-1)</f>
        <v>-6960.5161970906584</v>
      </c>
      <c r="BV100" s="219">
        <f>BV99*((1+Summary!$L$61)^(1/12)-1)</f>
        <v>-7005.0059189726298</v>
      </c>
      <c r="BW100" s="219">
        <f>BW99*((1+Summary!$L$61)^(1/12)-1)</f>
        <v>-7049.2273113033361</v>
      </c>
      <c r="BX100" s="219">
        <f>BX99*((1+Summary!$L$61)^(1/12)-1)</f>
        <v>-7091.9320407028617</v>
      </c>
      <c r="BY100" s="219">
        <f>BY99*((1+Summary!$L$61)^(1/12)-1)</f>
        <v>-7134.9773036115976</v>
      </c>
      <c r="BZ100" s="219">
        <f>BZ99*((1+Summary!$L$61)^(1/12)-1)</f>
        <v>-7178.824716686313</v>
      </c>
      <c r="CA100" s="219">
        <f>CA99*((1+Summary!$L$61)^(1/12)-1)</f>
        <v>-7223.0217751903301</v>
      </c>
      <c r="CB100" s="219">
        <f>CB99*((1+Summary!$L$61)^(1/12)-1)</f>
        <v>-7267.5712672454029</v>
      </c>
      <c r="CC100" s="219">
        <f>CC99*((1+Summary!$L$61)^(1/12)-1)</f>
        <v>-7311.4946256812764</v>
      </c>
      <c r="CD100" s="219">
        <f>CD99*((1+Summary!$L$61)^(1/12)-1)</f>
        <v>-7355.7682351454268</v>
      </c>
      <c r="CE100" s="219">
        <f>CE99*((1+Summary!$L$61)^(1/12)-1)</f>
        <v>-7400.3948885887385</v>
      </c>
      <c r="CF100" s="219">
        <f>CF99*((1+Summary!$L$61)^(1/12)-1)</f>
        <v>-7444.4566047244043</v>
      </c>
      <c r="CG100" s="219">
        <f>CG99*((1+Summary!$L$61)^(1/12)-1)</f>
        <v>-7488.8696751720736</v>
      </c>
      <c r="CH100" s="219">
        <f>CH99*((1+Summary!$L$61)^(1/12)-1)</f>
        <v>-7533.6369016803719</v>
      </c>
      <c r="CI100" s="219">
        <f>CI99*((1+Summary!$L$61)^(1/12)-1)</f>
        <v>-7578.1068566562044</v>
      </c>
      <c r="CJ100" s="219">
        <f>CJ99*((1+Summary!$L$61)^(1/12)-1)</f>
        <v>-7620.9686662481154</v>
      </c>
      <c r="CK100" s="219">
        <f>CK99*((1+Summary!$L$61)^(1/12)-1)</f>
        <v>-7664.1722619287484</v>
      </c>
      <c r="CL100" s="219">
        <f>CL99*((1+Summary!$L$61)^(1/12)-1)</f>
        <v>-7708.1930373789619</v>
      </c>
      <c r="CM100" s="219">
        <f>CM99*((1+Summary!$L$61)^(1/12)-1)</f>
        <v>-7752.5648406744049</v>
      </c>
      <c r="CN100" s="219">
        <f>CN99*((1+Summary!$L$61)^(1/12)-1)</f>
        <v>-7797.290470960409</v>
      </c>
      <c r="CO100" s="219">
        <f>CO99*((1+Summary!$L$61)^(1/12)-1)</f>
        <v>-7841.3423033019571</v>
      </c>
      <c r="CP100" s="219">
        <f>CP99*((1+Summary!$L$61)^(1/12)-1)</f>
        <v>-7885.7454111407469</v>
      </c>
      <c r="CQ100" s="219">
        <f>CQ99*((1+Summary!$L$61)^(1/12)-1)</f>
        <v>-7930.502595596924</v>
      </c>
      <c r="CR100" s="219">
        <f>CR99*((1+Summary!$L$61)^(1/12)-1)</f>
        <v>-7974.6486321723123</v>
      </c>
      <c r="CS100" s="219">
        <f>CS99*((1+Summary!$L$61)^(1/12)-1)</f>
        <v>-8019.1466954427315</v>
      </c>
      <c r="CT100" s="219">
        <f>CT99*((1+Summary!$L$61)^(1/12)-1)</f>
        <v>-8063.999592518484</v>
      </c>
      <c r="CU100" s="219">
        <f>CU99*((1+Summary!$L$61)^(1/12)-1)</f>
        <v>-8108.5231886267429</v>
      </c>
      <c r="CV100" s="219">
        <f>CV99*((1+Summary!$L$61)^(1/12)-1)</f>
        <v>-8151.3409293405148</v>
      </c>
      <c r="CW100" s="219">
        <f>CW99*((1+Summary!$L$61)^(1/12)-1)</f>
        <v>-8194.5001047315873</v>
      </c>
      <c r="CX100" s="219">
        <f>CX99*((1+Summary!$L$61)^(1/12)-1)</f>
        <v>-8238.4902857255274</v>
      </c>
      <c r="CY100" s="219">
        <f>CY99*((1+Summary!$L$61)^(1/12)-1)</f>
        <v>-8282.8312506002094</v>
      </c>
      <c r="CZ100" s="219">
        <f>CZ99*((1+Summary!$L$61)^(1/12)-1)</f>
        <v>-8327.525796555552</v>
      </c>
      <c r="DA100" s="219">
        <f>DA99*((1+Summary!$L$61)^(1/12)-1)</f>
        <v>-8371.4947743755674</v>
      </c>
      <c r="DB100" s="219">
        <f>DB99*((1+Summary!$L$61)^(1/12)-1)</f>
        <v>-8415.8143669992332</v>
      </c>
      <c r="DC100" s="219">
        <f>DC99*((1+Summary!$L$61)^(1/12)-1)</f>
        <v>-8460.4873702782334</v>
      </c>
      <c r="DD100" s="219">
        <f>DD99*((1+Summary!$L$61)^(1/12)-1)</f>
        <v>-8504.4989040372493</v>
      </c>
      <c r="DE100" s="219">
        <f>DE99*((1+Summary!$L$61)^(1/12)-1)</f>
        <v>-8548.8613919469481</v>
      </c>
      <c r="DF100" s="219">
        <f>DF99*((1+Summary!$L$61)^(1/12)-1)</f>
        <v>-8593.5776325650168</v>
      </c>
      <c r="DG100" s="219">
        <f>DG99*((1+Summary!$L$61)^(1/12)-1)</f>
        <v>-8637.9291342844353</v>
      </c>
      <c r="DH100" s="219">
        <f>DH99*((1+Summary!$L$61)^(1/12)-1)</f>
        <v>-8680.4703636644317</v>
      </c>
      <c r="DI100" s="219">
        <f>DI99*((1+Summary!$L$61)^(1/12)-1)</f>
        <v>-8723.3508227815219</v>
      </c>
      <c r="DJ100" s="219">
        <f>DJ99*((1+Summary!$L$61)^(1/12)-1)</f>
        <v>-8767.0746704270987</v>
      </c>
      <c r="DK100" s="219">
        <f>DK99*((1+Summary!$L$61)^(1/12)-1)</f>
        <v>-8811.1471781738946</v>
      </c>
      <c r="DL100" s="219">
        <f>DL99*((1+Summary!$L$61)^(1/12)-1)</f>
        <v>-8855.5711262865188</v>
      </c>
      <c r="DM100" s="219">
        <f>DM99*((1+Summary!$L$61)^(1/12)-1)</f>
        <v>-8899.2132500425541</v>
      </c>
      <c r="DN100" s="219">
        <f>DN99*((1+Summary!$L$61)^(1/12)-1)</f>
        <v>-8943.2033822220383</v>
      </c>
      <c r="DO100" s="219">
        <f>DO99*((1+Summary!$L$61)^(1/12)-1)</f>
        <v>-8987.5442978930041</v>
      </c>
      <c r="DP100" s="219">
        <f>DP99*((1+Summary!$L$61)^(1/12)-1)</f>
        <v>-9031.1689256066966</v>
      </c>
      <c r="DQ100" s="219">
        <f>DQ99*((1+Summary!$L$61)^(1/12)-1)</f>
        <v>-9075.1414222279345</v>
      </c>
      <c r="DR100" s="219">
        <f>DR99*((1+Summary!$L$61)^(1/12)-1)</f>
        <v>-9119.4645617122405</v>
      </c>
      <c r="DS100" s="219">
        <f>DS99*((1+Summary!$L$61)^(1/12)-1)</f>
        <v>-9163.3837620302165</v>
      </c>
      <c r="DT100" s="219">
        <f>DT99*((1+Summary!$L$61)^(1/12)-1)</f>
        <v>-9205.3810459045671</v>
      </c>
      <c r="DU100" s="219">
        <f>DU99*((1+Summary!$L$61)^(1/12)-1)</f>
        <v>-9247.7132220181629</v>
      </c>
      <c r="DV100" s="218">
        <f>DV99*((1+Summary!$L$61)^(1/12)-1)</f>
        <v>0</v>
      </c>
    </row>
    <row r="101" spans="1:162" s="36" customFormat="1" x14ac:dyDescent="0.2">
      <c r="A101" s="160"/>
      <c r="B101" s="220" t="s">
        <v>150</v>
      </c>
      <c r="C101" s="217"/>
      <c r="D101" s="218">
        <f>SUM(E101:DV101)</f>
        <v>-913956.35150699993</v>
      </c>
      <c r="E101" s="219">
        <f>-E95</f>
        <v>-913956.35150699993</v>
      </c>
      <c r="F101" s="219">
        <f>-F95</f>
        <v>0</v>
      </c>
      <c r="G101" s="219">
        <f>-G95</f>
        <v>0</v>
      </c>
      <c r="H101" s="219">
        <f t="shared" ref="H101:J101" si="82">-H95</f>
        <v>0</v>
      </c>
      <c r="I101" s="219">
        <f t="shared" si="82"/>
        <v>0</v>
      </c>
      <c r="J101" s="219">
        <f t="shared" si="82"/>
        <v>0</v>
      </c>
      <c r="K101" s="219">
        <f t="shared" ref="K101:BV101" si="83">-K95</f>
        <v>0</v>
      </c>
      <c r="L101" s="219">
        <f t="shared" si="83"/>
        <v>0</v>
      </c>
      <c r="M101" s="219">
        <f t="shared" si="83"/>
        <v>0</v>
      </c>
      <c r="N101" s="219">
        <f t="shared" si="83"/>
        <v>0</v>
      </c>
      <c r="O101" s="219">
        <f t="shared" si="83"/>
        <v>0</v>
      </c>
      <c r="P101" s="219">
        <f t="shared" si="83"/>
        <v>0</v>
      </c>
      <c r="Q101" s="219">
        <f t="shared" si="83"/>
        <v>0</v>
      </c>
      <c r="R101" s="219">
        <f t="shared" si="83"/>
        <v>0</v>
      </c>
      <c r="S101" s="219">
        <f t="shared" si="83"/>
        <v>0</v>
      </c>
      <c r="T101" s="219">
        <f t="shared" si="83"/>
        <v>0</v>
      </c>
      <c r="U101" s="219">
        <f t="shared" si="83"/>
        <v>0</v>
      </c>
      <c r="V101" s="219">
        <f t="shared" si="83"/>
        <v>0</v>
      </c>
      <c r="W101" s="219">
        <f t="shared" si="83"/>
        <v>0</v>
      </c>
      <c r="X101" s="219">
        <f t="shared" si="83"/>
        <v>0</v>
      </c>
      <c r="Y101" s="219">
        <f t="shared" si="83"/>
        <v>0</v>
      </c>
      <c r="Z101" s="219">
        <f t="shared" si="83"/>
        <v>0</v>
      </c>
      <c r="AA101" s="219">
        <f t="shared" si="83"/>
        <v>0</v>
      </c>
      <c r="AB101" s="219">
        <f t="shared" si="83"/>
        <v>0</v>
      </c>
      <c r="AC101" s="219">
        <f t="shared" si="83"/>
        <v>0</v>
      </c>
      <c r="AD101" s="219">
        <f t="shared" si="83"/>
        <v>0</v>
      </c>
      <c r="AE101" s="219">
        <f t="shared" si="83"/>
        <v>0</v>
      </c>
      <c r="AF101" s="219">
        <f t="shared" si="83"/>
        <v>0</v>
      </c>
      <c r="AG101" s="219">
        <f t="shared" si="83"/>
        <v>0</v>
      </c>
      <c r="AH101" s="219">
        <f t="shared" si="83"/>
        <v>0</v>
      </c>
      <c r="AI101" s="219">
        <f t="shared" si="83"/>
        <v>0</v>
      </c>
      <c r="AJ101" s="219">
        <f t="shared" si="83"/>
        <v>0</v>
      </c>
      <c r="AK101" s="219">
        <f t="shared" si="83"/>
        <v>0</v>
      </c>
      <c r="AL101" s="219">
        <f t="shared" si="83"/>
        <v>0</v>
      </c>
      <c r="AM101" s="219">
        <f t="shared" si="83"/>
        <v>0</v>
      </c>
      <c r="AN101" s="219">
        <f t="shared" si="83"/>
        <v>0</v>
      </c>
      <c r="AO101" s="219">
        <f t="shared" si="83"/>
        <v>0</v>
      </c>
      <c r="AP101" s="219">
        <f t="shared" si="83"/>
        <v>0</v>
      </c>
      <c r="AQ101" s="219">
        <f t="shared" si="83"/>
        <v>0</v>
      </c>
      <c r="AR101" s="219">
        <f t="shared" si="83"/>
        <v>0</v>
      </c>
      <c r="AS101" s="219">
        <f t="shared" si="83"/>
        <v>0</v>
      </c>
      <c r="AT101" s="219">
        <f t="shared" si="83"/>
        <v>0</v>
      </c>
      <c r="AU101" s="219">
        <f t="shared" si="83"/>
        <v>0</v>
      </c>
      <c r="AV101" s="219">
        <f t="shared" si="83"/>
        <v>0</v>
      </c>
      <c r="AW101" s="219">
        <f t="shared" si="83"/>
        <v>0</v>
      </c>
      <c r="AX101" s="219">
        <f t="shared" si="83"/>
        <v>0</v>
      </c>
      <c r="AY101" s="219">
        <f t="shared" si="83"/>
        <v>0</v>
      </c>
      <c r="AZ101" s="219">
        <f t="shared" si="83"/>
        <v>0</v>
      </c>
      <c r="BA101" s="219">
        <f t="shared" si="83"/>
        <v>0</v>
      </c>
      <c r="BB101" s="219">
        <f t="shared" si="83"/>
        <v>0</v>
      </c>
      <c r="BC101" s="219">
        <f t="shared" si="83"/>
        <v>0</v>
      </c>
      <c r="BD101" s="219">
        <f t="shared" si="83"/>
        <v>0</v>
      </c>
      <c r="BE101" s="219">
        <f t="shared" si="83"/>
        <v>0</v>
      </c>
      <c r="BF101" s="219">
        <f t="shared" si="83"/>
        <v>0</v>
      </c>
      <c r="BG101" s="219">
        <f t="shared" si="83"/>
        <v>0</v>
      </c>
      <c r="BH101" s="219">
        <f t="shared" si="83"/>
        <v>0</v>
      </c>
      <c r="BI101" s="219">
        <f t="shared" si="83"/>
        <v>0</v>
      </c>
      <c r="BJ101" s="219">
        <f t="shared" si="83"/>
        <v>0</v>
      </c>
      <c r="BK101" s="219">
        <f t="shared" si="83"/>
        <v>0</v>
      </c>
      <c r="BL101" s="219">
        <f t="shared" si="83"/>
        <v>0</v>
      </c>
      <c r="BM101" s="219">
        <f t="shared" si="83"/>
        <v>0</v>
      </c>
      <c r="BN101" s="219">
        <f t="shared" si="83"/>
        <v>0</v>
      </c>
      <c r="BO101" s="219">
        <f t="shared" si="83"/>
        <v>0</v>
      </c>
      <c r="BP101" s="219">
        <f t="shared" si="83"/>
        <v>0</v>
      </c>
      <c r="BQ101" s="219">
        <f t="shared" si="83"/>
        <v>0</v>
      </c>
      <c r="BR101" s="219">
        <f t="shared" si="83"/>
        <v>0</v>
      </c>
      <c r="BS101" s="219">
        <f t="shared" si="83"/>
        <v>0</v>
      </c>
      <c r="BT101" s="219">
        <f t="shared" si="83"/>
        <v>0</v>
      </c>
      <c r="BU101" s="219">
        <f t="shared" si="83"/>
        <v>0</v>
      </c>
      <c r="BV101" s="219">
        <f t="shared" si="83"/>
        <v>0</v>
      </c>
      <c r="BW101" s="219">
        <f t="shared" ref="BW101:DV101" si="84">-BW95</f>
        <v>0</v>
      </c>
      <c r="BX101" s="219">
        <f t="shared" si="84"/>
        <v>0</v>
      </c>
      <c r="BY101" s="219">
        <f t="shared" si="84"/>
        <v>0</v>
      </c>
      <c r="BZ101" s="219">
        <f t="shared" si="84"/>
        <v>0</v>
      </c>
      <c r="CA101" s="219">
        <f t="shared" si="84"/>
        <v>0</v>
      </c>
      <c r="CB101" s="219">
        <f t="shared" si="84"/>
        <v>0</v>
      </c>
      <c r="CC101" s="219">
        <f t="shared" si="84"/>
        <v>0</v>
      </c>
      <c r="CD101" s="219">
        <f t="shared" si="84"/>
        <v>0</v>
      </c>
      <c r="CE101" s="219">
        <f t="shared" si="84"/>
        <v>0</v>
      </c>
      <c r="CF101" s="219">
        <f t="shared" si="84"/>
        <v>0</v>
      </c>
      <c r="CG101" s="219">
        <f t="shared" si="84"/>
        <v>0</v>
      </c>
      <c r="CH101" s="219">
        <f t="shared" si="84"/>
        <v>0</v>
      </c>
      <c r="CI101" s="219">
        <f t="shared" si="84"/>
        <v>0</v>
      </c>
      <c r="CJ101" s="219">
        <f t="shared" si="84"/>
        <v>0</v>
      </c>
      <c r="CK101" s="219">
        <f t="shared" si="84"/>
        <v>0</v>
      </c>
      <c r="CL101" s="219">
        <f t="shared" si="84"/>
        <v>0</v>
      </c>
      <c r="CM101" s="219">
        <f t="shared" si="84"/>
        <v>0</v>
      </c>
      <c r="CN101" s="219">
        <f t="shared" si="84"/>
        <v>0</v>
      </c>
      <c r="CO101" s="219">
        <f t="shared" si="84"/>
        <v>0</v>
      </c>
      <c r="CP101" s="219">
        <f t="shared" si="84"/>
        <v>0</v>
      </c>
      <c r="CQ101" s="219">
        <f t="shared" si="84"/>
        <v>0</v>
      </c>
      <c r="CR101" s="219">
        <f t="shared" si="84"/>
        <v>0</v>
      </c>
      <c r="CS101" s="219">
        <f t="shared" si="84"/>
        <v>0</v>
      </c>
      <c r="CT101" s="219">
        <f t="shared" si="84"/>
        <v>0</v>
      </c>
      <c r="CU101" s="219">
        <f t="shared" si="84"/>
        <v>0</v>
      </c>
      <c r="CV101" s="219">
        <f t="shared" si="84"/>
        <v>0</v>
      </c>
      <c r="CW101" s="219">
        <f t="shared" si="84"/>
        <v>0</v>
      </c>
      <c r="CX101" s="219">
        <f t="shared" si="84"/>
        <v>0</v>
      </c>
      <c r="CY101" s="219">
        <f t="shared" si="84"/>
        <v>0</v>
      </c>
      <c r="CZ101" s="219">
        <f t="shared" si="84"/>
        <v>0</v>
      </c>
      <c r="DA101" s="219">
        <f t="shared" si="84"/>
        <v>0</v>
      </c>
      <c r="DB101" s="219">
        <f t="shared" si="84"/>
        <v>0</v>
      </c>
      <c r="DC101" s="219">
        <f t="shared" si="84"/>
        <v>0</v>
      </c>
      <c r="DD101" s="219">
        <f t="shared" si="84"/>
        <v>0</v>
      </c>
      <c r="DE101" s="219">
        <f t="shared" si="84"/>
        <v>0</v>
      </c>
      <c r="DF101" s="219">
        <f t="shared" si="84"/>
        <v>0</v>
      </c>
      <c r="DG101" s="219">
        <f t="shared" si="84"/>
        <v>0</v>
      </c>
      <c r="DH101" s="219">
        <f t="shared" si="84"/>
        <v>0</v>
      </c>
      <c r="DI101" s="219">
        <f t="shared" si="84"/>
        <v>0</v>
      </c>
      <c r="DJ101" s="219">
        <f t="shared" si="84"/>
        <v>0</v>
      </c>
      <c r="DK101" s="219">
        <f t="shared" si="84"/>
        <v>0</v>
      </c>
      <c r="DL101" s="219">
        <f t="shared" si="84"/>
        <v>0</v>
      </c>
      <c r="DM101" s="219">
        <f t="shared" si="84"/>
        <v>0</v>
      </c>
      <c r="DN101" s="219">
        <f t="shared" si="84"/>
        <v>0</v>
      </c>
      <c r="DO101" s="219">
        <f t="shared" si="84"/>
        <v>0</v>
      </c>
      <c r="DP101" s="219">
        <f t="shared" si="84"/>
        <v>0</v>
      </c>
      <c r="DQ101" s="219">
        <f t="shared" si="84"/>
        <v>0</v>
      </c>
      <c r="DR101" s="219">
        <f t="shared" si="84"/>
        <v>0</v>
      </c>
      <c r="DS101" s="219">
        <f t="shared" si="84"/>
        <v>0</v>
      </c>
      <c r="DT101" s="219">
        <f t="shared" si="84"/>
        <v>0</v>
      </c>
      <c r="DU101" s="219">
        <f t="shared" si="84"/>
        <v>0</v>
      </c>
      <c r="DV101" s="218">
        <f t="shared" si="84"/>
        <v>0</v>
      </c>
    </row>
    <row r="102" spans="1:162" s="36" customFormat="1" x14ac:dyDescent="0.2">
      <c r="A102" s="160"/>
      <c r="B102" s="220" t="s">
        <v>155</v>
      </c>
      <c r="C102" s="217"/>
      <c r="D102" s="218">
        <f>SUM(E102:DV102)</f>
        <v>1782746.2060586507</v>
      </c>
      <c r="E102" s="221">
        <f>MAX(E89,0)*Summary!$P$61</f>
        <v>0</v>
      </c>
      <c r="F102" s="221">
        <f>MAX(F89,0)*Summary!$P$61</f>
        <v>0</v>
      </c>
      <c r="G102" s="221">
        <f>MAX(G89,0)*Summary!$P$61</f>
        <v>0</v>
      </c>
      <c r="H102" s="221">
        <f>MAX(H89,0)*Summary!$P$61</f>
        <v>0</v>
      </c>
      <c r="I102" s="221">
        <f>MAX(I89,0)*Summary!$P$61</f>
        <v>0</v>
      </c>
      <c r="J102" s="221">
        <f>MAX(J89,0)*Summary!$P$61</f>
        <v>0</v>
      </c>
      <c r="K102" s="221">
        <f>MAX(K89,0)*Summary!$P$61</f>
        <v>0</v>
      </c>
      <c r="L102" s="221">
        <f>MAX(L89,0)*Summary!$P$61</f>
        <v>0</v>
      </c>
      <c r="M102" s="221">
        <f>MAX(M89,0)*Summary!$P$61</f>
        <v>0</v>
      </c>
      <c r="N102" s="221">
        <f>MAX(N89,0)*Summary!$P$61</f>
        <v>0</v>
      </c>
      <c r="O102" s="221">
        <f>MAX(O89,0)*Summary!$P$61</f>
        <v>0</v>
      </c>
      <c r="P102" s="221">
        <f>MAX(P89,0)*Summary!$P$61</f>
        <v>0</v>
      </c>
      <c r="Q102" s="221">
        <f>MAX(Q89,0)*Summary!$P$61</f>
        <v>0</v>
      </c>
      <c r="R102" s="221">
        <f>MAX(R89,0)*Summary!$P$61</f>
        <v>0</v>
      </c>
      <c r="S102" s="221">
        <f>MAX(S89,0)*Summary!$P$61</f>
        <v>0</v>
      </c>
      <c r="T102" s="221">
        <f>MAX(T89,0)*Summary!$P$61</f>
        <v>0</v>
      </c>
      <c r="U102" s="221">
        <f>MAX(U89,0)*Summary!$P$61</f>
        <v>0</v>
      </c>
      <c r="V102" s="221">
        <f>MAX(V89,0)*Summary!$P$61</f>
        <v>0</v>
      </c>
      <c r="W102" s="221">
        <f>MAX(W89,0)*Summary!$P$61</f>
        <v>0</v>
      </c>
      <c r="X102" s="221">
        <f>MAX(X89,0)*Summary!$P$61</f>
        <v>6170.625</v>
      </c>
      <c r="Y102" s="221">
        <f>MAX(Y89,0)*Summary!$P$61</f>
        <v>6170.625</v>
      </c>
      <c r="Z102" s="221">
        <f>MAX(Z89,0)*Summary!$P$61</f>
        <v>440994.65615958127</v>
      </c>
      <c r="AA102" s="221">
        <f>MAX(AA89,0)*Summary!$P$61</f>
        <v>0</v>
      </c>
      <c r="AB102" s="221">
        <f>MAX(AB89,0)*Summary!$P$61</f>
        <v>0</v>
      </c>
      <c r="AC102" s="221">
        <f>MAX(AC89,0)*Summary!$P$61</f>
        <v>0</v>
      </c>
      <c r="AD102" s="221">
        <f>MAX(AD89,0)*Summary!$P$61</f>
        <v>0</v>
      </c>
      <c r="AE102" s="221">
        <f>MAX(AE89,0)*Summary!$P$61</f>
        <v>0</v>
      </c>
      <c r="AF102" s="221">
        <f>MAX(AF89,0)*Summary!$P$61</f>
        <v>0</v>
      </c>
      <c r="AG102" s="221">
        <f>MAX(AG89,0)*Summary!$P$61</f>
        <v>0</v>
      </c>
      <c r="AH102" s="221">
        <f>MAX(AH89,0)*Summary!$P$61</f>
        <v>0</v>
      </c>
      <c r="AI102" s="221">
        <f>MAX(AI89,0)*Summary!$P$61</f>
        <v>44.063333581470943</v>
      </c>
      <c r="AJ102" s="221">
        <f>MAX(AJ89,0)*Summary!$P$61</f>
        <v>44.063333581470943</v>
      </c>
      <c r="AK102" s="221">
        <f>MAX(AK89,0)*Summary!$P$61</f>
        <v>44.063333581470943</v>
      </c>
      <c r="AL102" s="221">
        <f>MAX(AL89,0)*Summary!$P$61</f>
        <v>111.56333358147094</v>
      </c>
      <c r="AM102" s="221">
        <f>MAX(AM89,0)*Summary!$P$61</f>
        <v>314.06333358147094</v>
      </c>
      <c r="AN102" s="221">
        <f>MAX(AN89,0)*Summary!$P$61</f>
        <v>314.06333358147094</v>
      </c>
      <c r="AO102" s="221">
        <f>MAX(AO89,0)*Summary!$P$61</f>
        <v>261.39814608147157</v>
      </c>
      <c r="AP102" s="221">
        <f>MAX(AP89,0)*Summary!$P$61</f>
        <v>261.39814608147157</v>
      </c>
      <c r="AQ102" s="221">
        <f>MAX(AQ89,0)*Summary!$P$61</f>
        <v>261.39814608147157</v>
      </c>
      <c r="AR102" s="221">
        <f>MAX(AR89,0)*Summary!$P$61</f>
        <v>367.71064608147157</v>
      </c>
      <c r="AS102" s="221">
        <f>MAX(AS89,0)*Summary!$P$61</f>
        <v>367.71064608147157</v>
      </c>
      <c r="AT102" s="221">
        <f>MAX(AT89,0)*Summary!$P$61</f>
        <v>367.71064608147157</v>
      </c>
      <c r="AU102" s="221">
        <f>MAX(AU89,0)*Summary!$P$61</f>
        <v>467.07064608147124</v>
      </c>
      <c r="AV102" s="221">
        <f>MAX(AV89,0)*Summary!$P$61</f>
        <v>467.07064608147124</v>
      </c>
      <c r="AW102" s="221">
        <f>MAX(AW89,0)*Summary!$P$61</f>
        <v>467.07064608147124</v>
      </c>
      <c r="AX102" s="221">
        <f>MAX(AX89,0)*Summary!$P$61</f>
        <v>537.94564608147118</v>
      </c>
      <c r="AY102" s="221">
        <f>MAX(AY89,0)*Summary!$P$61</f>
        <v>750.57064608147118</v>
      </c>
      <c r="AZ102" s="221">
        <f>MAX(AZ89,0)*Summary!$P$61</f>
        <v>750.57064608147118</v>
      </c>
      <c r="BA102" s="221">
        <f>MAX(BA89,0)*Summary!$P$61</f>
        <v>696.32550295647059</v>
      </c>
      <c r="BB102" s="221">
        <f>MAX(BB89,0)*Summary!$P$61</f>
        <v>696.32550295647059</v>
      </c>
      <c r="BC102" s="221">
        <f>MAX(BC89,0)*Summary!$P$61</f>
        <v>696.32550295647059</v>
      </c>
      <c r="BD102" s="221">
        <f>MAX(BD89,0)*Summary!$P$61</f>
        <v>807.95362795647054</v>
      </c>
      <c r="BE102" s="221">
        <f>MAX(BE89,0)*Summary!$P$61</f>
        <v>807.95362795647054</v>
      </c>
      <c r="BF102" s="221">
        <f>MAX(BF89,0)*Summary!$P$61</f>
        <v>807.95362795647054</v>
      </c>
      <c r="BG102" s="221">
        <f>MAX(BG89,0)*Summary!$P$61</f>
        <v>912.42067795647108</v>
      </c>
      <c r="BH102" s="221">
        <f>MAX(BH89,0)*Summary!$P$61</f>
        <v>912.42067795647108</v>
      </c>
      <c r="BI102" s="221">
        <f>MAX(BI89,0)*Summary!$P$61</f>
        <v>912.42067795647108</v>
      </c>
      <c r="BJ102" s="221">
        <f>MAX(BJ89,0)*Summary!$P$61</f>
        <v>986.83942795647113</v>
      </c>
      <c r="BK102" s="221">
        <f>MAX(BK89,0)*Summary!$P$61</f>
        <v>1210.0956779564729</v>
      </c>
      <c r="BL102" s="221">
        <f>MAX(BL89,0)*Summary!$P$61</f>
        <v>1210.0956779564729</v>
      </c>
      <c r="BM102" s="221">
        <f>MAX(BM89,0)*Summary!$P$61</f>
        <v>1154.2231805377219</v>
      </c>
      <c r="BN102" s="221">
        <f>MAX(BN89,0)*Summary!$P$61</f>
        <v>1154.2231805377219</v>
      </c>
      <c r="BO102" s="221">
        <f>MAX(BO89,0)*Summary!$P$61</f>
        <v>1154.2231805377219</v>
      </c>
      <c r="BP102" s="221">
        <f>MAX(BP89,0)*Summary!$P$61</f>
        <v>1271.4327117877206</v>
      </c>
      <c r="BQ102" s="221">
        <f>MAX(BQ89,0)*Summary!$P$61</f>
        <v>1271.4327117877206</v>
      </c>
      <c r="BR102" s="221">
        <f>MAX(BR89,0)*Summary!$P$61</f>
        <v>1271.4327117877206</v>
      </c>
      <c r="BS102" s="221">
        <f>MAX(BS89,0)*Summary!$P$61</f>
        <v>1381.2663357877225</v>
      </c>
      <c r="BT102" s="221">
        <f>MAX(BT89,0)*Summary!$P$61</f>
        <v>1381.2663357877225</v>
      </c>
      <c r="BU102" s="221">
        <f>MAX(BU89,0)*Summary!$P$61</f>
        <v>1381.2663357877225</v>
      </c>
      <c r="BV102" s="221">
        <f>MAX(BV89,0)*Summary!$P$61</f>
        <v>1459.4060232877237</v>
      </c>
      <c r="BW102" s="221">
        <f>MAX(BW89,0)*Summary!$P$61</f>
        <v>1693.8250857877226</v>
      </c>
      <c r="BX102" s="221">
        <f>MAX(BX89,0)*Summary!$P$61</f>
        <v>1693.8250857877226</v>
      </c>
      <c r="BY102" s="221">
        <f>MAX(BY89,0)*Summary!$P$61</f>
        <v>1636.2764134464094</v>
      </c>
      <c r="BZ102" s="221">
        <f>MAX(BZ89,0)*Summary!$P$61</f>
        <v>1636.2764134464094</v>
      </c>
      <c r="CA102" s="221">
        <f>MAX(CA89,0)*Summary!$P$61</f>
        <v>1636.2764134464094</v>
      </c>
      <c r="CB102" s="221">
        <f>MAX(CB89,0)*Summary!$P$61</f>
        <v>1759.3464212589095</v>
      </c>
      <c r="CC102" s="221">
        <f>MAX(CC89,0)*Summary!$P$61</f>
        <v>1759.3464212589095</v>
      </c>
      <c r="CD102" s="221">
        <f>MAX(CD89,0)*Summary!$P$61</f>
        <v>1759.3464212589095</v>
      </c>
      <c r="CE102" s="221">
        <f>MAX(CE89,0)*Summary!$P$61</f>
        <v>1874.8192446039106</v>
      </c>
      <c r="CF102" s="221">
        <f>MAX(CF89,0)*Summary!$P$61</f>
        <v>1874.8192446039106</v>
      </c>
      <c r="CG102" s="221">
        <f>MAX(CG89,0)*Summary!$P$61</f>
        <v>1874.8192446039106</v>
      </c>
      <c r="CH102" s="221">
        <f>MAX(CH89,0)*Summary!$P$61</f>
        <v>1956.8659164789096</v>
      </c>
      <c r="CI102" s="221">
        <f>MAX(CI89,0)*Summary!$P$61</f>
        <v>2203.0059321039103</v>
      </c>
      <c r="CJ102" s="221">
        <f>MAX(CJ89,0)*Summary!$P$61</f>
        <v>2203.0059321039103</v>
      </c>
      <c r="CK102" s="221">
        <f>MAX(CK89,0)*Summary!$P$61</f>
        <v>2143.7307995923579</v>
      </c>
      <c r="CL102" s="221">
        <f>MAX(CL89,0)*Summary!$P$61</f>
        <v>2143.7307995923579</v>
      </c>
      <c r="CM102" s="221">
        <f>MAX(CM89,0)*Summary!$P$61</f>
        <v>2143.7307995923579</v>
      </c>
      <c r="CN102" s="221">
        <f>MAX(CN89,0)*Summary!$P$61</f>
        <v>2272.9543077954831</v>
      </c>
      <c r="CO102" s="221">
        <f>MAX(CO89,0)*Summary!$P$61</f>
        <v>2272.9543077954831</v>
      </c>
      <c r="CP102" s="221">
        <f>MAX(CP89,0)*Summary!$P$61</f>
        <v>2272.9543077954831</v>
      </c>
      <c r="CQ102" s="221">
        <f>MAX(CQ89,0)*Summary!$P$61</f>
        <v>2394.3527159970836</v>
      </c>
      <c r="CR102" s="221">
        <f>MAX(CR89,0)*Summary!$P$61</f>
        <v>2394.3527159970836</v>
      </c>
      <c r="CS102" s="221">
        <f>MAX(CS89,0)*Summary!$P$61</f>
        <v>2394.3527159970836</v>
      </c>
      <c r="CT102" s="221">
        <f>MAX(CT89,0)*Summary!$P$61</f>
        <v>2480.5017214658324</v>
      </c>
      <c r="CU102" s="221">
        <f>MAX(CU89,0)*Summary!$P$61</f>
        <v>2738.9487378720823</v>
      </c>
      <c r="CV102" s="221">
        <f>MAX(CV89,0)*Summary!$P$61</f>
        <v>2738.9487378720823</v>
      </c>
      <c r="CW102" s="221">
        <f>MAX(CW89,0)*Summary!$P$61</f>
        <v>2677.8953513851848</v>
      </c>
      <c r="CX102" s="221">
        <f>MAX(CX89,0)*Summary!$P$61</f>
        <v>2677.8953513851848</v>
      </c>
      <c r="CY102" s="221">
        <f>MAX(CY89,0)*Summary!$P$61</f>
        <v>2677.8953513851848</v>
      </c>
      <c r="CZ102" s="221">
        <f>MAX(CZ89,0)*Summary!$P$61</f>
        <v>2813.5800349984656</v>
      </c>
      <c r="DA102" s="221">
        <f>MAX(DA89,0)*Summary!$P$61</f>
        <v>2813.5800349984656</v>
      </c>
      <c r="DB102" s="221">
        <f>MAX(DB89,0)*Summary!$P$61</f>
        <v>2813.5800349984656</v>
      </c>
      <c r="DC102" s="221">
        <f>MAX(DC89,0)*Summary!$P$61</f>
        <v>2941.2048656101765</v>
      </c>
      <c r="DD102" s="221">
        <f>MAX(DD89,0)*Summary!$P$61</f>
        <v>2941.2048656101765</v>
      </c>
      <c r="DE102" s="221">
        <f>MAX(DE89,0)*Summary!$P$61</f>
        <v>2941.2048656101765</v>
      </c>
      <c r="DF102" s="221">
        <f>MAX(DF89,0)*Summary!$P$61</f>
        <v>3031.6613213523628</v>
      </c>
      <c r="DG102" s="221">
        <f>MAX(DG89,0)*Summary!$P$61</f>
        <v>3303.0306885789278</v>
      </c>
      <c r="DH102" s="221">
        <f>MAX(DH89,0)*Summary!$P$61</f>
        <v>3303.0306885789278</v>
      </c>
      <c r="DI102" s="221">
        <f>MAX(DI89,0)*Summary!$P$61</f>
        <v>3240.1457004974227</v>
      </c>
      <c r="DJ102" s="221">
        <f>MAX(DJ89,0)*Summary!$P$61</f>
        <v>3240.1457004974227</v>
      </c>
      <c r="DK102" s="221">
        <f>MAX(DK89,0)*Summary!$P$61</f>
        <v>3240.1457004974227</v>
      </c>
      <c r="DL102" s="221">
        <f>MAX(DL89,0)*Summary!$P$61</f>
        <v>3382.6146182913685</v>
      </c>
      <c r="DM102" s="221">
        <f>MAX(DM89,0)*Summary!$P$61</f>
        <v>3382.6146182913685</v>
      </c>
      <c r="DN102" s="221">
        <f>MAX(DN89,0)*Summary!$P$61</f>
        <v>3382.6146182913685</v>
      </c>
      <c r="DO102" s="221">
        <f>MAX(DO89,0)*Summary!$P$61</f>
        <v>3516.7818874936956</v>
      </c>
      <c r="DP102" s="221">
        <f>MAX(DP89,0)*Summary!$P$61</f>
        <v>3516.7818874936956</v>
      </c>
      <c r="DQ102" s="221">
        <f>MAX(DQ89,0)*Summary!$P$61</f>
        <v>3516.7818874936956</v>
      </c>
      <c r="DR102" s="221">
        <f>MAX(DR89,0)*Summary!$P$61</f>
        <v>3611.7611660229923</v>
      </c>
      <c r="DS102" s="221">
        <f>MAX(DS89,0)*Summary!$P$61</f>
        <v>3896.6990016108821</v>
      </c>
      <c r="DT102" s="221">
        <f>MAX(DT89,0)*Summary!$P$61</f>
        <v>3896.6990016108821</v>
      </c>
      <c r="DU102" s="221">
        <f>-(DU99+DU100)</f>
        <v>1168960.5756263591</v>
      </c>
      <c r="DV102" s="267">
        <f>MAX(DV89,0)*Summary!$P$61</f>
        <v>0</v>
      </c>
    </row>
    <row r="103" spans="1:162" s="36" customFormat="1" x14ac:dyDescent="0.2">
      <c r="A103" s="160"/>
      <c r="B103" s="220" t="s">
        <v>156</v>
      </c>
      <c r="C103" s="222"/>
      <c r="D103" s="223"/>
      <c r="E103" s="224">
        <f t="shared" ref="E103:L103" si="85">E99+E100+E101+E102</f>
        <v>-913956.35150699993</v>
      </c>
      <c r="F103" s="224">
        <f t="shared" si="85"/>
        <v>-921244.36779980524</v>
      </c>
      <c r="G103" s="224">
        <f t="shared" si="85"/>
        <v>-928590.49975797755</v>
      </c>
      <c r="H103" s="224">
        <f t="shared" si="85"/>
        <v>-935995.21080399363</v>
      </c>
      <c r="I103" s="224">
        <f t="shared" si="85"/>
        <v>-943458.96805572603</v>
      </c>
      <c r="J103" s="224">
        <f t="shared" si="85"/>
        <v>-950982.24235591106</v>
      </c>
      <c r="K103" s="224">
        <f t="shared" si="85"/>
        <v>-958565.50830185087</v>
      </c>
      <c r="L103" s="224">
        <f t="shared" si="85"/>
        <v>-966209.24427535338</v>
      </c>
      <c r="M103" s="224">
        <f t="shared" ref="M103:BX103" si="86">M99+M100+M101+M102</f>
        <v>-973913.93247291003</v>
      </c>
      <c r="N103" s="224">
        <f t="shared" si="86"/>
        <v>-981680.05893611489</v>
      </c>
      <c r="O103" s="224">
        <f t="shared" si="86"/>
        <v>-989508.11358232598</v>
      </c>
      <c r="P103" s="224">
        <f t="shared" si="86"/>
        <v>-997398.59023557114</v>
      </c>
      <c r="Q103" s="224">
        <f t="shared" si="86"/>
        <v>-1005351.9866577003</v>
      </c>
      <c r="R103" s="224">
        <f t="shared" si="86"/>
        <v>-1013368.8045797861</v>
      </c>
      <c r="S103" s="224">
        <f t="shared" si="86"/>
        <v>-1021449.5497337757</v>
      </c>
      <c r="T103" s="224">
        <f t="shared" si="86"/>
        <v>-1029594.7318843933</v>
      </c>
      <c r="U103" s="224">
        <f t="shared" si="86"/>
        <v>-1037804.8648612989</v>
      </c>
      <c r="V103" s="224">
        <f t="shared" si="86"/>
        <v>-1046080.4665915024</v>
      </c>
      <c r="W103" s="224">
        <f t="shared" si="86"/>
        <v>-1054422.0591320363</v>
      </c>
      <c r="X103" s="224">
        <f t="shared" si="86"/>
        <v>-1056659.543702889</v>
      </c>
      <c r="Y103" s="224">
        <f>Y99+Y100+Y101+Y102</f>
        <v>-1058914.8702899171</v>
      </c>
      <c r="Z103" s="224">
        <f t="shared" si="86"/>
        <v>-626364.15000828204</v>
      </c>
      <c r="AA103" s="224">
        <f t="shared" si="86"/>
        <v>-631358.86570007901</v>
      </c>
      <c r="AB103" s="224">
        <f t="shared" si="86"/>
        <v>-636393.40995620482</v>
      </c>
      <c r="AC103" s="224">
        <f t="shared" si="86"/>
        <v>-641468.10037522449</v>
      </c>
      <c r="AD103" s="224">
        <f t="shared" si="86"/>
        <v>-646583.25708827865</v>
      </c>
      <c r="AE103" s="224">
        <f t="shared" si="86"/>
        <v>-651739.20277927862</v>
      </c>
      <c r="AF103" s="224">
        <f t="shared" si="86"/>
        <v>-656936.2627052624</v>
      </c>
      <c r="AG103" s="224">
        <f t="shared" si="86"/>
        <v>-662174.76471691334</v>
      </c>
      <c r="AH103" s="224">
        <f t="shared" si="86"/>
        <v>-667455.03927924228</v>
      </c>
      <c r="AI103" s="224">
        <f t="shared" si="86"/>
        <v>-672733.35615885304</v>
      </c>
      <c r="AJ103" s="224">
        <f t="shared" si="86"/>
        <v>-678053.76307849004</v>
      </c>
      <c r="AK103" s="224">
        <f t="shared" si="86"/>
        <v>-683416.59567004314</v>
      </c>
      <c r="AL103" s="224">
        <f t="shared" si="86"/>
        <v>-688754.69224177802</v>
      </c>
      <c r="AM103" s="224">
        <f t="shared" si="86"/>
        <v>-693932.85554519889</v>
      </c>
      <c r="AN103" s="224">
        <f t="shared" si="86"/>
        <v>-699152.31024996506</v>
      </c>
      <c r="AO103" s="224">
        <f t="shared" si="86"/>
        <v>-704466.05080700933</v>
      </c>
      <c r="AP103" s="224">
        <f t="shared" si="86"/>
        <v>-709822.1638774582</v>
      </c>
      <c r="AQ103" s="224">
        <f t="shared" si="86"/>
        <v>-715220.98734568385</v>
      </c>
      <c r="AR103" s="224">
        <f t="shared" si="86"/>
        <v>-720556.54929039604</v>
      </c>
      <c r="AS103" s="224">
        <f t="shared" si="86"/>
        <v>-725934.65775532252</v>
      </c>
      <c r="AT103" s="224">
        <f t="shared" si="86"/>
        <v>-731355.6520123902</v>
      </c>
      <c r="AU103" s="224">
        <f t="shared" si="86"/>
        <v>-736720.51403892797</v>
      </c>
      <c r="AV103" s="224">
        <f t="shared" si="86"/>
        <v>-742128.1562286471</v>
      </c>
      <c r="AW103" s="224">
        <f t="shared" si="86"/>
        <v>-747578.91971657635</v>
      </c>
      <c r="AX103" s="224">
        <f t="shared" si="86"/>
        <v>-753002.273358003</v>
      </c>
      <c r="AY103" s="224">
        <f t="shared" si="86"/>
        <v>-758256.24858296209</v>
      </c>
      <c r="AZ103" s="224">
        <f t="shared" si="86"/>
        <v>-763552.11974417488</v>
      </c>
      <c r="BA103" s="224">
        <f t="shared" si="86"/>
        <v>-768944.46606884559</v>
      </c>
      <c r="BB103" s="224">
        <f t="shared" si="86"/>
        <v>-774379.81172035052</v>
      </c>
      <c r="BC103" s="224">
        <f t="shared" si="86"/>
        <v>-779858.49958136014</v>
      </c>
      <c r="BD103" s="224">
        <f t="shared" si="86"/>
        <v>-785269.2471437396</v>
      </c>
      <c r="BE103" s="224">
        <f t="shared" si="86"/>
        <v>-790723.1407670069</v>
      </c>
      <c r="BF103" s="224">
        <f t="shared" si="86"/>
        <v>-796220.52450391045</v>
      </c>
      <c r="BG103" s="224">
        <f t="shared" si="86"/>
        <v>-801657.27810072363</v>
      </c>
      <c r="BH103" s="224">
        <f t="shared" si="86"/>
        <v>-807137.38513419509</v>
      </c>
      <c r="BI103" s="224">
        <f t="shared" si="86"/>
        <v>-812661.19131071691</v>
      </c>
      <c r="BJ103" s="224">
        <f t="shared" si="86"/>
        <v>-818154.6263433923</v>
      </c>
      <c r="BK103" s="224">
        <f t="shared" si="86"/>
        <v>-823468.61054845527</v>
      </c>
      <c r="BL103" s="224">
        <f t="shared" si="86"/>
        <v>-828824.96920980641</v>
      </c>
      <c r="BM103" s="224">
        <f t="shared" si="86"/>
        <v>-834279.91272472951</v>
      </c>
      <c r="BN103" s="224">
        <f t="shared" si="86"/>
        <v>-839778.35472527239</v>
      </c>
      <c r="BO103" s="224">
        <f t="shared" si="86"/>
        <v>-845320.64207446773</v>
      </c>
      <c r="BP103" s="224">
        <f t="shared" si="86"/>
        <v>-850789.91487003292</v>
      </c>
      <c r="BQ103" s="224">
        <f t="shared" si="86"/>
        <v>-856302.80041491392</v>
      </c>
      <c r="BR103" s="224">
        <f t="shared" si="86"/>
        <v>-861859.64648329827</v>
      </c>
      <c r="BS103" s="224">
        <f t="shared" si="86"/>
        <v>-867350.96999857377</v>
      </c>
      <c r="BT103" s="224">
        <f t="shared" si="86"/>
        <v>-872886.08209870057</v>
      </c>
      <c r="BU103" s="224">
        <f t="shared" si="86"/>
        <v>-878465.33196000347</v>
      </c>
      <c r="BV103" s="224">
        <f t="shared" si="86"/>
        <v>-884010.93185568845</v>
      </c>
      <c r="BW103" s="224">
        <f t="shared" si="86"/>
        <v>-889366.33408120414</v>
      </c>
      <c r="BX103" s="224">
        <f t="shared" si="86"/>
        <v>-894764.44103611936</v>
      </c>
      <c r="BY103" s="224">
        <f t="shared" ref="BY103:DV103" si="87">BY99+BY100+BY101+BY102</f>
        <v>-900263.14192628453</v>
      </c>
      <c r="BZ103" s="224">
        <f t="shared" si="87"/>
        <v>-905805.69022952439</v>
      </c>
      <c r="CA103" s="224">
        <f t="shared" si="87"/>
        <v>-911392.43559126835</v>
      </c>
      <c r="CB103" s="224">
        <f t="shared" si="87"/>
        <v>-916900.66043725493</v>
      </c>
      <c r="CC103" s="224">
        <f t="shared" si="87"/>
        <v>-922452.80864167737</v>
      </c>
      <c r="CD103" s="224">
        <f t="shared" si="87"/>
        <v>-928049.23045556387</v>
      </c>
      <c r="CE103" s="224">
        <f t="shared" si="87"/>
        <v>-933574.8060995487</v>
      </c>
      <c r="CF103" s="224">
        <f t="shared" si="87"/>
        <v>-939144.44345966924</v>
      </c>
      <c r="CG103" s="224">
        <f t="shared" si="87"/>
        <v>-944758.49389023741</v>
      </c>
      <c r="CH103" s="224">
        <f t="shared" si="87"/>
        <v>-950335.26487543888</v>
      </c>
      <c r="CI103" s="224">
        <f t="shared" si="87"/>
        <v>-955710.36579999118</v>
      </c>
      <c r="CJ103" s="224">
        <f t="shared" si="87"/>
        <v>-961128.32853413536</v>
      </c>
      <c r="CK103" s="224">
        <f t="shared" si="87"/>
        <v>-966648.76999647182</v>
      </c>
      <c r="CL103" s="224">
        <f t="shared" si="87"/>
        <v>-972213.23223425844</v>
      </c>
      <c r="CM103" s="224">
        <f t="shared" si="87"/>
        <v>-977822.0662753405</v>
      </c>
      <c r="CN103" s="224">
        <f t="shared" si="87"/>
        <v>-983346.40243850544</v>
      </c>
      <c r="CO103" s="224">
        <f t="shared" si="87"/>
        <v>-988914.79043401184</v>
      </c>
      <c r="CP103" s="224">
        <f t="shared" si="87"/>
        <v>-994527.58153735707</v>
      </c>
      <c r="CQ103" s="224">
        <f t="shared" si="87"/>
        <v>-1000063.731416957</v>
      </c>
      <c r="CR103" s="224">
        <f t="shared" si="87"/>
        <v>-1005644.0273331322</v>
      </c>
      <c r="CS103" s="224">
        <f t="shared" si="87"/>
        <v>-1011268.8213125779</v>
      </c>
      <c r="CT103" s="224">
        <f t="shared" si="87"/>
        <v>-1016852.3191836305</v>
      </c>
      <c r="CU103" s="224">
        <f t="shared" si="87"/>
        <v>-1022221.8936343852</v>
      </c>
      <c r="CV103" s="224">
        <f t="shared" si="87"/>
        <v>-1027634.2858258537</v>
      </c>
      <c r="CW103" s="224">
        <f t="shared" si="87"/>
        <v>-1033150.8905792</v>
      </c>
      <c r="CX103" s="224">
        <f t="shared" si="87"/>
        <v>-1038711.4855135403</v>
      </c>
      <c r="CY103" s="224">
        <f t="shared" si="87"/>
        <v>-1044316.4214127553</v>
      </c>
      <c r="CZ103" s="224">
        <f t="shared" si="87"/>
        <v>-1049830.3671743122</v>
      </c>
      <c r="DA103" s="224">
        <f t="shared" si="87"/>
        <v>-1055388.2819136893</v>
      </c>
      <c r="DB103" s="224">
        <f t="shared" si="87"/>
        <v>-1060990.5162456902</v>
      </c>
      <c r="DC103" s="224">
        <f t="shared" si="87"/>
        <v>-1066509.7987503582</v>
      </c>
      <c r="DD103" s="224">
        <f t="shared" si="87"/>
        <v>-1072073.0927887852</v>
      </c>
      <c r="DE103" s="224">
        <f t="shared" si="87"/>
        <v>-1077680.7493151219</v>
      </c>
      <c r="DF103" s="224">
        <f t="shared" si="87"/>
        <v>-1083242.6656263345</v>
      </c>
      <c r="DG103" s="224">
        <f t="shared" si="87"/>
        <v>-1088577.5640720399</v>
      </c>
      <c r="DH103" s="224">
        <f t="shared" si="87"/>
        <v>-1093955.0037471254</v>
      </c>
      <c r="DI103" s="224">
        <f t="shared" si="87"/>
        <v>-1099438.2088694095</v>
      </c>
      <c r="DJ103" s="224">
        <f t="shared" si="87"/>
        <v>-1104965.1378393392</v>
      </c>
      <c r="DK103" s="224">
        <f t="shared" si="87"/>
        <v>-1110536.1393170159</v>
      </c>
      <c r="DL103" s="224">
        <f t="shared" si="87"/>
        <v>-1116009.0958250109</v>
      </c>
      <c r="DM103" s="224">
        <f t="shared" si="87"/>
        <v>-1121525.6944567622</v>
      </c>
      <c r="DN103" s="224">
        <f t="shared" si="87"/>
        <v>-1127086.2832206928</v>
      </c>
      <c r="DO103" s="224">
        <f t="shared" si="87"/>
        <v>-1132557.045631092</v>
      </c>
      <c r="DP103" s="224">
        <f t="shared" si="87"/>
        <v>-1138071.4326692049</v>
      </c>
      <c r="DQ103" s="224">
        <f t="shared" si="87"/>
        <v>-1143629.7922039391</v>
      </c>
      <c r="DR103" s="224">
        <f t="shared" si="87"/>
        <v>-1149137.4955996282</v>
      </c>
      <c r="DS103" s="224">
        <f t="shared" si="87"/>
        <v>-1154404.1803600474</v>
      </c>
      <c r="DT103" s="224">
        <f t="shared" si="87"/>
        <v>-1159712.8624043409</v>
      </c>
      <c r="DU103" s="224">
        <f t="shared" si="87"/>
        <v>0</v>
      </c>
      <c r="DV103" s="223">
        <f t="shared" si="87"/>
        <v>0</v>
      </c>
      <c r="DW103" s="217"/>
      <c r="DX103" s="217"/>
      <c r="DY103" s="217"/>
      <c r="DZ103" s="217"/>
      <c r="EA103" s="217"/>
      <c r="EB103" s="217"/>
      <c r="EC103" s="217"/>
      <c r="ED103" s="217"/>
      <c r="EE103" s="217"/>
      <c r="EF103" s="217"/>
      <c r="EG103" s="217"/>
      <c r="EH103" s="217"/>
      <c r="EI103" s="217"/>
      <c r="EJ103" s="217"/>
      <c r="EK103" s="217"/>
      <c r="EL103" s="217"/>
      <c r="EM103" s="217"/>
      <c r="EN103" s="217"/>
      <c r="EO103" s="217"/>
      <c r="EP103" s="217"/>
      <c r="EQ103" s="217"/>
      <c r="ER103" s="217"/>
      <c r="ES103" s="217"/>
      <c r="ET103" s="217"/>
      <c r="EU103" s="217"/>
      <c r="EV103" s="217"/>
      <c r="EW103" s="217"/>
      <c r="EX103" s="217"/>
      <c r="EY103" s="217"/>
      <c r="EZ103" s="217"/>
      <c r="FA103" s="217"/>
      <c r="FB103" s="217"/>
      <c r="FC103" s="217"/>
      <c r="FD103" s="217"/>
      <c r="FE103" s="217"/>
      <c r="FF103" s="217"/>
    </row>
    <row r="104" spans="1:162" s="36" customFormat="1" x14ac:dyDescent="0.2">
      <c r="A104" s="160"/>
      <c r="B104" s="225" t="s">
        <v>157</v>
      </c>
      <c r="C104" s="226"/>
      <c r="D104" s="223"/>
      <c r="E104" s="224">
        <f t="shared" ref="E104:O104" si="88">E101+E102</f>
        <v>-913956.35150699993</v>
      </c>
      <c r="F104" s="224">
        <f t="shared" si="88"/>
        <v>0</v>
      </c>
      <c r="G104" s="224">
        <f t="shared" si="88"/>
        <v>0</v>
      </c>
      <c r="H104" s="224">
        <f t="shared" si="88"/>
        <v>0</v>
      </c>
      <c r="I104" s="224">
        <f t="shared" si="88"/>
        <v>0</v>
      </c>
      <c r="J104" s="224">
        <f t="shared" si="88"/>
        <v>0</v>
      </c>
      <c r="K104" s="224">
        <f t="shared" si="88"/>
        <v>0</v>
      </c>
      <c r="L104" s="224">
        <f t="shared" si="88"/>
        <v>0</v>
      </c>
      <c r="M104" s="224">
        <f t="shared" si="88"/>
        <v>0</v>
      </c>
      <c r="N104" s="224">
        <f t="shared" si="88"/>
        <v>0</v>
      </c>
      <c r="O104" s="224">
        <f t="shared" si="88"/>
        <v>0</v>
      </c>
      <c r="P104" s="224">
        <f t="shared" ref="P104:BU104" si="89">P101+P102</f>
        <v>0</v>
      </c>
      <c r="Q104" s="224">
        <f t="shared" si="89"/>
        <v>0</v>
      </c>
      <c r="R104" s="224">
        <f t="shared" si="89"/>
        <v>0</v>
      </c>
      <c r="S104" s="224">
        <f t="shared" si="89"/>
        <v>0</v>
      </c>
      <c r="T104" s="224">
        <f t="shared" si="89"/>
        <v>0</v>
      </c>
      <c r="U104" s="224">
        <f t="shared" si="89"/>
        <v>0</v>
      </c>
      <c r="V104" s="224">
        <f t="shared" si="89"/>
        <v>0</v>
      </c>
      <c r="W104" s="224">
        <f t="shared" si="89"/>
        <v>0</v>
      </c>
      <c r="X104" s="224">
        <f t="shared" si="89"/>
        <v>6170.625</v>
      </c>
      <c r="Y104" s="224">
        <f t="shared" si="89"/>
        <v>6170.625</v>
      </c>
      <c r="Z104" s="224">
        <f t="shared" si="89"/>
        <v>440994.65615958127</v>
      </c>
      <c r="AA104" s="224">
        <f t="shared" si="89"/>
        <v>0</v>
      </c>
      <c r="AB104" s="224">
        <f t="shared" si="89"/>
        <v>0</v>
      </c>
      <c r="AC104" s="224">
        <f t="shared" si="89"/>
        <v>0</v>
      </c>
      <c r="AD104" s="224">
        <f t="shared" si="89"/>
        <v>0</v>
      </c>
      <c r="AE104" s="224">
        <f t="shared" si="89"/>
        <v>0</v>
      </c>
      <c r="AF104" s="224">
        <f t="shared" si="89"/>
        <v>0</v>
      </c>
      <c r="AG104" s="224">
        <f t="shared" si="89"/>
        <v>0</v>
      </c>
      <c r="AH104" s="224">
        <f t="shared" si="89"/>
        <v>0</v>
      </c>
      <c r="AI104" s="224">
        <f t="shared" si="89"/>
        <v>44.063333581470943</v>
      </c>
      <c r="AJ104" s="224">
        <f t="shared" si="89"/>
        <v>44.063333581470943</v>
      </c>
      <c r="AK104" s="224">
        <f t="shared" si="89"/>
        <v>44.063333581470943</v>
      </c>
      <c r="AL104" s="224">
        <f t="shared" si="89"/>
        <v>111.56333358147094</v>
      </c>
      <c r="AM104" s="224">
        <f t="shared" si="89"/>
        <v>314.06333358147094</v>
      </c>
      <c r="AN104" s="224">
        <f t="shared" si="89"/>
        <v>314.06333358147094</v>
      </c>
      <c r="AO104" s="224">
        <f t="shared" si="89"/>
        <v>261.39814608147157</v>
      </c>
      <c r="AP104" s="224">
        <f t="shared" si="89"/>
        <v>261.39814608147157</v>
      </c>
      <c r="AQ104" s="224">
        <f t="shared" si="89"/>
        <v>261.39814608147157</v>
      </c>
      <c r="AR104" s="224">
        <f t="shared" si="89"/>
        <v>367.71064608147157</v>
      </c>
      <c r="AS104" s="224">
        <f t="shared" si="89"/>
        <v>367.71064608147157</v>
      </c>
      <c r="AT104" s="224">
        <f t="shared" si="89"/>
        <v>367.71064608147157</v>
      </c>
      <c r="AU104" s="224">
        <f t="shared" si="89"/>
        <v>467.07064608147124</v>
      </c>
      <c r="AV104" s="224">
        <f t="shared" si="89"/>
        <v>467.07064608147124</v>
      </c>
      <c r="AW104" s="224">
        <f t="shared" si="89"/>
        <v>467.07064608147124</v>
      </c>
      <c r="AX104" s="224">
        <f t="shared" si="89"/>
        <v>537.94564608147118</v>
      </c>
      <c r="AY104" s="224">
        <f t="shared" si="89"/>
        <v>750.57064608147118</v>
      </c>
      <c r="AZ104" s="224">
        <f t="shared" si="89"/>
        <v>750.57064608147118</v>
      </c>
      <c r="BA104" s="224">
        <f t="shared" si="89"/>
        <v>696.32550295647059</v>
      </c>
      <c r="BB104" s="224">
        <f t="shared" si="89"/>
        <v>696.32550295647059</v>
      </c>
      <c r="BC104" s="224">
        <f t="shared" si="89"/>
        <v>696.32550295647059</v>
      </c>
      <c r="BD104" s="224">
        <f t="shared" si="89"/>
        <v>807.95362795647054</v>
      </c>
      <c r="BE104" s="224">
        <f t="shared" si="89"/>
        <v>807.95362795647054</v>
      </c>
      <c r="BF104" s="224">
        <f t="shared" si="89"/>
        <v>807.95362795647054</v>
      </c>
      <c r="BG104" s="224">
        <f t="shared" si="89"/>
        <v>912.42067795647108</v>
      </c>
      <c r="BH104" s="224">
        <f t="shared" si="89"/>
        <v>912.42067795647108</v>
      </c>
      <c r="BI104" s="224">
        <f t="shared" si="89"/>
        <v>912.42067795647108</v>
      </c>
      <c r="BJ104" s="224">
        <f t="shared" si="89"/>
        <v>986.83942795647113</v>
      </c>
      <c r="BK104" s="224">
        <f t="shared" si="89"/>
        <v>1210.0956779564729</v>
      </c>
      <c r="BL104" s="224">
        <f t="shared" si="89"/>
        <v>1210.0956779564729</v>
      </c>
      <c r="BM104" s="224">
        <f t="shared" si="89"/>
        <v>1154.2231805377219</v>
      </c>
      <c r="BN104" s="224">
        <f t="shared" si="89"/>
        <v>1154.2231805377219</v>
      </c>
      <c r="BO104" s="224">
        <f t="shared" si="89"/>
        <v>1154.2231805377219</v>
      </c>
      <c r="BP104" s="224">
        <f t="shared" si="89"/>
        <v>1271.4327117877206</v>
      </c>
      <c r="BQ104" s="224">
        <f t="shared" si="89"/>
        <v>1271.4327117877206</v>
      </c>
      <c r="BR104" s="224">
        <f t="shared" si="89"/>
        <v>1271.4327117877206</v>
      </c>
      <c r="BS104" s="224">
        <f t="shared" si="89"/>
        <v>1381.2663357877225</v>
      </c>
      <c r="BT104" s="224">
        <f t="shared" si="89"/>
        <v>1381.2663357877225</v>
      </c>
      <c r="BU104" s="224">
        <f t="shared" si="89"/>
        <v>1381.2663357877225</v>
      </c>
      <c r="BV104" s="224">
        <f t="shared" ref="BV104:DU104" si="90">BV101+BV102</f>
        <v>1459.4060232877237</v>
      </c>
      <c r="BW104" s="224">
        <f t="shared" si="90"/>
        <v>1693.8250857877226</v>
      </c>
      <c r="BX104" s="224">
        <f t="shared" si="90"/>
        <v>1693.8250857877226</v>
      </c>
      <c r="BY104" s="224">
        <f t="shared" si="90"/>
        <v>1636.2764134464094</v>
      </c>
      <c r="BZ104" s="224">
        <f t="shared" si="90"/>
        <v>1636.2764134464094</v>
      </c>
      <c r="CA104" s="224">
        <f t="shared" si="90"/>
        <v>1636.2764134464094</v>
      </c>
      <c r="CB104" s="224">
        <f t="shared" si="90"/>
        <v>1759.3464212589095</v>
      </c>
      <c r="CC104" s="224">
        <f t="shared" si="90"/>
        <v>1759.3464212589095</v>
      </c>
      <c r="CD104" s="224">
        <f t="shared" si="90"/>
        <v>1759.3464212589095</v>
      </c>
      <c r="CE104" s="224">
        <f t="shared" si="90"/>
        <v>1874.8192446039106</v>
      </c>
      <c r="CF104" s="224">
        <f t="shared" si="90"/>
        <v>1874.8192446039106</v>
      </c>
      <c r="CG104" s="224">
        <f t="shared" si="90"/>
        <v>1874.8192446039106</v>
      </c>
      <c r="CH104" s="224">
        <f t="shared" si="90"/>
        <v>1956.8659164789096</v>
      </c>
      <c r="CI104" s="224">
        <f t="shared" si="90"/>
        <v>2203.0059321039103</v>
      </c>
      <c r="CJ104" s="224">
        <f t="shared" si="90"/>
        <v>2203.0059321039103</v>
      </c>
      <c r="CK104" s="224">
        <f t="shared" si="90"/>
        <v>2143.7307995923579</v>
      </c>
      <c r="CL104" s="224">
        <f t="shared" si="90"/>
        <v>2143.7307995923579</v>
      </c>
      <c r="CM104" s="224">
        <f t="shared" si="90"/>
        <v>2143.7307995923579</v>
      </c>
      <c r="CN104" s="224">
        <f t="shared" si="90"/>
        <v>2272.9543077954831</v>
      </c>
      <c r="CO104" s="224">
        <f t="shared" si="90"/>
        <v>2272.9543077954831</v>
      </c>
      <c r="CP104" s="224">
        <f t="shared" si="90"/>
        <v>2272.9543077954831</v>
      </c>
      <c r="CQ104" s="224">
        <f t="shared" si="90"/>
        <v>2394.3527159970836</v>
      </c>
      <c r="CR104" s="224">
        <f t="shared" si="90"/>
        <v>2394.3527159970836</v>
      </c>
      <c r="CS104" s="224">
        <f t="shared" si="90"/>
        <v>2394.3527159970836</v>
      </c>
      <c r="CT104" s="224">
        <f t="shared" si="90"/>
        <v>2480.5017214658324</v>
      </c>
      <c r="CU104" s="224">
        <f t="shared" si="90"/>
        <v>2738.9487378720823</v>
      </c>
      <c r="CV104" s="224">
        <f t="shared" si="90"/>
        <v>2738.9487378720823</v>
      </c>
      <c r="CW104" s="224">
        <f t="shared" si="90"/>
        <v>2677.8953513851848</v>
      </c>
      <c r="CX104" s="224">
        <f t="shared" si="90"/>
        <v>2677.8953513851848</v>
      </c>
      <c r="CY104" s="224">
        <f t="shared" si="90"/>
        <v>2677.8953513851848</v>
      </c>
      <c r="CZ104" s="224">
        <f t="shared" si="90"/>
        <v>2813.5800349984656</v>
      </c>
      <c r="DA104" s="224">
        <f t="shared" si="90"/>
        <v>2813.5800349984656</v>
      </c>
      <c r="DB104" s="224">
        <f t="shared" si="90"/>
        <v>2813.5800349984656</v>
      </c>
      <c r="DC104" s="224">
        <f t="shared" si="90"/>
        <v>2941.2048656101765</v>
      </c>
      <c r="DD104" s="224">
        <f t="shared" si="90"/>
        <v>2941.2048656101765</v>
      </c>
      <c r="DE104" s="224">
        <f t="shared" si="90"/>
        <v>2941.2048656101765</v>
      </c>
      <c r="DF104" s="224">
        <f t="shared" si="90"/>
        <v>3031.6613213523628</v>
      </c>
      <c r="DG104" s="224">
        <f t="shared" si="90"/>
        <v>3303.0306885789278</v>
      </c>
      <c r="DH104" s="224">
        <f t="shared" si="90"/>
        <v>3303.0306885789278</v>
      </c>
      <c r="DI104" s="224">
        <f t="shared" si="90"/>
        <v>3240.1457004974227</v>
      </c>
      <c r="DJ104" s="224">
        <f t="shared" si="90"/>
        <v>3240.1457004974227</v>
      </c>
      <c r="DK104" s="224">
        <f t="shared" si="90"/>
        <v>3240.1457004974227</v>
      </c>
      <c r="DL104" s="224">
        <f t="shared" si="90"/>
        <v>3382.6146182913685</v>
      </c>
      <c r="DM104" s="224">
        <f t="shared" si="90"/>
        <v>3382.6146182913685</v>
      </c>
      <c r="DN104" s="224">
        <f t="shared" si="90"/>
        <v>3382.6146182913685</v>
      </c>
      <c r="DO104" s="224">
        <f t="shared" si="90"/>
        <v>3516.7818874936956</v>
      </c>
      <c r="DP104" s="224">
        <f t="shared" si="90"/>
        <v>3516.7818874936956</v>
      </c>
      <c r="DQ104" s="224">
        <f t="shared" si="90"/>
        <v>3516.7818874936956</v>
      </c>
      <c r="DR104" s="224">
        <f t="shared" si="90"/>
        <v>3611.7611660229923</v>
      </c>
      <c r="DS104" s="224">
        <f t="shared" si="90"/>
        <v>3896.6990016108821</v>
      </c>
      <c r="DT104" s="224">
        <f t="shared" si="90"/>
        <v>3896.6990016108821</v>
      </c>
      <c r="DU104" s="224">
        <f t="shared" si="90"/>
        <v>1168960.5756263591</v>
      </c>
      <c r="DV104" s="223">
        <f>DV101+DV102</f>
        <v>0</v>
      </c>
      <c r="DW104" s="227"/>
      <c r="DX104" s="227"/>
      <c r="DY104" s="227"/>
      <c r="DZ104" s="227"/>
      <c r="EA104" s="227"/>
      <c r="EB104" s="227"/>
      <c r="EC104" s="227"/>
      <c r="ED104" s="227"/>
      <c r="EE104" s="227"/>
      <c r="EF104" s="227"/>
      <c r="EG104" s="227"/>
      <c r="EH104" s="227"/>
      <c r="EI104" s="227"/>
      <c r="EJ104" s="227"/>
      <c r="EK104" s="227"/>
      <c r="EL104" s="227"/>
      <c r="EM104" s="227"/>
      <c r="EN104" s="227"/>
      <c r="EO104" s="227"/>
      <c r="EP104" s="227"/>
      <c r="EQ104" s="227"/>
      <c r="ER104" s="227"/>
      <c r="ES104" s="227"/>
      <c r="ET104" s="227"/>
      <c r="EU104" s="227"/>
      <c r="EV104" s="227"/>
      <c r="EW104" s="227"/>
      <c r="EX104" s="227"/>
      <c r="EY104" s="227"/>
      <c r="EZ104" s="227"/>
      <c r="FA104" s="227"/>
      <c r="FB104" s="227"/>
      <c r="FC104" s="227"/>
      <c r="FD104" s="227"/>
      <c r="FE104" s="227"/>
      <c r="FF104" s="227"/>
    </row>
    <row r="105" spans="1:162" s="36" customFormat="1" x14ac:dyDescent="0.2">
      <c r="A105" s="160"/>
      <c r="B105" s="220"/>
      <c r="C105" s="228"/>
      <c r="D105" s="229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  <c r="AF105" s="217"/>
      <c r="AG105" s="217"/>
      <c r="AH105" s="217"/>
      <c r="AI105" s="217"/>
      <c r="AJ105" s="217"/>
      <c r="AK105" s="217"/>
      <c r="AL105" s="217"/>
      <c r="AM105" s="217"/>
      <c r="AN105" s="217"/>
      <c r="AO105" s="217"/>
      <c r="AP105" s="217"/>
      <c r="AQ105" s="217"/>
      <c r="AR105" s="217"/>
      <c r="AS105" s="217"/>
      <c r="AT105" s="217"/>
      <c r="AU105" s="217"/>
      <c r="AV105" s="217"/>
      <c r="AW105" s="217"/>
      <c r="AX105" s="217"/>
      <c r="AY105" s="217"/>
      <c r="AZ105" s="217"/>
      <c r="BA105" s="217"/>
      <c r="BB105" s="217"/>
      <c r="BC105" s="217"/>
      <c r="BD105" s="217"/>
      <c r="BE105" s="217"/>
      <c r="BF105" s="217"/>
      <c r="BG105" s="217"/>
      <c r="BH105" s="217"/>
      <c r="BI105" s="217"/>
      <c r="BJ105" s="217"/>
      <c r="BK105" s="217"/>
      <c r="BL105" s="217"/>
      <c r="BM105" s="217"/>
      <c r="BN105" s="217"/>
      <c r="BO105" s="217"/>
      <c r="BP105" s="217"/>
      <c r="BQ105" s="217"/>
      <c r="BR105" s="217"/>
      <c r="BS105" s="217"/>
      <c r="BT105" s="217"/>
      <c r="BU105" s="217"/>
      <c r="BV105" s="217"/>
      <c r="BW105" s="217"/>
      <c r="BX105" s="217"/>
      <c r="BY105" s="217"/>
      <c r="BZ105" s="217"/>
      <c r="CA105" s="217"/>
      <c r="CB105" s="217"/>
      <c r="CC105" s="217"/>
      <c r="CD105" s="217"/>
      <c r="CE105" s="217"/>
      <c r="CF105" s="217"/>
      <c r="CG105" s="217"/>
      <c r="CH105" s="217"/>
      <c r="CI105" s="217"/>
      <c r="CJ105" s="217"/>
      <c r="CK105" s="217"/>
      <c r="CL105" s="217"/>
      <c r="CM105" s="217"/>
      <c r="CN105" s="217"/>
      <c r="CO105" s="217"/>
      <c r="CP105" s="217"/>
      <c r="CQ105" s="217"/>
      <c r="CR105" s="217"/>
      <c r="CS105" s="217"/>
      <c r="CT105" s="217"/>
      <c r="CU105" s="217"/>
      <c r="CV105" s="217"/>
      <c r="CW105" s="217"/>
      <c r="CX105" s="217"/>
      <c r="CY105" s="217"/>
      <c r="CZ105" s="217"/>
      <c r="DA105" s="217"/>
      <c r="DB105" s="217"/>
      <c r="DC105" s="217"/>
      <c r="DD105" s="217"/>
      <c r="DE105" s="217"/>
      <c r="DF105" s="217"/>
      <c r="DG105" s="217"/>
      <c r="DH105" s="217"/>
      <c r="DI105" s="217"/>
      <c r="DJ105" s="217"/>
      <c r="DK105" s="217"/>
      <c r="DL105" s="217"/>
      <c r="DM105" s="217"/>
      <c r="DN105" s="217"/>
      <c r="DO105" s="217"/>
      <c r="DP105" s="217"/>
      <c r="DQ105" s="217"/>
      <c r="DR105" s="217"/>
      <c r="DS105" s="217"/>
      <c r="DT105" s="217"/>
      <c r="DU105" s="217"/>
      <c r="DV105" s="229"/>
      <c r="DW105" s="217"/>
      <c r="DX105" s="217"/>
      <c r="DY105" s="217"/>
      <c r="DZ105" s="217"/>
      <c r="EA105" s="217"/>
      <c r="EB105" s="217"/>
      <c r="EC105" s="217"/>
      <c r="ED105" s="217"/>
      <c r="EE105" s="217"/>
      <c r="EF105" s="217"/>
      <c r="EG105" s="217"/>
      <c r="EH105" s="217"/>
      <c r="EI105" s="217"/>
      <c r="EJ105" s="217"/>
      <c r="EK105" s="217"/>
      <c r="EL105" s="217"/>
      <c r="EM105" s="217"/>
      <c r="EN105" s="217"/>
      <c r="EO105" s="217"/>
      <c r="EP105" s="217"/>
      <c r="EQ105" s="217"/>
      <c r="ER105" s="217"/>
      <c r="ES105" s="217"/>
      <c r="ET105" s="217"/>
      <c r="EU105" s="217"/>
      <c r="EV105" s="217"/>
      <c r="EW105" s="217"/>
      <c r="EX105" s="217"/>
      <c r="EY105" s="217"/>
      <c r="EZ105" s="217"/>
      <c r="FA105" s="217"/>
      <c r="FB105" s="217"/>
      <c r="FC105" s="217"/>
      <c r="FD105" s="217"/>
      <c r="FE105" s="217"/>
      <c r="FF105" s="217"/>
    </row>
    <row r="106" spans="1:162" s="36" customFormat="1" x14ac:dyDescent="0.2">
      <c r="A106" s="160"/>
      <c r="B106" s="220" t="s">
        <v>149</v>
      </c>
      <c r="C106" s="228"/>
      <c r="D106" s="218">
        <f>SUM(E106:DV106)</f>
        <v>-101550.70572299999</v>
      </c>
      <c r="E106" s="219">
        <f>-E94</f>
        <v>-101550.70572299999</v>
      </c>
      <c r="F106" s="219">
        <f t="shared" ref="F106:BP106" si="91">-F94</f>
        <v>0</v>
      </c>
      <c r="G106" s="219">
        <f t="shared" si="91"/>
        <v>0</v>
      </c>
      <c r="H106" s="219">
        <f t="shared" si="91"/>
        <v>0</v>
      </c>
      <c r="I106" s="219">
        <f t="shared" si="91"/>
        <v>0</v>
      </c>
      <c r="J106" s="219">
        <f t="shared" si="91"/>
        <v>0</v>
      </c>
      <c r="K106" s="219">
        <f t="shared" si="91"/>
        <v>0</v>
      </c>
      <c r="L106" s="219">
        <f t="shared" si="91"/>
        <v>0</v>
      </c>
      <c r="M106" s="219">
        <f t="shared" si="91"/>
        <v>0</v>
      </c>
      <c r="N106" s="219">
        <f t="shared" si="91"/>
        <v>0</v>
      </c>
      <c r="O106" s="219">
        <f t="shared" si="91"/>
        <v>0</v>
      </c>
      <c r="P106" s="219">
        <f t="shared" si="91"/>
        <v>0</v>
      </c>
      <c r="Q106" s="219">
        <f t="shared" si="91"/>
        <v>0</v>
      </c>
      <c r="R106" s="219">
        <f t="shared" si="91"/>
        <v>0</v>
      </c>
      <c r="S106" s="219">
        <f t="shared" si="91"/>
        <v>0</v>
      </c>
      <c r="T106" s="219">
        <f t="shared" si="91"/>
        <v>0</v>
      </c>
      <c r="U106" s="219">
        <f t="shared" si="91"/>
        <v>0</v>
      </c>
      <c r="V106" s="219">
        <f t="shared" si="91"/>
        <v>0</v>
      </c>
      <c r="W106" s="219">
        <f t="shared" si="91"/>
        <v>0</v>
      </c>
      <c r="X106" s="219">
        <f t="shared" si="91"/>
        <v>0</v>
      </c>
      <c r="Y106" s="219">
        <f t="shared" si="91"/>
        <v>0</v>
      </c>
      <c r="Z106" s="219">
        <f t="shared" si="91"/>
        <v>0</v>
      </c>
      <c r="AA106" s="219">
        <f t="shared" si="91"/>
        <v>0</v>
      </c>
      <c r="AB106" s="219">
        <f t="shared" si="91"/>
        <v>0</v>
      </c>
      <c r="AC106" s="219">
        <f t="shared" si="91"/>
        <v>0</v>
      </c>
      <c r="AD106" s="219">
        <f t="shared" si="91"/>
        <v>0</v>
      </c>
      <c r="AE106" s="219">
        <f t="shared" si="91"/>
        <v>0</v>
      </c>
      <c r="AF106" s="219">
        <f t="shared" si="91"/>
        <v>0</v>
      </c>
      <c r="AG106" s="219">
        <f t="shared" si="91"/>
        <v>0</v>
      </c>
      <c r="AH106" s="219">
        <f t="shared" si="91"/>
        <v>0</v>
      </c>
      <c r="AI106" s="219">
        <f t="shared" si="91"/>
        <v>0</v>
      </c>
      <c r="AJ106" s="219">
        <f t="shared" si="91"/>
        <v>0</v>
      </c>
      <c r="AK106" s="219">
        <f t="shared" si="91"/>
        <v>0</v>
      </c>
      <c r="AL106" s="219">
        <f t="shared" si="91"/>
        <v>0</v>
      </c>
      <c r="AM106" s="219">
        <f t="shared" si="91"/>
        <v>0</v>
      </c>
      <c r="AN106" s="219">
        <f t="shared" si="91"/>
        <v>0</v>
      </c>
      <c r="AO106" s="219">
        <f t="shared" si="91"/>
        <v>0</v>
      </c>
      <c r="AP106" s="219">
        <f t="shared" si="91"/>
        <v>0</v>
      </c>
      <c r="AQ106" s="219">
        <f t="shared" si="91"/>
        <v>0</v>
      </c>
      <c r="AR106" s="219">
        <f t="shared" si="91"/>
        <v>0</v>
      </c>
      <c r="AS106" s="219">
        <f t="shared" si="91"/>
        <v>0</v>
      </c>
      <c r="AT106" s="219">
        <f t="shared" si="91"/>
        <v>0</v>
      </c>
      <c r="AU106" s="219">
        <f t="shared" si="91"/>
        <v>0</v>
      </c>
      <c r="AV106" s="219">
        <f t="shared" si="91"/>
        <v>0</v>
      </c>
      <c r="AW106" s="219">
        <f t="shared" si="91"/>
        <v>0</v>
      </c>
      <c r="AX106" s="219">
        <f t="shared" si="91"/>
        <v>0</v>
      </c>
      <c r="AY106" s="219">
        <f t="shared" si="91"/>
        <v>0</v>
      </c>
      <c r="AZ106" s="219">
        <f t="shared" si="91"/>
        <v>0</v>
      </c>
      <c r="BA106" s="219">
        <f t="shared" si="91"/>
        <v>0</v>
      </c>
      <c r="BB106" s="219">
        <f t="shared" si="91"/>
        <v>0</v>
      </c>
      <c r="BC106" s="219">
        <f t="shared" si="91"/>
        <v>0</v>
      </c>
      <c r="BD106" s="219">
        <f t="shared" si="91"/>
        <v>0</v>
      </c>
      <c r="BE106" s="219">
        <f t="shared" si="91"/>
        <v>0</v>
      </c>
      <c r="BF106" s="219">
        <f t="shared" si="91"/>
        <v>0</v>
      </c>
      <c r="BG106" s="219">
        <f t="shared" si="91"/>
        <v>0</v>
      </c>
      <c r="BH106" s="219">
        <f t="shared" si="91"/>
        <v>0</v>
      </c>
      <c r="BI106" s="219">
        <f t="shared" si="91"/>
        <v>0</v>
      </c>
      <c r="BJ106" s="219">
        <f t="shared" si="91"/>
        <v>0</v>
      </c>
      <c r="BK106" s="219">
        <f t="shared" si="91"/>
        <v>0</v>
      </c>
      <c r="BL106" s="219">
        <f t="shared" si="91"/>
        <v>0</v>
      </c>
      <c r="BM106" s="219">
        <f t="shared" si="91"/>
        <v>0</v>
      </c>
      <c r="BN106" s="219">
        <f t="shared" si="91"/>
        <v>0</v>
      </c>
      <c r="BO106" s="219">
        <f t="shared" si="91"/>
        <v>0</v>
      </c>
      <c r="BP106" s="219">
        <f t="shared" si="91"/>
        <v>0</v>
      </c>
      <c r="BQ106" s="219">
        <f t="shared" ref="BQ106:DV106" si="92">-BQ94</f>
        <v>0</v>
      </c>
      <c r="BR106" s="219">
        <f t="shared" si="92"/>
        <v>0</v>
      </c>
      <c r="BS106" s="219">
        <f t="shared" si="92"/>
        <v>0</v>
      </c>
      <c r="BT106" s="219">
        <f t="shared" si="92"/>
        <v>0</v>
      </c>
      <c r="BU106" s="219">
        <f t="shared" si="92"/>
        <v>0</v>
      </c>
      <c r="BV106" s="219">
        <f t="shared" si="92"/>
        <v>0</v>
      </c>
      <c r="BW106" s="219">
        <f t="shared" si="92"/>
        <v>0</v>
      </c>
      <c r="BX106" s="219">
        <f t="shared" si="92"/>
        <v>0</v>
      </c>
      <c r="BY106" s="219">
        <f t="shared" si="92"/>
        <v>0</v>
      </c>
      <c r="BZ106" s="219">
        <f t="shared" si="92"/>
        <v>0</v>
      </c>
      <c r="CA106" s="219">
        <f t="shared" si="92"/>
        <v>0</v>
      </c>
      <c r="CB106" s="219">
        <f t="shared" si="92"/>
        <v>0</v>
      </c>
      <c r="CC106" s="219">
        <f t="shared" si="92"/>
        <v>0</v>
      </c>
      <c r="CD106" s="219">
        <f t="shared" si="92"/>
        <v>0</v>
      </c>
      <c r="CE106" s="219">
        <f t="shared" si="92"/>
        <v>0</v>
      </c>
      <c r="CF106" s="219">
        <f t="shared" si="92"/>
        <v>0</v>
      </c>
      <c r="CG106" s="219">
        <f t="shared" si="92"/>
        <v>0</v>
      </c>
      <c r="CH106" s="219">
        <f t="shared" si="92"/>
        <v>0</v>
      </c>
      <c r="CI106" s="219">
        <f t="shared" si="92"/>
        <v>0</v>
      </c>
      <c r="CJ106" s="219">
        <f t="shared" si="92"/>
        <v>0</v>
      </c>
      <c r="CK106" s="219">
        <f t="shared" si="92"/>
        <v>0</v>
      </c>
      <c r="CL106" s="219">
        <f t="shared" si="92"/>
        <v>0</v>
      </c>
      <c r="CM106" s="219">
        <f t="shared" si="92"/>
        <v>0</v>
      </c>
      <c r="CN106" s="219">
        <f t="shared" si="92"/>
        <v>0</v>
      </c>
      <c r="CO106" s="219">
        <f t="shared" si="92"/>
        <v>0</v>
      </c>
      <c r="CP106" s="219">
        <f t="shared" si="92"/>
        <v>0</v>
      </c>
      <c r="CQ106" s="219">
        <f t="shared" si="92"/>
        <v>0</v>
      </c>
      <c r="CR106" s="219">
        <f t="shared" si="92"/>
        <v>0</v>
      </c>
      <c r="CS106" s="219">
        <f t="shared" si="92"/>
        <v>0</v>
      </c>
      <c r="CT106" s="219">
        <f t="shared" si="92"/>
        <v>0</v>
      </c>
      <c r="CU106" s="219">
        <f t="shared" si="92"/>
        <v>0</v>
      </c>
      <c r="CV106" s="219">
        <f t="shared" si="92"/>
        <v>0</v>
      </c>
      <c r="CW106" s="219">
        <f t="shared" si="92"/>
        <v>0</v>
      </c>
      <c r="CX106" s="219">
        <f t="shared" si="92"/>
        <v>0</v>
      </c>
      <c r="CY106" s="219">
        <f t="shared" si="92"/>
        <v>0</v>
      </c>
      <c r="CZ106" s="219">
        <f t="shared" si="92"/>
        <v>0</v>
      </c>
      <c r="DA106" s="219">
        <f t="shared" si="92"/>
        <v>0</v>
      </c>
      <c r="DB106" s="219">
        <f t="shared" si="92"/>
        <v>0</v>
      </c>
      <c r="DC106" s="219">
        <f t="shared" si="92"/>
        <v>0</v>
      </c>
      <c r="DD106" s="219">
        <f t="shared" si="92"/>
        <v>0</v>
      </c>
      <c r="DE106" s="219">
        <f t="shared" si="92"/>
        <v>0</v>
      </c>
      <c r="DF106" s="219">
        <f t="shared" si="92"/>
        <v>0</v>
      </c>
      <c r="DG106" s="219">
        <f t="shared" si="92"/>
        <v>0</v>
      </c>
      <c r="DH106" s="219">
        <f t="shared" si="92"/>
        <v>0</v>
      </c>
      <c r="DI106" s="219">
        <f t="shared" si="92"/>
        <v>0</v>
      </c>
      <c r="DJ106" s="219">
        <f t="shared" si="92"/>
        <v>0</v>
      </c>
      <c r="DK106" s="219">
        <f t="shared" si="92"/>
        <v>0</v>
      </c>
      <c r="DL106" s="219">
        <f t="shared" si="92"/>
        <v>0</v>
      </c>
      <c r="DM106" s="219">
        <f t="shared" si="92"/>
        <v>0</v>
      </c>
      <c r="DN106" s="219">
        <f t="shared" si="92"/>
        <v>0</v>
      </c>
      <c r="DO106" s="219">
        <f t="shared" si="92"/>
        <v>0</v>
      </c>
      <c r="DP106" s="219">
        <f t="shared" si="92"/>
        <v>0</v>
      </c>
      <c r="DQ106" s="219">
        <f t="shared" si="92"/>
        <v>0</v>
      </c>
      <c r="DR106" s="219">
        <f t="shared" si="92"/>
        <v>0</v>
      </c>
      <c r="DS106" s="219">
        <f t="shared" si="92"/>
        <v>0</v>
      </c>
      <c r="DT106" s="219">
        <f t="shared" si="92"/>
        <v>0</v>
      </c>
      <c r="DU106" s="219">
        <f>-DU94</f>
        <v>0</v>
      </c>
      <c r="DV106" s="218">
        <f t="shared" si="92"/>
        <v>0</v>
      </c>
    </row>
    <row r="107" spans="1:162" s="36" customFormat="1" x14ac:dyDescent="0.2">
      <c r="A107" s="160"/>
      <c r="B107" s="220" t="s">
        <v>158</v>
      </c>
      <c r="C107" s="230"/>
      <c r="D107" s="223">
        <f>SUM(E107:DV107)</f>
        <v>198082.9117842945</v>
      </c>
      <c r="E107" s="231">
        <f>(E102/Summary!$P$61)*Summary!$O$61</f>
        <v>0</v>
      </c>
      <c r="F107" s="231">
        <f>(F102/Summary!$P$61)*Summary!$O$61</f>
        <v>0</v>
      </c>
      <c r="G107" s="231">
        <f>(G102/Summary!$P$61)*Summary!$O$61</f>
        <v>0</v>
      </c>
      <c r="H107" s="231">
        <f>(H102/Summary!$P$61)*Summary!$O$61</f>
        <v>0</v>
      </c>
      <c r="I107" s="231">
        <f>(I102/Summary!$P$61)*Summary!$O$61</f>
        <v>0</v>
      </c>
      <c r="J107" s="231">
        <f>(J102/Summary!$P$61)*Summary!$O$61</f>
        <v>0</v>
      </c>
      <c r="K107" s="231">
        <f>(K102/Summary!$P$61)*Summary!$O$61</f>
        <v>0</v>
      </c>
      <c r="L107" s="231">
        <f>(L102/Summary!$P$61)*Summary!$O$61</f>
        <v>0</v>
      </c>
      <c r="M107" s="231">
        <f>(M102/Summary!$P$61)*Summary!$O$61</f>
        <v>0</v>
      </c>
      <c r="N107" s="231">
        <f>(N102/Summary!$P$61)*Summary!$O$61</f>
        <v>0</v>
      </c>
      <c r="O107" s="231">
        <f>(O102/Summary!$P$61)*Summary!$O$61</f>
        <v>0</v>
      </c>
      <c r="P107" s="231">
        <f>(P102/Summary!$P$61)*Summary!$O$61</f>
        <v>0</v>
      </c>
      <c r="Q107" s="231">
        <f>(Q102/Summary!$P$61)*Summary!$O$61</f>
        <v>0</v>
      </c>
      <c r="R107" s="231">
        <f>(R102/Summary!$P$61)*Summary!$O$61</f>
        <v>0</v>
      </c>
      <c r="S107" s="231">
        <f>(S102/Summary!$P$61)*Summary!$O$61</f>
        <v>0</v>
      </c>
      <c r="T107" s="231">
        <f>(T102/Summary!$P$61)*Summary!$O$61</f>
        <v>0</v>
      </c>
      <c r="U107" s="231">
        <f>(U102/Summary!$P$61)*Summary!$O$61</f>
        <v>0</v>
      </c>
      <c r="V107" s="231">
        <f>(V102/Summary!$P$61)*Summary!$O$61</f>
        <v>0</v>
      </c>
      <c r="W107" s="231">
        <f>(W102/Summary!$P$61)*Summary!$O$61</f>
        <v>0</v>
      </c>
      <c r="X107" s="231">
        <f>(X102/Summary!$P$61)*Summary!$O$61</f>
        <v>685.625</v>
      </c>
      <c r="Y107" s="231">
        <f>(Y102/Summary!$P$61)*Summary!$O$61</f>
        <v>685.625</v>
      </c>
      <c r="Z107" s="231">
        <f>(Z102/Summary!$P$61)*Summary!$O$61</f>
        <v>48999.406239953474</v>
      </c>
      <c r="AA107" s="231">
        <f>(AA102/Summary!$P$61)*Summary!$O$61</f>
        <v>0</v>
      </c>
      <c r="AB107" s="231">
        <f>(AB102/Summary!$P$61)*Summary!$O$61</f>
        <v>0</v>
      </c>
      <c r="AC107" s="231">
        <f>(AC102/Summary!$P$61)*Summary!$O$61</f>
        <v>0</v>
      </c>
      <c r="AD107" s="231">
        <f>(AD102/Summary!$P$61)*Summary!$O$61</f>
        <v>0</v>
      </c>
      <c r="AE107" s="231">
        <f>(AE102/Summary!$P$61)*Summary!$O$61</f>
        <v>0</v>
      </c>
      <c r="AF107" s="231">
        <f>(AF102/Summary!$P$61)*Summary!$O$61</f>
        <v>0</v>
      </c>
      <c r="AG107" s="231">
        <f>(AG102/Summary!$P$61)*Summary!$O$61</f>
        <v>0</v>
      </c>
      <c r="AH107" s="231">
        <f>(AH102/Summary!$P$61)*Summary!$O$61</f>
        <v>0</v>
      </c>
      <c r="AI107" s="231">
        <f>(AI102/Summary!$P$61)*Summary!$O$61</f>
        <v>4.8959259534967714</v>
      </c>
      <c r="AJ107" s="231">
        <f>(AJ102/Summary!$P$61)*Summary!$O$61</f>
        <v>4.8959259534967714</v>
      </c>
      <c r="AK107" s="231">
        <f>(AK102/Summary!$P$61)*Summary!$O$61</f>
        <v>4.8959259534967714</v>
      </c>
      <c r="AL107" s="231">
        <f>(AL102/Summary!$P$61)*Summary!$O$61</f>
        <v>12.395925953496771</v>
      </c>
      <c r="AM107" s="231">
        <f>(AM102/Summary!$P$61)*Summary!$O$61</f>
        <v>34.895925953496771</v>
      </c>
      <c r="AN107" s="231">
        <f>(AN102/Summary!$P$61)*Summary!$O$61</f>
        <v>34.895925953496771</v>
      </c>
      <c r="AO107" s="231">
        <f>(AO102/Summary!$P$61)*Summary!$O$61</f>
        <v>29.044238453496845</v>
      </c>
      <c r="AP107" s="231">
        <f>(AP102/Summary!$P$61)*Summary!$O$61</f>
        <v>29.044238453496845</v>
      </c>
      <c r="AQ107" s="231">
        <f>(AQ102/Summary!$P$61)*Summary!$O$61</f>
        <v>29.044238453496845</v>
      </c>
      <c r="AR107" s="231">
        <f>(AR102/Summary!$P$61)*Summary!$O$61</f>
        <v>40.856738453496838</v>
      </c>
      <c r="AS107" s="231">
        <f>(AS102/Summary!$P$61)*Summary!$O$61</f>
        <v>40.856738453496838</v>
      </c>
      <c r="AT107" s="231">
        <f>(AT102/Summary!$P$61)*Summary!$O$61</f>
        <v>40.856738453496838</v>
      </c>
      <c r="AU107" s="231">
        <f>(AU102/Summary!$P$61)*Summary!$O$61</f>
        <v>51.896738453496802</v>
      </c>
      <c r="AV107" s="231">
        <f>(AV102/Summary!$P$61)*Summary!$O$61</f>
        <v>51.896738453496802</v>
      </c>
      <c r="AW107" s="231">
        <f>(AW102/Summary!$P$61)*Summary!$O$61</f>
        <v>51.896738453496802</v>
      </c>
      <c r="AX107" s="231">
        <f>(AX102/Summary!$P$61)*Summary!$O$61</f>
        <v>59.771738453496802</v>
      </c>
      <c r="AY107" s="231">
        <f>(AY102/Summary!$P$61)*Summary!$O$61</f>
        <v>83.396738453496809</v>
      </c>
      <c r="AZ107" s="231">
        <f>(AZ102/Summary!$P$61)*Summary!$O$61</f>
        <v>83.396738453496809</v>
      </c>
      <c r="BA107" s="231">
        <f>(BA102/Summary!$P$61)*Summary!$O$61</f>
        <v>77.369500328496727</v>
      </c>
      <c r="BB107" s="231">
        <f>(BB102/Summary!$P$61)*Summary!$O$61</f>
        <v>77.369500328496727</v>
      </c>
      <c r="BC107" s="231">
        <f>(BC102/Summary!$P$61)*Summary!$O$61</f>
        <v>77.369500328496727</v>
      </c>
      <c r="BD107" s="231">
        <f>(BD102/Summary!$P$61)*Summary!$O$61</f>
        <v>89.77262532849673</v>
      </c>
      <c r="BE107" s="231">
        <f>(BE102/Summary!$P$61)*Summary!$O$61</f>
        <v>89.77262532849673</v>
      </c>
      <c r="BF107" s="231">
        <f>(BF102/Summary!$P$61)*Summary!$O$61</f>
        <v>89.77262532849673</v>
      </c>
      <c r="BG107" s="231">
        <f>(BG102/Summary!$P$61)*Summary!$O$61</f>
        <v>101.38007532849679</v>
      </c>
      <c r="BH107" s="231">
        <f>(BH102/Summary!$P$61)*Summary!$O$61</f>
        <v>101.38007532849679</v>
      </c>
      <c r="BI107" s="231">
        <f>(BI102/Summary!$P$61)*Summary!$O$61</f>
        <v>101.38007532849679</v>
      </c>
      <c r="BJ107" s="231">
        <f>(BJ102/Summary!$P$61)*Summary!$O$61</f>
        <v>109.6488253284968</v>
      </c>
      <c r="BK107" s="231">
        <f>(BK102/Summary!$P$61)*Summary!$O$61</f>
        <v>134.455075328497</v>
      </c>
      <c r="BL107" s="231">
        <f>(BL102/Summary!$P$61)*Summary!$O$61</f>
        <v>134.455075328497</v>
      </c>
      <c r="BM107" s="231">
        <f>(BM102/Summary!$P$61)*Summary!$O$61</f>
        <v>128.24702005974686</v>
      </c>
      <c r="BN107" s="231">
        <f>(BN102/Summary!$P$61)*Summary!$O$61</f>
        <v>128.24702005974686</v>
      </c>
      <c r="BO107" s="231">
        <f>(BO102/Summary!$P$61)*Summary!$O$61</f>
        <v>128.24702005974686</v>
      </c>
      <c r="BP107" s="231">
        <f>(BP102/Summary!$P$61)*Summary!$O$61</f>
        <v>141.27030130974671</v>
      </c>
      <c r="BQ107" s="231">
        <f>(BQ102/Summary!$P$61)*Summary!$O$61</f>
        <v>141.27030130974671</v>
      </c>
      <c r="BR107" s="231">
        <f>(BR102/Summary!$P$61)*Summary!$O$61</f>
        <v>141.27030130974671</v>
      </c>
      <c r="BS107" s="231">
        <f>(BS102/Summary!$P$61)*Summary!$O$61</f>
        <v>153.47403730974693</v>
      </c>
      <c r="BT107" s="231">
        <f>(BT102/Summary!$P$61)*Summary!$O$61</f>
        <v>153.47403730974693</v>
      </c>
      <c r="BU107" s="231">
        <f>(BU102/Summary!$P$61)*Summary!$O$61</f>
        <v>153.47403730974693</v>
      </c>
      <c r="BV107" s="231">
        <f>(BV102/Summary!$P$61)*Summary!$O$61</f>
        <v>162.15622480974707</v>
      </c>
      <c r="BW107" s="231">
        <f>(BW102/Summary!$P$61)*Summary!$O$61</f>
        <v>188.20278730974698</v>
      </c>
      <c r="BX107" s="231">
        <f>(BX102/Summary!$P$61)*Summary!$O$61</f>
        <v>188.20278730974698</v>
      </c>
      <c r="BY107" s="231">
        <f>(BY102/Summary!$P$61)*Summary!$O$61</f>
        <v>181.80849038293437</v>
      </c>
      <c r="BZ107" s="231">
        <f>(BZ102/Summary!$P$61)*Summary!$O$61</f>
        <v>181.80849038293437</v>
      </c>
      <c r="CA107" s="231">
        <f>(CA102/Summary!$P$61)*Summary!$O$61</f>
        <v>181.80849038293437</v>
      </c>
      <c r="CB107" s="231">
        <f>(CB102/Summary!$P$61)*Summary!$O$61</f>
        <v>195.48293569543441</v>
      </c>
      <c r="CC107" s="231">
        <f>(CC102/Summary!$P$61)*Summary!$O$61</f>
        <v>195.48293569543441</v>
      </c>
      <c r="CD107" s="231">
        <f>(CD102/Summary!$P$61)*Summary!$O$61</f>
        <v>195.48293569543441</v>
      </c>
      <c r="CE107" s="231">
        <f>(CE102/Summary!$P$61)*Summary!$O$61</f>
        <v>208.31324940043453</v>
      </c>
      <c r="CF107" s="231">
        <f>(CF102/Summary!$P$61)*Summary!$O$61</f>
        <v>208.31324940043453</v>
      </c>
      <c r="CG107" s="231">
        <f>(CG102/Summary!$P$61)*Summary!$O$61</f>
        <v>208.31324940043453</v>
      </c>
      <c r="CH107" s="231">
        <f>(CH102/Summary!$P$61)*Summary!$O$61</f>
        <v>217.4295462754344</v>
      </c>
      <c r="CI107" s="231">
        <f>(CI102/Summary!$P$61)*Summary!$O$61</f>
        <v>244.77843690043449</v>
      </c>
      <c r="CJ107" s="231">
        <f>(CJ102/Summary!$P$61)*Summary!$O$61</f>
        <v>244.77843690043449</v>
      </c>
      <c r="CK107" s="231">
        <f>(CK102/Summary!$P$61)*Summary!$O$61</f>
        <v>238.19231106581756</v>
      </c>
      <c r="CL107" s="231">
        <f>(CL102/Summary!$P$61)*Summary!$O$61</f>
        <v>238.19231106581756</v>
      </c>
      <c r="CM107" s="231">
        <f>(CM102/Summary!$P$61)*Summary!$O$61</f>
        <v>238.19231106581756</v>
      </c>
      <c r="CN107" s="231">
        <f>(CN102/Summary!$P$61)*Summary!$O$61</f>
        <v>252.55047864394257</v>
      </c>
      <c r="CO107" s="231">
        <f>(CO102/Summary!$P$61)*Summary!$O$61</f>
        <v>252.55047864394257</v>
      </c>
      <c r="CP107" s="231">
        <f>(CP102/Summary!$P$61)*Summary!$O$61</f>
        <v>252.55047864394257</v>
      </c>
      <c r="CQ107" s="231">
        <f>(CQ102/Summary!$P$61)*Summary!$O$61</f>
        <v>266.03919066634262</v>
      </c>
      <c r="CR107" s="231">
        <f>(CR102/Summary!$P$61)*Summary!$O$61</f>
        <v>266.03919066634262</v>
      </c>
      <c r="CS107" s="231">
        <f>(CS102/Summary!$P$61)*Summary!$O$61</f>
        <v>266.03919066634262</v>
      </c>
      <c r="CT107" s="231">
        <f>(CT102/Summary!$P$61)*Summary!$O$61</f>
        <v>275.61130238509253</v>
      </c>
      <c r="CU107" s="231">
        <f>(CU102/Summary!$P$61)*Summary!$O$61</f>
        <v>304.32763754134248</v>
      </c>
      <c r="CV107" s="231">
        <f>(CV102/Summary!$P$61)*Summary!$O$61</f>
        <v>304.32763754134248</v>
      </c>
      <c r="CW107" s="231">
        <f>(CW102/Summary!$P$61)*Summary!$O$61</f>
        <v>297.54392793168716</v>
      </c>
      <c r="CX107" s="231">
        <f>(CX102/Summary!$P$61)*Summary!$O$61</f>
        <v>297.54392793168716</v>
      </c>
      <c r="CY107" s="231">
        <f>(CY102/Summary!$P$61)*Summary!$O$61</f>
        <v>297.54392793168716</v>
      </c>
      <c r="CZ107" s="231">
        <f>(CZ102/Summary!$P$61)*Summary!$O$61</f>
        <v>312.62000388871843</v>
      </c>
      <c r="DA107" s="231">
        <f>(DA102/Summary!$P$61)*Summary!$O$61</f>
        <v>312.62000388871843</v>
      </c>
      <c r="DB107" s="231">
        <f>(DB102/Summary!$P$61)*Summary!$O$61</f>
        <v>312.62000388871843</v>
      </c>
      <c r="DC107" s="231">
        <f>(DC102/Summary!$P$61)*Summary!$O$61</f>
        <v>326.80054062335296</v>
      </c>
      <c r="DD107" s="231">
        <f>(DD102/Summary!$P$61)*Summary!$O$61</f>
        <v>326.80054062335296</v>
      </c>
      <c r="DE107" s="231">
        <f>(DE102/Summary!$P$61)*Summary!$O$61</f>
        <v>326.80054062335296</v>
      </c>
      <c r="DF107" s="231">
        <f>(DF102/Summary!$P$61)*Summary!$O$61</f>
        <v>336.8512579280403</v>
      </c>
      <c r="DG107" s="231">
        <f>(DG102/Summary!$P$61)*Summary!$O$61</f>
        <v>367.00340984210311</v>
      </c>
      <c r="DH107" s="231">
        <f>(DH102/Summary!$P$61)*Summary!$O$61</f>
        <v>367.00340984210311</v>
      </c>
      <c r="DI107" s="231">
        <f>(DI102/Summary!$P$61)*Summary!$O$61</f>
        <v>360.0161889441581</v>
      </c>
      <c r="DJ107" s="231">
        <f>(DJ102/Summary!$P$61)*Summary!$O$61</f>
        <v>360.0161889441581</v>
      </c>
      <c r="DK107" s="231">
        <f>(DK102/Summary!$P$61)*Summary!$O$61</f>
        <v>360.0161889441581</v>
      </c>
      <c r="DL107" s="231">
        <f>(DL102/Summary!$P$61)*Summary!$O$61</f>
        <v>375.84606869904093</v>
      </c>
      <c r="DM107" s="231">
        <f>(DM102/Summary!$P$61)*Summary!$O$61</f>
        <v>375.84606869904093</v>
      </c>
      <c r="DN107" s="231">
        <f>(DN102/Summary!$P$61)*Summary!$O$61</f>
        <v>375.84606869904093</v>
      </c>
      <c r="DO107" s="231">
        <f>(DO102/Summary!$P$61)*Summary!$O$61</f>
        <v>390.75354305485507</v>
      </c>
      <c r="DP107" s="231">
        <f>(DP102/Summary!$P$61)*Summary!$O$61</f>
        <v>390.75354305485507</v>
      </c>
      <c r="DQ107" s="231">
        <f>(DQ102/Summary!$P$61)*Summary!$O$61</f>
        <v>390.75354305485507</v>
      </c>
      <c r="DR107" s="231">
        <f>(DR102/Summary!$P$61)*Summary!$O$61</f>
        <v>401.30679622477692</v>
      </c>
      <c r="DS107" s="231">
        <f>(DS102/Summary!$P$61)*Summary!$O$61</f>
        <v>432.96655573454245</v>
      </c>
      <c r="DT107" s="231">
        <f>(DT102/Summary!$P$61)*Summary!$O$61</f>
        <v>432.96655573454245</v>
      </c>
      <c r="DU107" s="231">
        <f>(DU102/Summary!$P$61)*Summary!$O$61</f>
        <v>129884.50840292878</v>
      </c>
      <c r="DV107" s="268">
        <f>(DV102/Summary!$P$61)*Summary!$O$61</f>
        <v>0</v>
      </c>
    </row>
    <row r="108" spans="1:162" s="36" customFormat="1" x14ac:dyDescent="0.2">
      <c r="A108" s="202"/>
      <c r="B108" s="232" t="s">
        <v>159</v>
      </c>
      <c r="C108" s="233"/>
      <c r="D108" s="218"/>
      <c r="E108" s="234">
        <f>E107-E106</f>
        <v>101550.70572299999</v>
      </c>
      <c r="F108" s="234">
        <f t="shared" ref="F108:BQ108" si="93">F107-F106</f>
        <v>0</v>
      </c>
      <c r="G108" s="234">
        <f t="shared" si="93"/>
        <v>0</v>
      </c>
      <c r="H108" s="234">
        <f t="shared" si="93"/>
        <v>0</v>
      </c>
      <c r="I108" s="234">
        <f t="shared" si="93"/>
        <v>0</v>
      </c>
      <c r="J108" s="234">
        <f t="shared" si="93"/>
        <v>0</v>
      </c>
      <c r="K108" s="234">
        <f t="shared" si="93"/>
        <v>0</v>
      </c>
      <c r="L108" s="234">
        <f t="shared" si="93"/>
        <v>0</v>
      </c>
      <c r="M108" s="234">
        <f t="shared" si="93"/>
        <v>0</v>
      </c>
      <c r="N108" s="234">
        <f t="shared" si="93"/>
        <v>0</v>
      </c>
      <c r="O108" s="234">
        <f t="shared" si="93"/>
        <v>0</v>
      </c>
      <c r="P108" s="234">
        <f t="shared" si="93"/>
        <v>0</v>
      </c>
      <c r="Q108" s="234">
        <f t="shared" si="93"/>
        <v>0</v>
      </c>
      <c r="R108" s="234">
        <f t="shared" si="93"/>
        <v>0</v>
      </c>
      <c r="S108" s="234">
        <f t="shared" si="93"/>
        <v>0</v>
      </c>
      <c r="T108" s="234">
        <f t="shared" si="93"/>
        <v>0</v>
      </c>
      <c r="U108" s="234">
        <f t="shared" si="93"/>
        <v>0</v>
      </c>
      <c r="V108" s="234">
        <f t="shared" si="93"/>
        <v>0</v>
      </c>
      <c r="W108" s="234">
        <f t="shared" si="93"/>
        <v>0</v>
      </c>
      <c r="X108" s="234">
        <f t="shared" si="93"/>
        <v>685.625</v>
      </c>
      <c r="Y108" s="234">
        <f t="shared" si="93"/>
        <v>685.625</v>
      </c>
      <c r="Z108" s="234">
        <f t="shared" si="93"/>
        <v>48999.406239953474</v>
      </c>
      <c r="AA108" s="234">
        <f t="shared" si="93"/>
        <v>0</v>
      </c>
      <c r="AB108" s="234">
        <f t="shared" si="93"/>
        <v>0</v>
      </c>
      <c r="AC108" s="234">
        <f t="shared" si="93"/>
        <v>0</v>
      </c>
      <c r="AD108" s="234">
        <f t="shared" si="93"/>
        <v>0</v>
      </c>
      <c r="AE108" s="234">
        <f t="shared" si="93"/>
        <v>0</v>
      </c>
      <c r="AF108" s="234">
        <f t="shared" si="93"/>
        <v>0</v>
      </c>
      <c r="AG108" s="234">
        <f t="shared" si="93"/>
        <v>0</v>
      </c>
      <c r="AH108" s="234">
        <f t="shared" si="93"/>
        <v>0</v>
      </c>
      <c r="AI108" s="234">
        <f t="shared" si="93"/>
        <v>4.8959259534967714</v>
      </c>
      <c r="AJ108" s="234">
        <f t="shared" si="93"/>
        <v>4.8959259534967714</v>
      </c>
      <c r="AK108" s="234">
        <f t="shared" si="93"/>
        <v>4.8959259534967714</v>
      </c>
      <c r="AL108" s="234">
        <f t="shared" si="93"/>
        <v>12.395925953496771</v>
      </c>
      <c r="AM108" s="234">
        <f t="shared" si="93"/>
        <v>34.895925953496771</v>
      </c>
      <c r="AN108" s="234">
        <f t="shared" si="93"/>
        <v>34.895925953496771</v>
      </c>
      <c r="AO108" s="234">
        <f t="shared" si="93"/>
        <v>29.044238453496845</v>
      </c>
      <c r="AP108" s="234">
        <f t="shared" si="93"/>
        <v>29.044238453496845</v>
      </c>
      <c r="AQ108" s="234">
        <f t="shared" si="93"/>
        <v>29.044238453496845</v>
      </c>
      <c r="AR108" s="234">
        <f t="shared" si="93"/>
        <v>40.856738453496838</v>
      </c>
      <c r="AS108" s="234">
        <f t="shared" si="93"/>
        <v>40.856738453496838</v>
      </c>
      <c r="AT108" s="234">
        <f t="shared" si="93"/>
        <v>40.856738453496838</v>
      </c>
      <c r="AU108" s="234">
        <f t="shared" si="93"/>
        <v>51.896738453496802</v>
      </c>
      <c r="AV108" s="234">
        <f t="shared" si="93"/>
        <v>51.896738453496802</v>
      </c>
      <c r="AW108" s="234">
        <f t="shared" si="93"/>
        <v>51.896738453496802</v>
      </c>
      <c r="AX108" s="234">
        <f t="shared" si="93"/>
        <v>59.771738453496802</v>
      </c>
      <c r="AY108" s="234">
        <f t="shared" si="93"/>
        <v>83.396738453496809</v>
      </c>
      <c r="AZ108" s="234">
        <f t="shared" si="93"/>
        <v>83.396738453496809</v>
      </c>
      <c r="BA108" s="234">
        <f t="shared" si="93"/>
        <v>77.369500328496727</v>
      </c>
      <c r="BB108" s="234">
        <f t="shared" si="93"/>
        <v>77.369500328496727</v>
      </c>
      <c r="BC108" s="234">
        <f t="shared" si="93"/>
        <v>77.369500328496727</v>
      </c>
      <c r="BD108" s="234">
        <f t="shared" si="93"/>
        <v>89.77262532849673</v>
      </c>
      <c r="BE108" s="234">
        <f t="shared" si="93"/>
        <v>89.77262532849673</v>
      </c>
      <c r="BF108" s="234">
        <f t="shared" si="93"/>
        <v>89.77262532849673</v>
      </c>
      <c r="BG108" s="234">
        <f t="shared" si="93"/>
        <v>101.38007532849679</v>
      </c>
      <c r="BH108" s="234">
        <f t="shared" si="93"/>
        <v>101.38007532849679</v>
      </c>
      <c r="BI108" s="234">
        <f t="shared" si="93"/>
        <v>101.38007532849679</v>
      </c>
      <c r="BJ108" s="234">
        <f t="shared" si="93"/>
        <v>109.6488253284968</v>
      </c>
      <c r="BK108" s="234">
        <f t="shared" si="93"/>
        <v>134.455075328497</v>
      </c>
      <c r="BL108" s="234">
        <f t="shared" si="93"/>
        <v>134.455075328497</v>
      </c>
      <c r="BM108" s="234">
        <f t="shared" si="93"/>
        <v>128.24702005974686</v>
      </c>
      <c r="BN108" s="234">
        <f t="shared" si="93"/>
        <v>128.24702005974686</v>
      </c>
      <c r="BO108" s="234">
        <f t="shared" si="93"/>
        <v>128.24702005974686</v>
      </c>
      <c r="BP108" s="234">
        <f t="shared" si="93"/>
        <v>141.27030130974671</v>
      </c>
      <c r="BQ108" s="234">
        <f t="shared" si="93"/>
        <v>141.27030130974671</v>
      </c>
      <c r="BR108" s="234">
        <f t="shared" ref="BR108:DV108" si="94">BR107-BR106</f>
        <v>141.27030130974671</v>
      </c>
      <c r="BS108" s="234">
        <f t="shared" si="94"/>
        <v>153.47403730974693</v>
      </c>
      <c r="BT108" s="234">
        <f t="shared" si="94"/>
        <v>153.47403730974693</v>
      </c>
      <c r="BU108" s="234">
        <f t="shared" si="94"/>
        <v>153.47403730974693</v>
      </c>
      <c r="BV108" s="234">
        <f t="shared" si="94"/>
        <v>162.15622480974707</v>
      </c>
      <c r="BW108" s="234">
        <f t="shared" si="94"/>
        <v>188.20278730974698</v>
      </c>
      <c r="BX108" s="234">
        <f t="shared" si="94"/>
        <v>188.20278730974698</v>
      </c>
      <c r="BY108" s="234">
        <f t="shared" si="94"/>
        <v>181.80849038293437</v>
      </c>
      <c r="BZ108" s="234">
        <f t="shared" si="94"/>
        <v>181.80849038293437</v>
      </c>
      <c r="CA108" s="234">
        <f t="shared" si="94"/>
        <v>181.80849038293437</v>
      </c>
      <c r="CB108" s="234">
        <f t="shared" si="94"/>
        <v>195.48293569543441</v>
      </c>
      <c r="CC108" s="234">
        <f t="shared" si="94"/>
        <v>195.48293569543441</v>
      </c>
      <c r="CD108" s="234">
        <f t="shared" si="94"/>
        <v>195.48293569543441</v>
      </c>
      <c r="CE108" s="234">
        <f t="shared" si="94"/>
        <v>208.31324940043453</v>
      </c>
      <c r="CF108" s="234">
        <f t="shared" si="94"/>
        <v>208.31324940043453</v>
      </c>
      <c r="CG108" s="234">
        <f t="shared" si="94"/>
        <v>208.31324940043453</v>
      </c>
      <c r="CH108" s="234">
        <f t="shared" si="94"/>
        <v>217.4295462754344</v>
      </c>
      <c r="CI108" s="234">
        <f t="shared" si="94"/>
        <v>244.77843690043449</v>
      </c>
      <c r="CJ108" s="234">
        <f t="shared" si="94"/>
        <v>244.77843690043449</v>
      </c>
      <c r="CK108" s="234">
        <f t="shared" si="94"/>
        <v>238.19231106581756</v>
      </c>
      <c r="CL108" s="234">
        <f t="shared" si="94"/>
        <v>238.19231106581756</v>
      </c>
      <c r="CM108" s="234">
        <f t="shared" si="94"/>
        <v>238.19231106581756</v>
      </c>
      <c r="CN108" s="234">
        <f t="shared" si="94"/>
        <v>252.55047864394257</v>
      </c>
      <c r="CO108" s="234">
        <f t="shared" si="94"/>
        <v>252.55047864394257</v>
      </c>
      <c r="CP108" s="234">
        <f t="shared" si="94"/>
        <v>252.55047864394257</v>
      </c>
      <c r="CQ108" s="234">
        <f t="shared" si="94"/>
        <v>266.03919066634262</v>
      </c>
      <c r="CR108" s="234">
        <f t="shared" si="94"/>
        <v>266.03919066634262</v>
      </c>
      <c r="CS108" s="234">
        <f t="shared" si="94"/>
        <v>266.03919066634262</v>
      </c>
      <c r="CT108" s="234">
        <f t="shared" si="94"/>
        <v>275.61130238509253</v>
      </c>
      <c r="CU108" s="234">
        <f t="shared" si="94"/>
        <v>304.32763754134248</v>
      </c>
      <c r="CV108" s="234">
        <f t="shared" si="94"/>
        <v>304.32763754134248</v>
      </c>
      <c r="CW108" s="234">
        <f t="shared" si="94"/>
        <v>297.54392793168716</v>
      </c>
      <c r="CX108" s="234">
        <f t="shared" si="94"/>
        <v>297.54392793168716</v>
      </c>
      <c r="CY108" s="234">
        <f t="shared" si="94"/>
        <v>297.54392793168716</v>
      </c>
      <c r="CZ108" s="234">
        <f t="shared" si="94"/>
        <v>312.62000388871843</v>
      </c>
      <c r="DA108" s="234">
        <f t="shared" si="94"/>
        <v>312.62000388871843</v>
      </c>
      <c r="DB108" s="234">
        <f t="shared" si="94"/>
        <v>312.62000388871843</v>
      </c>
      <c r="DC108" s="234">
        <f t="shared" si="94"/>
        <v>326.80054062335296</v>
      </c>
      <c r="DD108" s="234">
        <f t="shared" si="94"/>
        <v>326.80054062335296</v>
      </c>
      <c r="DE108" s="234">
        <f t="shared" si="94"/>
        <v>326.80054062335296</v>
      </c>
      <c r="DF108" s="234">
        <f t="shared" si="94"/>
        <v>336.8512579280403</v>
      </c>
      <c r="DG108" s="234">
        <f t="shared" si="94"/>
        <v>367.00340984210311</v>
      </c>
      <c r="DH108" s="234">
        <f t="shared" si="94"/>
        <v>367.00340984210311</v>
      </c>
      <c r="DI108" s="234">
        <f t="shared" si="94"/>
        <v>360.0161889441581</v>
      </c>
      <c r="DJ108" s="234">
        <f t="shared" si="94"/>
        <v>360.0161889441581</v>
      </c>
      <c r="DK108" s="234">
        <f t="shared" si="94"/>
        <v>360.0161889441581</v>
      </c>
      <c r="DL108" s="234">
        <f t="shared" si="94"/>
        <v>375.84606869904093</v>
      </c>
      <c r="DM108" s="234">
        <f t="shared" si="94"/>
        <v>375.84606869904093</v>
      </c>
      <c r="DN108" s="234">
        <f t="shared" si="94"/>
        <v>375.84606869904093</v>
      </c>
      <c r="DO108" s="234">
        <f t="shared" si="94"/>
        <v>390.75354305485507</v>
      </c>
      <c r="DP108" s="234">
        <f t="shared" si="94"/>
        <v>390.75354305485507</v>
      </c>
      <c r="DQ108" s="234">
        <f t="shared" si="94"/>
        <v>390.75354305485507</v>
      </c>
      <c r="DR108" s="234">
        <f t="shared" si="94"/>
        <v>401.30679622477692</v>
      </c>
      <c r="DS108" s="234">
        <f t="shared" si="94"/>
        <v>432.96655573454245</v>
      </c>
      <c r="DT108" s="234">
        <f t="shared" si="94"/>
        <v>432.96655573454245</v>
      </c>
      <c r="DU108" s="234">
        <f t="shared" si="94"/>
        <v>129884.50840292878</v>
      </c>
      <c r="DV108" s="218">
        <f t="shared" si="94"/>
        <v>0</v>
      </c>
      <c r="DW108" s="227"/>
      <c r="DX108" s="227"/>
      <c r="DY108" s="227"/>
      <c r="DZ108" s="227"/>
      <c r="EA108" s="227"/>
      <c r="EB108" s="227"/>
      <c r="EC108" s="227"/>
      <c r="ED108" s="227"/>
      <c r="EE108" s="227"/>
      <c r="EF108" s="227"/>
      <c r="EG108" s="227"/>
      <c r="EH108" s="227"/>
      <c r="EI108" s="227"/>
      <c r="EJ108" s="227"/>
      <c r="EK108" s="227"/>
      <c r="EL108" s="227"/>
      <c r="EM108" s="227"/>
      <c r="EN108" s="227"/>
      <c r="EO108" s="227"/>
      <c r="EP108" s="227"/>
      <c r="EQ108" s="227"/>
      <c r="ER108" s="227"/>
      <c r="ES108" s="227"/>
      <c r="ET108" s="227"/>
      <c r="EU108" s="227"/>
      <c r="EV108" s="227"/>
      <c r="EW108" s="227"/>
      <c r="EX108" s="227"/>
      <c r="EY108" s="227"/>
      <c r="EZ108" s="227"/>
      <c r="FA108" s="227"/>
      <c r="FB108" s="227"/>
      <c r="FC108" s="227"/>
      <c r="FD108" s="227"/>
      <c r="FE108" s="227"/>
      <c r="FF108" s="227"/>
    </row>
    <row r="109" spans="1:162" s="36" customFormat="1" x14ac:dyDescent="0.2">
      <c r="A109" s="202"/>
      <c r="B109" s="235"/>
      <c r="C109" s="236"/>
      <c r="D109" s="218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234"/>
      <c r="V109" s="234"/>
      <c r="W109" s="234"/>
      <c r="X109" s="234"/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234"/>
      <c r="AL109" s="234"/>
      <c r="AM109" s="234"/>
      <c r="AN109" s="234"/>
      <c r="AO109" s="234"/>
      <c r="AP109" s="234"/>
      <c r="AQ109" s="234"/>
      <c r="AR109" s="234"/>
      <c r="AS109" s="234"/>
      <c r="AT109" s="234"/>
      <c r="AU109" s="234"/>
      <c r="AV109" s="234"/>
      <c r="AW109" s="234"/>
      <c r="AX109" s="234"/>
      <c r="AY109" s="234"/>
      <c r="AZ109" s="234"/>
      <c r="BA109" s="234"/>
      <c r="BB109" s="234"/>
      <c r="BC109" s="234"/>
      <c r="BD109" s="234"/>
      <c r="BE109" s="234"/>
      <c r="BF109" s="234"/>
      <c r="BG109" s="234"/>
      <c r="BH109" s="234"/>
      <c r="BI109" s="234"/>
      <c r="BJ109" s="234"/>
      <c r="BK109" s="234"/>
      <c r="BL109" s="234"/>
      <c r="BM109" s="234"/>
      <c r="BN109" s="234"/>
      <c r="BO109" s="234"/>
      <c r="BP109" s="234"/>
      <c r="BQ109" s="234"/>
      <c r="BR109" s="234"/>
      <c r="BS109" s="234"/>
      <c r="BT109" s="234"/>
      <c r="BU109" s="234"/>
      <c r="BV109" s="234"/>
      <c r="BW109" s="234"/>
      <c r="BX109" s="234"/>
      <c r="BY109" s="234"/>
      <c r="BZ109" s="234"/>
      <c r="CA109" s="234"/>
      <c r="CB109" s="234"/>
      <c r="CC109" s="234"/>
      <c r="CD109" s="234"/>
      <c r="CE109" s="234"/>
      <c r="CF109" s="234"/>
      <c r="CG109" s="234"/>
      <c r="CH109" s="234"/>
      <c r="CI109" s="234"/>
      <c r="CJ109" s="234"/>
      <c r="CK109" s="234"/>
      <c r="CL109" s="234"/>
      <c r="CM109" s="234"/>
      <c r="CN109" s="234"/>
      <c r="CO109" s="234"/>
      <c r="CP109" s="234"/>
      <c r="CQ109" s="234"/>
      <c r="CR109" s="234"/>
      <c r="CS109" s="234"/>
      <c r="CT109" s="234"/>
      <c r="CU109" s="234"/>
      <c r="CV109" s="234"/>
      <c r="CW109" s="234"/>
      <c r="CX109" s="234"/>
      <c r="CY109" s="234"/>
      <c r="CZ109" s="234"/>
      <c r="DA109" s="234"/>
      <c r="DB109" s="234"/>
      <c r="DC109" s="234"/>
      <c r="DD109" s="234"/>
      <c r="DE109" s="234"/>
      <c r="DF109" s="234"/>
      <c r="DG109" s="234"/>
      <c r="DH109" s="234"/>
      <c r="DI109" s="234"/>
      <c r="DJ109" s="234"/>
      <c r="DK109" s="234"/>
      <c r="DL109" s="234"/>
      <c r="DM109" s="234"/>
      <c r="DN109" s="234"/>
      <c r="DO109" s="234"/>
      <c r="DP109" s="234"/>
      <c r="DQ109" s="234"/>
      <c r="DR109" s="234"/>
      <c r="DS109" s="234"/>
      <c r="DT109" s="234"/>
      <c r="DU109" s="234"/>
      <c r="DV109" s="218"/>
      <c r="DW109" s="227"/>
      <c r="DX109" s="227"/>
      <c r="DY109" s="227"/>
      <c r="DZ109" s="227"/>
      <c r="EA109" s="227"/>
      <c r="EB109" s="227"/>
      <c r="EC109" s="227"/>
      <c r="ED109" s="227"/>
      <c r="EE109" s="227"/>
      <c r="EF109" s="227"/>
      <c r="EG109" s="227"/>
      <c r="EH109" s="227"/>
      <c r="EI109" s="227"/>
      <c r="EJ109" s="227"/>
      <c r="EK109" s="227"/>
      <c r="EL109" s="227"/>
      <c r="EM109" s="227"/>
      <c r="EN109" s="227"/>
      <c r="EO109" s="227"/>
      <c r="EP109" s="227"/>
      <c r="EQ109" s="227"/>
      <c r="ER109" s="227"/>
      <c r="ES109" s="227"/>
      <c r="ET109" s="227"/>
      <c r="EU109" s="227"/>
      <c r="EV109" s="227"/>
      <c r="EW109" s="227"/>
      <c r="EX109" s="227"/>
      <c r="EY109" s="227"/>
      <c r="EZ109" s="227"/>
      <c r="FA109" s="227"/>
      <c r="FB109" s="227"/>
      <c r="FC109" s="227"/>
      <c r="FD109" s="227"/>
      <c r="FE109" s="227"/>
      <c r="FF109" s="227"/>
    </row>
    <row r="110" spans="1:162" s="36" customFormat="1" x14ac:dyDescent="0.2">
      <c r="A110" s="202"/>
      <c r="B110" s="237" t="s">
        <v>160</v>
      </c>
      <c r="C110" s="238"/>
      <c r="D110" s="223">
        <f>SUM(E110:DV110)</f>
        <v>1980829.1178429443</v>
      </c>
      <c r="E110" s="224">
        <f>SUM(E107,E102)</f>
        <v>0</v>
      </c>
      <c r="F110" s="224">
        <f t="shared" ref="F110:BQ110" si="95">SUM(F107,F102)</f>
        <v>0</v>
      </c>
      <c r="G110" s="224">
        <f t="shared" si="95"/>
        <v>0</v>
      </c>
      <c r="H110" s="224">
        <f t="shared" si="95"/>
        <v>0</v>
      </c>
      <c r="I110" s="224">
        <f t="shared" si="95"/>
        <v>0</v>
      </c>
      <c r="J110" s="224">
        <f t="shared" si="95"/>
        <v>0</v>
      </c>
      <c r="K110" s="224">
        <f t="shared" si="95"/>
        <v>0</v>
      </c>
      <c r="L110" s="224">
        <f t="shared" si="95"/>
        <v>0</v>
      </c>
      <c r="M110" s="224">
        <f t="shared" si="95"/>
        <v>0</v>
      </c>
      <c r="N110" s="224">
        <f t="shared" si="95"/>
        <v>0</v>
      </c>
      <c r="O110" s="224">
        <f t="shared" si="95"/>
        <v>0</v>
      </c>
      <c r="P110" s="224">
        <f t="shared" si="95"/>
        <v>0</v>
      </c>
      <c r="Q110" s="224">
        <f t="shared" si="95"/>
        <v>0</v>
      </c>
      <c r="R110" s="224">
        <f t="shared" si="95"/>
        <v>0</v>
      </c>
      <c r="S110" s="224">
        <f t="shared" si="95"/>
        <v>0</v>
      </c>
      <c r="T110" s="224">
        <f t="shared" si="95"/>
        <v>0</v>
      </c>
      <c r="U110" s="224">
        <f t="shared" si="95"/>
        <v>0</v>
      </c>
      <c r="V110" s="224">
        <f t="shared" si="95"/>
        <v>0</v>
      </c>
      <c r="W110" s="224">
        <f t="shared" si="95"/>
        <v>0</v>
      </c>
      <c r="X110" s="224">
        <f t="shared" si="95"/>
        <v>6856.25</v>
      </c>
      <c r="Y110" s="224">
        <f t="shared" si="95"/>
        <v>6856.25</v>
      </c>
      <c r="Z110" s="224">
        <f t="shared" si="95"/>
        <v>489994.06239953474</v>
      </c>
      <c r="AA110" s="224">
        <f t="shared" si="95"/>
        <v>0</v>
      </c>
      <c r="AB110" s="224">
        <f t="shared" si="95"/>
        <v>0</v>
      </c>
      <c r="AC110" s="224">
        <f t="shared" si="95"/>
        <v>0</v>
      </c>
      <c r="AD110" s="224">
        <f t="shared" si="95"/>
        <v>0</v>
      </c>
      <c r="AE110" s="224">
        <f t="shared" si="95"/>
        <v>0</v>
      </c>
      <c r="AF110" s="224">
        <f t="shared" si="95"/>
        <v>0</v>
      </c>
      <c r="AG110" s="224">
        <f t="shared" si="95"/>
        <v>0</v>
      </c>
      <c r="AH110" s="224">
        <f t="shared" si="95"/>
        <v>0</v>
      </c>
      <c r="AI110" s="224">
        <f t="shared" si="95"/>
        <v>48.959259534967714</v>
      </c>
      <c r="AJ110" s="224">
        <f t="shared" si="95"/>
        <v>48.959259534967714</v>
      </c>
      <c r="AK110" s="224">
        <f t="shared" si="95"/>
        <v>48.959259534967714</v>
      </c>
      <c r="AL110" s="224">
        <f t="shared" si="95"/>
        <v>123.95925953496771</v>
      </c>
      <c r="AM110" s="224">
        <f t="shared" si="95"/>
        <v>348.95925953496771</v>
      </c>
      <c r="AN110" s="224">
        <f t="shared" si="95"/>
        <v>348.95925953496771</v>
      </c>
      <c r="AO110" s="224">
        <f t="shared" si="95"/>
        <v>290.44238453496843</v>
      </c>
      <c r="AP110" s="224">
        <f t="shared" si="95"/>
        <v>290.44238453496843</v>
      </c>
      <c r="AQ110" s="224">
        <f t="shared" si="95"/>
        <v>290.44238453496843</v>
      </c>
      <c r="AR110" s="224">
        <f t="shared" si="95"/>
        <v>408.56738453496843</v>
      </c>
      <c r="AS110" s="224">
        <f t="shared" si="95"/>
        <v>408.56738453496843</v>
      </c>
      <c r="AT110" s="224">
        <f t="shared" si="95"/>
        <v>408.56738453496843</v>
      </c>
      <c r="AU110" s="224">
        <f t="shared" si="95"/>
        <v>518.96738453496801</v>
      </c>
      <c r="AV110" s="224">
        <f t="shared" si="95"/>
        <v>518.96738453496801</v>
      </c>
      <c r="AW110" s="224">
        <f t="shared" si="95"/>
        <v>518.96738453496801</v>
      </c>
      <c r="AX110" s="224">
        <f t="shared" si="95"/>
        <v>597.71738453496801</v>
      </c>
      <c r="AY110" s="224">
        <f t="shared" si="95"/>
        <v>833.96738453496801</v>
      </c>
      <c r="AZ110" s="224">
        <f t="shared" si="95"/>
        <v>833.96738453496801</v>
      </c>
      <c r="BA110" s="224">
        <f t="shared" si="95"/>
        <v>773.69500328496736</v>
      </c>
      <c r="BB110" s="224">
        <f t="shared" si="95"/>
        <v>773.69500328496736</v>
      </c>
      <c r="BC110" s="224">
        <f t="shared" si="95"/>
        <v>773.69500328496736</v>
      </c>
      <c r="BD110" s="224">
        <f t="shared" si="95"/>
        <v>897.72625328496724</v>
      </c>
      <c r="BE110" s="224">
        <f t="shared" si="95"/>
        <v>897.72625328496724</v>
      </c>
      <c r="BF110" s="224">
        <f t="shared" si="95"/>
        <v>897.72625328496724</v>
      </c>
      <c r="BG110" s="224">
        <f t="shared" si="95"/>
        <v>1013.8007532849679</v>
      </c>
      <c r="BH110" s="224">
        <f t="shared" si="95"/>
        <v>1013.8007532849679</v>
      </c>
      <c r="BI110" s="224">
        <f t="shared" si="95"/>
        <v>1013.8007532849679</v>
      </c>
      <c r="BJ110" s="224">
        <f t="shared" si="95"/>
        <v>1096.4882532849679</v>
      </c>
      <c r="BK110" s="224">
        <f t="shared" si="95"/>
        <v>1344.5507532849699</v>
      </c>
      <c r="BL110" s="224">
        <f t="shared" si="95"/>
        <v>1344.5507532849699</v>
      </c>
      <c r="BM110" s="224">
        <f t="shared" si="95"/>
        <v>1282.4702005974686</v>
      </c>
      <c r="BN110" s="224">
        <f t="shared" si="95"/>
        <v>1282.4702005974686</v>
      </c>
      <c r="BO110" s="224">
        <f t="shared" si="95"/>
        <v>1282.4702005974686</v>
      </c>
      <c r="BP110" s="224">
        <f t="shared" si="95"/>
        <v>1412.7030130974672</v>
      </c>
      <c r="BQ110" s="224">
        <f t="shared" si="95"/>
        <v>1412.7030130974672</v>
      </c>
      <c r="BR110" s="224">
        <f t="shared" ref="BR110:DV110" si="96">SUM(BR107,BR102)</f>
        <v>1412.7030130974672</v>
      </c>
      <c r="BS110" s="224">
        <f t="shared" si="96"/>
        <v>1534.7403730974695</v>
      </c>
      <c r="BT110" s="224">
        <f t="shared" si="96"/>
        <v>1534.7403730974695</v>
      </c>
      <c r="BU110" s="224">
        <f t="shared" si="96"/>
        <v>1534.7403730974695</v>
      </c>
      <c r="BV110" s="224">
        <f t="shared" si="96"/>
        <v>1621.5622480974707</v>
      </c>
      <c r="BW110" s="224">
        <f t="shared" si="96"/>
        <v>1882.0278730974696</v>
      </c>
      <c r="BX110" s="224">
        <f t="shared" si="96"/>
        <v>1882.0278730974696</v>
      </c>
      <c r="BY110" s="224">
        <f t="shared" si="96"/>
        <v>1818.0849038293438</v>
      </c>
      <c r="BZ110" s="224">
        <f t="shared" si="96"/>
        <v>1818.0849038293438</v>
      </c>
      <c r="CA110" s="224">
        <f t="shared" si="96"/>
        <v>1818.0849038293438</v>
      </c>
      <c r="CB110" s="224">
        <f t="shared" si="96"/>
        <v>1954.8293569543439</v>
      </c>
      <c r="CC110" s="224">
        <f t="shared" si="96"/>
        <v>1954.8293569543439</v>
      </c>
      <c r="CD110" s="224">
        <f t="shared" si="96"/>
        <v>1954.8293569543439</v>
      </c>
      <c r="CE110" s="224">
        <f t="shared" si="96"/>
        <v>2083.1324940043451</v>
      </c>
      <c r="CF110" s="224">
        <f t="shared" si="96"/>
        <v>2083.1324940043451</v>
      </c>
      <c r="CG110" s="224">
        <f t="shared" si="96"/>
        <v>2083.1324940043451</v>
      </c>
      <c r="CH110" s="224">
        <f t="shared" si="96"/>
        <v>2174.295462754344</v>
      </c>
      <c r="CI110" s="224">
        <f t="shared" si="96"/>
        <v>2447.7843690043446</v>
      </c>
      <c r="CJ110" s="224">
        <f t="shared" si="96"/>
        <v>2447.7843690043446</v>
      </c>
      <c r="CK110" s="224">
        <f t="shared" si="96"/>
        <v>2381.9231106581756</v>
      </c>
      <c r="CL110" s="224">
        <f t="shared" si="96"/>
        <v>2381.9231106581756</v>
      </c>
      <c r="CM110" s="224">
        <f t="shared" si="96"/>
        <v>2381.9231106581756</v>
      </c>
      <c r="CN110" s="224">
        <f t="shared" si="96"/>
        <v>2525.5047864394255</v>
      </c>
      <c r="CO110" s="224">
        <f t="shared" si="96"/>
        <v>2525.5047864394255</v>
      </c>
      <c r="CP110" s="224">
        <f t="shared" si="96"/>
        <v>2525.5047864394255</v>
      </c>
      <c r="CQ110" s="224">
        <f t="shared" si="96"/>
        <v>2660.3919066634262</v>
      </c>
      <c r="CR110" s="224">
        <f t="shared" si="96"/>
        <v>2660.3919066634262</v>
      </c>
      <c r="CS110" s="224">
        <f t="shared" si="96"/>
        <v>2660.3919066634262</v>
      </c>
      <c r="CT110" s="224">
        <f t="shared" si="96"/>
        <v>2756.1130238509249</v>
      </c>
      <c r="CU110" s="224">
        <f t="shared" si="96"/>
        <v>3043.2763754134248</v>
      </c>
      <c r="CV110" s="224">
        <f t="shared" si="96"/>
        <v>3043.2763754134248</v>
      </c>
      <c r="CW110" s="224">
        <f t="shared" si="96"/>
        <v>2975.4392793168718</v>
      </c>
      <c r="CX110" s="224">
        <f t="shared" si="96"/>
        <v>2975.4392793168718</v>
      </c>
      <c r="CY110" s="224">
        <f t="shared" si="96"/>
        <v>2975.4392793168718</v>
      </c>
      <c r="CZ110" s="224">
        <f t="shared" si="96"/>
        <v>3126.2000388871838</v>
      </c>
      <c r="DA110" s="224">
        <f t="shared" si="96"/>
        <v>3126.2000388871838</v>
      </c>
      <c r="DB110" s="224">
        <f t="shared" si="96"/>
        <v>3126.2000388871838</v>
      </c>
      <c r="DC110" s="224">
        <f t="shared" si="96"/>
        <v>3268.0054062335294</v>
      </c>
      <c r="DD110" s="224">
        <f t="shared" si="96"/>
        <v>3268.0054062335294</v>
      </c>
      <c r="DE110" s="224">
        <f t="shared" si="96"/>
        <v>3268.0054062335294</v>
      </c>
      <c r="DF110" s="224">
        <f t="shared" si="96"/>
        <v>3368.5125792804033</v>
      </c>
      <c r="DG110" s="224">
        <f t="shared" si="96"/>
        <v>3670.0340984210306</v>
      </c>
      <c r="DH110" s="224">
        <f t="shared" si="96"/>
        <v>3670.0340984210306</v>
      </c>
      <c r="DI110" s="224">
        <f t="shared" si="96"/>
        <v>3600.1618894415806</v>
      </c>
      <c r="DJ110" s="224">
        <f t="shared" si="96"/>
        <v>3600.1618894415806</v>
      </c>
      <c r="DK110" s="224">
        <f t="shared" si="96"/>
        <v>3600.1618894415806</v>
      </c>
      <c r="DL110" s="224">
        <f t="shared" si="96"/>
        <v>3758.4606869904096</v>
      </c>
      <c r="DM110" s="224">
        <f t="shared" si="96"/>
        <v>3758.4606869904096</v>
      </c>
      <c r="DN110" s="224">
        <f t="shared" si="96"/>
        <v>3758.4606869904096</v>
      </c>
      <c r="DO110" s="224">
        <f t="shared" si="96"/>
        <v>3907.5354305485507</v>
      </c>
      <c r="DP110" s="224">
        <f t="shared" si="96"/>
        <v>3907.5354305485507</v>
      </c>
      <c r="DQ110" s="224">
        <f t="shared" si="96"/>
        <v>3907.5354305485507</v>
      </c>
      <c r="DR110" s="224">
        <f t="shared" si="96"/>
        <v>4013.0679622477692</v>
      </c>
      <c r="DS110" s="224">
        <f t="shared" si="96"/>
        <v>4329.6655573454245</v>
      </c>
      <c r="DT110" s="224">
        <f t="shared" si="96"/>
        <v>4329.6655573454245</v>
      </c>
      <c r="DU110" s="224">
        <f t="shared" si="96"/>
        <v>1298845.0840292878</v>
      </c>
      <c r="DV110" s="223">
        <f t="shared" si="96"/>
        <v>0</v>
      </c>
      <c r="DW110" s="217"/>
      <c r="DX110" s="217"/>
      <c r="DY110" s="217"/>
      <c r="DZ110" s="217"/>
      <c r="EA110" s="217"/>
      <c r="EB110" s="217"/>
      <c r="EC110" s="217"/>
      <c r="ED110" s="217"/>
      <c r="EE110" s="217"/>
      <c r="EF110" s="217"/>
      <c r="EG110" s="217"/>
      <c r="EH110" s="217"/>
      <c r="EI110" s="217"/>
      <c r="EJ110" s="217"/>
      <c r="EK110" s="217"/>
      <c r="EL110" s="217"/>
      <c r="EM110" s="217"/>
      <c r="EN110" s="217"/>
      <c r="EO110" s="217"/>
      <c r="EP110" s="217"/>
      <c r="EQ110" s="217"/>
      <c r="ER110" s="217"/>
      <c r="ES110" s="217"/>
      <c r="ET110" s="217"/>
      <c r="EU110" s="217"/>
      <c r="EV110" s="217"/>
      <c r="EW110" s="217"/>
      <c r="EX110" s="217"/>
      <c r="EY110" s="217"/>
      <c r="EZ110" s="217"/>
      <c r="FA110" s="217"/>
      <c r="FB110" s="217"/>
      <c r="FC110" s="217"/>
      <c r="FD110" s="217"/>
      <c r="FE110" s="217"/>
      <c r="FF110" s="217"/>
    </row>
    <row r="111" spans="1:162" s="36" customFormat="1" x14ac:dyDescent="0.2">
      <c r="A111" s="2"/>
      <c r="B111" s="225" t="s">
        <v>161</v>
      </c>
      <c r="C111" s="222"/>
      <c r="D111" s="223">
        <f>SUM(E111:DV111)</f>
        <v>412968.16995549831</v>
      </c>
      <c r="E111" s="224">
        <f>MAX(E89-E110,0)</f>
        <v>0</v>
      </c>
      <c r="F111" s="224">
        <f t="shared" ref="F111:BQ111" si="97">MAX(F89-F110,0)</f>
        <v>0</v>
      </c>
      <c r="G111" s="224">
        <f t="shared" si="97"/>
        <v>0</v>
      </c>
      <c r="H111" s="224">
        <f t="shared" si="97"/>
        <v>0</v>
      </c>
      <c r="I111" s="224">
        <f t="shared" si="97"/>
        <v>0</v>
      </c>
      <c r="J111" s="224">
        <f>MAX(J89-J110,0)</f>
        <v>0</v>
      </c>
      <c r="K111" s="224">
        <f t="shared" si="97"/>
        <v>0</v>
      </c>
      <c r="L111" s="224">
        <f t="shared" si="97"/>
        <v>0</v>
      </c>
      <c r="M111" s="224">
        <f t="shared" si="97"/>
        <v>0</v>
      </c>
      <c r="N111" s="224">
        <f t="shared" si="97"/>
        <v>0</v>
      </c>
      <c r="O111" s="224">
        <f t="shared" si="97"/>
        <v>0</v>
      </c>
      <c r="P111" s="224">
        <f t="shared" si="97"/>
        <v>0</v>
      </c>
      <c r="Q111" s="224">
        <f t="shared" si="97"/>
        <v>0</v>
      </c>
      <c r="R111" s="224">
        <f t="shared" si="97"/>
        <v>0</v>
      </c>
      <c r="S111" s="224">
        <f t="shared" si="97"/>
        <v>0</v>
      </c>
      <c r="T111" s="224">
        <f t="shared" si="97"/>
        <v>0</v>
      </c>
      <c r="U111" s="224">
        <f t="shared" si="97"/>
        <v>0</v>
      </c>
      <c r="V111" s="224">
        <f t="shared" si="97"/>
        <v>0</v>
      </c>
      <c r="W111" s="224">
        <f t="shared" si="97"/>
        <v>0</v>
      </c>
      <c r="X111" s="224">
        <f t="shared" si="97"/>
        <v>0</v>
      </c>
      <c r="Y111" s="224">
        <f t="shared" si="97"/>
        <v>0</v>
      </c>
      <c r="Z111" s="224">
        <f t="shared" si="97"/>
        <v>0</v>
      </c>
      <c r="AA111" s="224">
        <f t="shared" si="97"/>
        <v>0</v>
      </c>
      <c r="AB111" s="224">
        <f t="shared" si="97"/>
        <v>0</v>
      </c>
      <c r="AC111" s="224">
        <f>MAX(AC89-AC110,0)</f>
        <v>0</v>
      </c>
      <c r="AD111" s="224">
        <f t="shared" si="97"/>
        <v>0</v>
      </c>
      <c r="AE111" s="224">
        <f t="shared" si="97"/>
        <v>0</v>
      </c>
      <c r="AF111" s="224">
        <f t="shared" si="97"/>
        <v>0</v>
      </c>
      <c r="AG111" s="224">
        <f t="shared" si="97"/>
        <v>0</v>
      </c>
      <c r="AH111" s="224">
        <f t="shared" si="97"/>
        <v>0</v>
      </c>
      <c r="AI111" s="224">
        <f t="shared" si="97"/>
        <v>0</v>
      </c>
      <c r="AJ111" s="224">
        <f t="shared" si="97"/>
        <v>0</v>
      </c>
      <c r="AK111" s="224">
        <f t="shared" si="97"/>
        <v>0</v>
      </c>
      <c r="AL111" s="224">
        <f t="shared" si="97"/>
        <v>0</v>
      </c>
      <c r="AM111" s="224">
        <f t="shared" si="97"/>
        <v>0</v>
      </c>
      <c r="AN111" s="224">
        <f t="shared" si="97"/>
        <v>0</v>
      </c>
      <c r="AO111" s="224">
        <f t="shared" si="97"/>
        <v>0</v>
      </c>
      <c r="AP111" s="224">
        <f t="shared" si="97"/>
        <v>0</v>
      </c>
      <c r="AQ111" s="224">
        <f t="shared" si="97"/>
        <v>0</v>
      </c>
      <c r="AR111" s="224">
        <f t="shared" si="97"/>
        <v>0</v>
      </c>
      <c r="AS111" s="224">
        <f t="shared" si="97"/>
        <v>0</v>
      </c>
      <c r="AT111" s="224">
        <f t="shared" si="97"/>
        <v>0</v>
      </c>
      <c r="AU111" s="224">
        <f t="shared" si="97"/>
        <v>0</v>
      </c>
      <c r="AV111" s="224">
        <f t="shared" si="97"/>
        <v>0</v>
      </c>
      <c r="AW111" s="224">
        <f t="shared" si="97"/>
        <v>0</v>
      </c>
      <c r="AX111" s="224">
        <f t="shared" si="97"/>
        <v>0</v>
      </c>
      <c r="AY111" s="224">
        <f t="shared" si="97"/>
        <v>0</v>
      </c>
      <c r="AZ111" s="224">
        <f t="shared" si="97"/>
        <v>0</v>
      </c>
      <c r="BA111" s="224">
        <f t="shared" si="97"/>
        <v>0</v>
      </c>
      <c r="BB111" s="224">
        <f t="shared" si="97"/>
        <v>0</v>
      </c>
      <c r="BC111" s="224">
        <f t="shared" si="97"/>
        <v>0</v>
      </c>
      <c r="BD111" s="224">
        <f t="shared" si="97"/>
        <v>0</v>
      </c>
      <c r="BE111" s="224">
        <f t="shared" si="97"/>
        <v>0</v>
      </c>
      <c r="BF111" s="224">
        <f t="shared" si="97"/>
        <v>0</v>
      </c>
      <c r="BG111" s="224">
        <f t="shared" si="97"/>
        <v>0</v>
      </c>
      <c r="BH111" s="224">
        <f t="shared" si="97"/>
        <v>0</v>
      </c>
      <c r="BI111" s="224">
        <f>MAX(BI89-BI110,0)</f>
        <v>0</v>
      </c>
      <c r="BJ111" s="224">
        <f t="shared" si="97"/>
        <v>0</v>
      </c>
      <c r="BK111" s="224">
        <f t="shared" si="97"/>
        <v>0</v>
      </c>
      <c r="BL111" s="224">
        <f t="shared" si="97"/>
        <v>0</v>
      </c>
      <c r="BM111" s="224">
        <f t="shared" si="97"/>
        <v>0</v>
      </c>
      <c r="BN111" s="224">
        <f t="shared" si="97"/>
        <v>0</v>
      </c>
      <c r="BO111" s="224">
        <f t="shared" si="97"/>
        <v>0</v>
      </c>
      <c r="BP111" s="224">
        <f t="shared" si="97"/>
        <v>0</v>
      </c>
      <c r="BQ111" s="224">
        <f t="shared" si="97"/>
        <v>0</v>
      </c>
      <c r="BR111" s="224">
        <f t="shared" ref="BR111:DV111" si="98">MAX(BR89-BR110,0)</f>
        <v>0</v>
      </c>
      <c r="BS111" s="224">
        <f t="shared" si="98"/>
        <v>0</v>
      </c>
      <c r="BT111" s="224">
        <f t="shared" si="98"/>
        <v>0</v>
      </c>
      <c r="BU111" s="224">
        <f t="shared" si="98"/>
        <v>0</v>
      </c>
      <c r="BV111" s="224">
        <f t="shared" si="98"/>
        <v>0</v>
      </c>
      <c r="BW111" s="224">
        <f t="shared" si="98"/>
        <v>0</v>
      </c>
      <c r="BX111" s="224">
        <f t="shared" si="98"/>
        <v>0</v>
      </c>
      <c r="BY111" s="224">
        <f t="shared" si="98"/>
        <v>0</v>
      </c>
      <c r="BZ111" s="224">
        <f t="shared" si="98"/>
        <v>0</v>
      </c>
      <c r="CA111" s="224">
        <f t="shared" si="98"/>
        <v>0</v>
      </c>
      <c r="CB111" s="224">
        <f t="shared" si="98"/>
        <v>0</v>
      </c>
      <c r="CC111" s="224">
        <f t="shared" si="98"/>
        <v>0</v>
      </c>
      <c r="CD111" s="224">
        <f t="shared" si="98"/>
        <v>0</v>
      </c>
      <c r="CE111" s="224">
        <f t="shared" si="98"/>
        <v>0</v>
      </c>
      <c r="CF111" s="224">
        <f t="shared" si="98"/>
        <v>0</v>
      </c>
      <c r="CG111" s="224">
        <f t="shared" si="98"/>
        <v>0</v>
      </c>
      <c r="CH111" s="224">
        <f t="shared" si="98"/>
        <v>0</v>
      </c>
      <c r="CI111" s="224">
        <f t="shared" si="98"/>
        <v>0</v>
      </c>
      <c r="CJ111" s="224">
        <f t="shared" si="98"/>
        <v>0</v>
      </c>
      <c r="CK111" s="224">
        <f t="shared" si="98"/>
        <v>0</v>
      </c>
      <c r="CL111" s="224">
        <f t="shared" si="98"/>
        <v>0</v>
      </c>
      <c r="CM111" s="224">
        <f t="shared" si="98"/>
        <v>0</v>
      </c>
      <c r="CN111" s="224">
        <f t="shared" si="98"/>
        <v>0</v>
      </c>
      <c r="CO111" s="224">
        <f t="shared" si="98"/>
        <v>0</v>
      </c>
      <c r="CP111" s="224">
        <f t="shared" si="98"/>
        <v>0</v>
      </c>
      <c r="CQ111" s="224">
        <f t="shared" si="98"/>
        <v>0</v>
      </c>
      <c r="CR111" s="224">
        <f t="shared" si="98"/>
        <v>0</v>
      </c>
      <c r="CS111" s="224">
        <f t="shared" si="98"/>
        <v>0</v>
      </c>
      <c r="CT111" s="224">
        <f t="shared" si="98"/>
        <v>0</v>
      </c>
      <c r="CU111" s="224">
        <f t="shared" si="98"/>
        <v>0</v>
      </c>
      <c r="CV111" s="224">
        <f t="shared" si="98"/>
        <v>0</v>
      </c>
      <c r="CW111" s="224">
        <f t="shared" si="98"/>
        <v>0</v>
      </c>
      <c r="CX111" s="224">
        <f t="shared" si="98"/>
        <v>0</v>
      </c>
      <c r="CY111" s="224">
        <f t="shared" si="98"/>
        <v>0</v>
      </c>
      <c r="CZ111" s="224">
        <f t="shared" si="98"/>
        <v>0</v>
      </c>
      <c r="DA111" s="224">
        <f t="shared" si="98"/>
        <v>0</v>
      </c>
      <c r="DB111" s="224">
        <f t="shared" si="98"/>
        <v>0</v>
      </c>
      <c r="DC111" s="224">
        <f t="shared" si="98"/>
        <v>0</v>
      </c>
      <c r="DD111" s="224">
        <f t="shared" si="98"/>
        <v>0</v>
      </c>
      <c r="DE111" s="224">
        <f t="shared" si="98"/>
        <v>0</v>
      </c>
      <c r="DF111" s="224">
        <f t="shared" si="98"/>
        <v>0</v>
      </c>
      <c r="DG111" s="224">
        <f t="shared" si="98"/>
        <v>0</v>
      </c>
      <c r="DH111" s="224">
        <f t="shared" si="98"/>
        <v>0</v>
      </c>
      <c r="DI111" s="224">
        <f t="shared" si="98"/>
        <v>0</v>
      </c>
      <c r="DJ111" s="224">
        <f t="shared" si="98"/>
        <v>0</v>
      </c>
      <c r="DK111" s="224">
        <f t="shared" si="98"/>
        <v>0</v>
      </c>
      <c r="DL111" s="224">
        <f t="shared" si="98"/>
        <v>0</v>
      </c>
      <c r="DM111" s="224">
        <f t="shared" si="98"/>
        <v>0</v>
      </c>
      <c r="DN111" s="224">
        <f t="shared" si="98"/>
        <v>0</v>
      </c>
      <c r="DO111" s="224">
        <f t="shared" si="98"/>
        <v>0</v>
      </c>
      <c r="DP111" s="224">
        <f t="shared" si="98"/>
        <v>0</v>
      </c>
      <c r="DQ111" s="224">
        <f t="shared" si="98"/>
        <v>0</v>
      </c>
      <c r="DR111" s="224">
        <f t="shared" si="98"/>
        <v>0</v>
      </c>
      <c r="DS111" s="224">
        <f t="shared" si="98"/>
        <v>0</v>
      </c>
      <c r="DT111" s="224">
        <f t="shared" si="98"/>
        <v>0</v>
      </c>
      <c r="DU111" s="224">
        <f>MAX(DU89-DU110,0)</f>
        <v>412968.16995549831</v>
      </c>
      <c r="DV111" s="223">
        <f t="shared" si="98"/>
        <v>0</v>
      </c>
      <c r="DW111" s="217"/>
      <c r="DX111" s="217"/>
      <c r="DY111" s="217"/>
      <c r="DZ111" s="217"/>
      <c r="EA111" s="217"/>
      <c r="EB111" s="217"/>
      <c r="EC111" s="217"/>
      <c r="ED111" s="217"/>
      <c r="EE111" s="217"/>
      <c r="EF111" s="217"/>
      <c r="EG111" s="217"/>
      <c r="EH111" s="217"/>
      <c r="EI111" s="217"/>
      <c r="EJ111" s="217"/>
      <c r="EK111" s="217"/>
      <c r="EL111" s="217"/>
      <c r="EM111" s="217"/>
      <c r="EN111" s="217"/>
      <c r="EO111" s="217"/>
      <c r="EP111" s="217"/>
      <c r="EQ111" s="217"/>
      <c r="ER111" s="217"/>
      <c r="ES111" s="217"/>
      <c r="ET111" s="217"/>
      <c r="EU111" s="217"/>
      <c r="EV111" s="217"/>
      <c r="EW111" s="217"/>
      <c r="EX111" s="217"/>
      <c r="EY111" s="217"/>
      <c r="EZ111" s="217"/>
      <c r="FA111" s="217"/>
      <c r="FB111" s="217"/>
      <c r="FC111" s="217"/>
      <c r="FD111" s="217"/>
      <c r="FE111" s="217"/>
      <c r="FF111" s="217"/>
    </row>
    <row r="112" spans="1:162" s="36" customFormat="1" x14ac:dyDescent="0.2">
      <c r="A112" s="2"/>
      <c r="B112" s="217"/>
      <c r="C112" s="217"/>
      <c r="D112" s="219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  <c r="AF112" s="217"/>
      <c r="AG112" s="217"/>
      <c r="AH112" s="217"/>
      <c r="AI112" s="217"/>
      <c r="AJ112" s="217"/>
      <c r="AK112" s="217"/>
      <c r="AL112" s="217"/>
      <c r="AM112" s="217"/>
      <c r="AN112" s="217"/>
      <c r="AO112" s="217"/>
      <c r="AP112" s="217"/>
      <c r="AQ112" s="217"/>
      <c r="AR112" s="217"/>
      <c r="AS112" s="217"/>
      <c r="AT112" s="217"/>
      <c r="AU112" s="217"/>
      <c r="AV112" s="217"/>
      <c r="AW112" s="217"/>
      <c r="AX112" s="217"/>
      <c r="AY112" s="217"/>
      <c r="AZ112" s="217"/>
      <c r="BA112" s="217"/>
      <c r="BB112" s="217"/>
      <c r="BC112" s="217"/>
      <c r="BD112" s="217"/>
      <c r="BE112" s="217"/>
      <c r="BF112" s="217"/>
      <c r="BG112" s="217"/>
      <c r="BH112" s="217"/>
      <c r="BI112" s="217"/>
      <c r="BJ112" s="217"/>
      <c r="BK112" s="217"/>
      <c r="BL112" s="217"/>
      <c r="BM112" s="217"/>
      <c r="BN112" s="217"/>
      <c r="BO112" s="217"/>
      <c r="BP112" s="217"/>
      <c r="BQ112" s="217"/>
      <c r="BR112" s="217"/>
      <c r="BS112" s="217"/>
      <c r="BT112" s="217"/>
      <c r="BU112" s="217"/>
      <c r="BV112" s="217"/>
      <c r="BW112" s="217"/>
      <c r="BX112" s="217"/>
      <c r="BY112" s="217"/>
      <c r="BZ112" s="217"/>
      <c r="CA112" s="217"/>
      <c r="CB112" s="217"/>
      <c r="CC112" s="217"/>
      <c r="CD112" s="217"/>
      <c r="CE112" s="217"/>
      <c r="CF112" s="217"/>
      <c r="CG112" s="217"/>
      <c r="CH112" s="217"/>
      <c r="CI112" s="217"/>
      <c r="CJ112" s="217"/>
      <c r="CK112" s="217"/>
      <c r="CL112" s="217"/>
      <c r="CM112" s="217"/>
      <c r="CN112" s="217"/>
      <c r="CO112" s="217"/>
      <c r="CP112" s="217"/>
      <c r="CQ112" s="217"/>
      <c r="CR112" s="217"/>
      <c r="CS112" s="217"/>
      <c r="CT112" s="217"/>
      <c r="CU112" s="217"/>
      <c r="CV112" s="217"/>
      <c r="CW112" s="217"/>
      <c r="CX112" s="217"/>
      <c r="CY112" s="217"/>
      <c r="CZ112" s="217"/>
      <c r="DA112" s="217"/>
      <c r="DB112" s="217"/>
      <c r="DC112" s="217"/>
      <c r="DD112" s="217"/>
      <c r="DE112" s="217"/>
      <c r="DF112" s="217"/>
      <c r="DG112" s="217"/>
      <c r="DH112" s="217"/>
      <c r="DI112" s="217"/>
      <c r="DJ112" s="217"/>
      <c r="DK112" s="217"/>
      <c r="DL112" s="217"/>
      <c r="DM112" s="217"/>
      <c r="DN112" s="217"/>
      <c r="DO112" s="217"/>
      <c r="DP112" s="217"/>
      <c r="DQ112" s="217"/>
      <c r="DR112" s="217"/>
      <c r="DS112" s="217"/>
      <c r="DT112" s="217"/>
      <c r="DU112" s="219"/>
      <c r="DV112" s="229"/>
      <c r="DW112" s="217"/>
      <c r="DX112" s="217"/>
      <c r="DY112" s="217"/>
      <c r="DZ112" s="217"/>
      <c r="EA112" s="217"/>
      <c r="EB112" s="217"/>
      <c r="EC112" s="217"/>
      <c r="ED112" s="217"/>
      <c r="EE112" s="217"/>
      <c r="EF112" s="217"/>
      <c r="EG112" s="217"/>
      <c r="EH112" s="217"/>
      <c r="EI112" s="217"/>
      <c r="EJ112" s="217"/>
      <c r="EK112" s="217"/>
      <c r="EL112" s="217"/>
      <c r="EM112" s="217"/>
      <c r="EN112" s="217"/>
      <c r="EO112" s="217"/>
      <c r="EP112" s="217"/>
      <c r="EQ112" s="217"/>
      <c r="ER112" s="217"/>
      <c r="ES112" s="217"/>
      <c r="ET112" s="217"/>
      <c r="EU112" s="217"/>
      <c r="EV112" s="217"/>
      <c r="EW112" s="217"/>
      <c r="EX112" s="217"/>
      <c r="EY112" s="217"/>
      <c r="EZ112" s="217"/>
      <c r="FA112" s="217"/>
      <c r="FB112" s="217"/>
      <c r="FC112" s="217"/>
      <c r="FD112" s="217"/>
      <c r="FE112" s="217"/>
      <c r="FF112" s="217"/>
    </row>
    <row r="113" spans="1:126" s="36" customFormat="1" x14ac:dyDescent="0.2">
      <c r="A113" s="2"/>
      <c r="B113" s="194" t="s">
        <v>62</v>
      </c>
      <c r="C113" s="74"/>
      <c r="D113" s="18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  <c r="DU113" s="74"/>
      <c r="DV113" s="185"/>
    </row>
    <row r="114" spans="1:126" s="36" customFormat="1" x14ac:dyDescent="0.2">
      <c r="A114" s="2"/>
      <c r="B114" s="216" t="s">
        <v>153</v>
      </c>
      <c r="C114" s="227"/>
      <c r="D114" s="218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219"/>
      <c r="AN114" s="219"/>
      <c r="AO114" s="219"/>
      <c r="AP114" s="219"/>
      <c r="AQ114" s="219"/>
      <c r="AR114" s="219"/>
      <c r="AS114" s="219"/>
      <c r="AT114" s="219"/>
      <c r="AU114" s="219"/>
      <c r="AV114" s="219"/>
      <c r="AW114" s="219"/>
      <c r="AX114" s="219"/>
      <c r="AY114" s="219"/>
      <c r="AZ114" s="219"/>
      <c r="BA114" s="219"/>
      <c r="BB114" s="219"/>
      <c r="BC114" s="219"/>
      <c r="BD114" s="219"/>
      <c r="BE114" s="219"/>
      <c r="BF114" s="219"/>
      <c r="BG114" s="219"/>
      <c r="BH114" s="219"/>
      <c r="BI114" s="219"/>
      <c r="BJ114" s="219"/>
      <c r="BK114" s="219"/>
      <c r="BL114" s="219"/>
      <c r="BM114" s="219"/>
      <c r="BN114" s="219"/>
      <c r="BO114" s="219"/>
      <c r="BP114" s="219"/>
      <c r="BQ114" s="219"/>
      <c r="BR114" s="219"/>
      <c r="BS114" s="219"/>
      <c r="BT114" s="219"/>
      <c r="BU114" s="219"/>
      <c r="BV114" s="219"/>
      <c r="BW114" s="219"/>
      <c r="BX114" s="219"/>
      <c r="BY114" s="219"/>
      <c r="BZ114" s="219"/>
      <c r="CA114" s="219"/>
      <c r="CB114" s="219"/>
      <c r="CC114" s="219"/>
      <c r="CD114" s="219"/>
      <c r="CE114" s="219"/>
      <c r="CF114" s="219"/>
      <c r="CG114" s="219"/>
      <c r="CH114" s="219"/>
      <c r="CI114" s="219"/>
      <c r="CJ114" s="219"/>
      <c r="CK114" s="219"/>
      <c r="CL114" s="219"/>
      <c r="CM114" s="219"/>
      <c r="CN114" s="219"/>
      <c r="CO114" s="219"/>
      <c r="CP114" s="219"/>
      <c r="CQ114" s="219"/>
      <c r="CR114" s="219"/>
      <c r="CS114" s="219"/>
      <c r="CT114" s="219"/>
      <c r="CU114" s="219"/>
      <c r="CV114" s="219"/>
      <c r="CW114" s="219"/>
      <c r="CX114" s="219"/>
      <c r="CY114" s="219"/>
      <c r="CZ114" s="219"/>
      <c r="DA114" s="219"/>
      <c r="DB114" s="219"/>
      <c r="DC114" s="219"/>
      <c r="DD114" s="219"/>
      <c r="DE114" s="219"/>
      <c r="DF114" s="219"/>
      <c r="DG114" s="219"/>
      <c r="DH114" s="219"/>
      <c r="DI114" s="219"/>
      <c r="DJ114" s="219"/>
      <c r="DK114" s="219"/>
      <c r="DL114" s="219"/>
      <c r="DM114" s="219"/>
      <c r="DN114" s="219"/>
      <c r="DO114" s="219"/>
      <c r="DP114" s="219"/>
      <c r="DQ114" s="219"/>
      <c r="DR114" s="219"/>
      <c r="DS114" s="219"/>
      <c r="DT114" s="219"/>
      <c r="DU114" s="219">
        <f t="shared" ref="DU114" si="99">DT119</f>
        <v>0</v>
      </c>
      <c r="DV114" s="202"/>
    </row>
    <row r="115" spans="1:126" s="36" customFormat="1" x14ac:dyDescent="0.2">
      <c r="A115" s="2"/>
      <c r="B115" s="220" t="s">
        <v>162</v>
      </c>
      <c r="C115" s="227"/>
      <c r="D115" s="218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  <c r="CU115" s="219"/>
      <c r="CV115" s="219"/>
      <c r="CW115" s="219"/>
      <c r="CX115" s="219"/>
      <c r="CY115" s="219"/>
      <c r="CZ115" s="219"/>
      <c r="DA115" s="219"/>
      <c r="DB115" s="219"/>
      <c r="DC115" s="219"/>
      <c r="DD115" s="219"/>
      <c r="DE115" s="219"/>
      <c r="DF115" s="219"/>
      <c r="DG115" s="219"/>
      <c r="DH115" s="219"/>
      <c r="DI115" s="219"/>
      <c r="DJ115" s="219"/>
      <c r="DK115" s="219"/>
      <c r="DL115" s="219"/>
      <c r="DM115" s="219"/>
      <c r="DN115" s="219"/>
      <c r="DO115" s="219"/>
      <c r="DP115" s="219"/>
      <c r="DQ115" s="219"/>
      <c r="DR115" s="219"/>
      <c r="DS115" s="219"/>
      <c r="DT115" s="219"/>
      <c r="DU115" s="219">
        <f>DU114*((1+Summary!$L$61)^(1/12)-1)</f>
        <v>0</v>
      </c>
      <c r="DV115" s="202"/>
    </row>
    <row r="116" spans="1:126" s="36" customFormat="1" x14ac:dyDescent="0.2">
      <c r="A116" s="2"/>
      <c r="B116" s="220" t="s">
        <v>150</v>
      </c>
      <c r="C116" s="227"/>
      <c r="D116" s="218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  <c r="AO116" s="219"/>
      <c r="AP116" s="219"/>
      <c r="AQ116" s="219"/>
      <c r="AR116" s="219"/>
      <c r="AS116" s="219"/>
      <c r="AT116" s="219"/>
      <c r="AU116" s="219"/>
      <c r="AV116" s="219"/>
      <c r="AW116" s="219"/>
      <c r="AX116" s="219"/>
      <c r="AY116" s="219"/>
      <c r="AZ116" s="219"/>
      <c r="BA116" s="219"/>
      <c r="BB116" s="219"/>
      <c r="BC116" s="219"/>
      <c r="BD116" s="219"/>
      <c r="BE116" s="219"/>
      <c r="BF116" s="219"/>
      <c r="BG116" s="219"/>
      <c r="BH116" s="219"/>
      <c r="BI116" s="219"/>
      <c r="BJ116" s="219"/>
      <c r="BK116" s="219"/>
      <c r="BL116" s="219"/>
      <c r="BM116" s="219"/>
      <c r="BN116" s="219"/>
      <c r="BO116" s="219"/>
      <c r="BP116" s="219"/>
      <c r="BQ116" s="219"/>
      <c r="BR116" s="219"/>
      <c r="BS116" s="219"/>
      <c r="BT116" s="219"/>
      <c r="BU116" s="219"/>
      <c r="BV116" s="219"/>
      <c r="BW116" s="219"/>
      <c r="BX116" s="219"/>
      <c r="BY116" s="219"/>
      <c r="BZ116" s="219"/>
      <c r="CA116" s="219"/>
      <c r="CB116" s="219"/>
      <c r="CC116" s="219"/>
      <c r="CD116" s="219"/>
      <c r="CE116" s="219"/>
      <c r="CF116" s="219"/>
      <c r="CG116" s="219"/>
      <c r="CH116" s="219"/>
      <c r="CI116" s="219"/>
      <c r="CJ116" s="219"/>
      <c r="CK116" s="219"/>
      <c r="CL116" s="219"/>
      <c r="CM116" s="219"/>
      <c r="CN116" s="219"/>
      <c r="CO116" s="219"/>
      <c r="CP116" s="219"/>
      <c r="CQ116" s="219"/>
      <c r="CR116" s="219"/>
      <c r="CS116" s="219"/>
      <c r="CT116" s="219"/>
      <c r="CU116" s="219"/>
      <c r="CV116" s="219"/>
      <c r="CW116" s="219"/>
      <c r="CX116" s="219"/>
      <c r="CY116" s="219"/>
      <c r="CZ116" s="219"/>
      <c r="DA116" s="219"/>
      <c r="DB116" s="219"/>
      <c r="DC116" s="219"/>
      <c r="DD116" s="219"/>
      <c r="DE116" s="219"/>
      <c r="DF116" s="219"/>
      <c r="DG116" s="219"/>
      <c r="DH116" s="219"/>
      <c r="DI116" s="219"/>
      <c r="DJ116" s="219"/>
      <c r="DK116" s="219"/>
      <c r="DL116" s="219"/>
      <c r="DM116" s="219"/>
      <c r="DN116" s="219"/>
      <c r="DO116" s="219"/>
      <c r="DP116" s="219"/>
      <c r="DQ116" s="219"/>
      <c r="DR116" s="219"/>
      <c r="DS116" s="219"/>
      <c r="DT116" s="219"/>
      <c r="DU116" s="219">
        <f t="shared" ref="DU116" si="100">-DU95</f>
        <v>0</v>
      </c>
      <c r="DV116" s="202"/>
    </row>
    <row r="117" spans="1:126" s="36" customFormat="1" x14ac:dyDescent="0.2">
      <c r="A117" s="2"/>
      <c r="B117" s="220" t="s">
        <v>163</v>
      </c>
      <c r="C117" s="227"/>
      <c r="D117" s="229"/>
      <c r="E117" s="234"/>
      <c r="F117" s="234"/>
      <c r="G117" s="234"/>
      <c r="H117" s="234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  <c r="AA117" s="234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4"/>
      <c r="AM117" s="234"/>
      <c r="AN117" s="234"/>
      <c r="AO117" s="234"/>
      <c r="AP117" s="234"/>
      <c r="AQ117" s="234"/>
      <c r="AR117" s="234"/>
      <c r="AS117" s="234"/>
      <c r="AT117" s="234"/>
      <c r="AU117" s="234"/>
      <c r="AV117" s="234"/>
      <c r="AW117" s="234"/>
      <c r="AX117" s="234"/>
      <c r="AY117" s="234"/>
      <c r="AZ117" s="234"/>
      <c r="BA117" s="234"/>
      <c r="BB117" s="234"/>
      <c r="BC117" s="234"/>
      <c r="BD117" s="234"/>
      <c r="BE117" s="234"/>
      <c r="BF117" s="234"/>
      <c r="BG117" s="234"/>
      <c r="BH117" s="234"/>
      <c r="BI117" s="234"/>
      <c r="BJ117" s="234"/>
      <c r="BK117" s="234"/>
      <c r="BL117" s="234"/>
      <c r="BM117" s="234"/>
      <c r="BN117" s="234"/>
      <c r="BO117" s="234"/>
      <c r="BP117" s="234"/>
      <c r="BQ117" s="234"/>
      <c r="BR117" s="234"/>
      <c r="BS117" s="234"/>
      <c r="BT117" s="234"/>
      <c r="BU117" s="234"/>
      <c r="BV117" s="234"/>
      <c r="BW117" s="234"/>
      <c r="BX117" s="234"/>
      <c r="BY117" s="234"/>
      <c r="BZ117" s="234"/>
      <c r="CA117" s="234"/>
      <c r="CB117" s="234"/>
      <c r="CC117" s="234"/>
      <c r="CD117" s="234"/>
      <c r="CE117" s="234"/>
      <c r="CF117" s="234"/>
      <c r="CG117" s="234"/>
      <c r="CH117" s="234"/>
      <c r="CI117" s="234"/>
      <c r="CJ117" s="234"/>
      <c r="CK117" s="234"/>
      <c r="CL117" s="234"/>
      <c r="CM117" s="234"/>
      <c r="CN117" s="234"/>
      <c r="CO117" s="234"/>
      <c r="CP117" s="234"/>
      <c r="CQ117" s="234"/>
      <c r="CR117" s="234"/>
      <c r="CS117" s="234"/>
      <c r="CT117" s="234"/>
      <c r="CU117" s="234"/>
      <c r="CV117" s="234"/>
      <c r="CW117" s="234"/>
      <c r="CX117" s="234"/>
      <c r="CY117" s="234"/>
      <c r="CZ117" s="234"/>
      <c r="DA117" s="234"/>
      <c r="DB117" s="234"/>
      <c r="DC117" s="234"/>
      <c r="DD117" s="234"/>
      <c r="DE117" s="234"/>
      <c r="DF117" s="234"/>
      <c r="DG117" s="234"/>
      <c r="DH117" s="234"/>
      <c r="DI117" s="234"/>
      <c r="DJ117" s="234"/>
      <c r="DK117" s="234"/>
      <c r="DL117" s="234"/>
      <c r="DM117" s="234"/>
      <c r="DN117" s="234"/>
      <c r="DO117" s="234"/>
      <c r="DP117" s="234"/>
      <c r="DQ117" s="234"/>
      <c r="DR117" s="234"/>
      <c r="DS117" s="234"/>
      <c r="DT117" s="234"/>
      <c r="DU117" s="234">
        <f>DU102</f>
        <v>1168960.5756263591</v>
      </c>
      <c r="DV117" s="269"/>
    </row>
    <row r="118" spans="1:126" s="36" customFormat="1" x14ac:dyDescent="0.2">
      <c r="A118" s="2"/>
      <c r="B118" s="220" t="s">
        <v>155</v>
      </c>
      <c r="C118" s="227"/>
      <c r="D118" s="218"/>
      <c r="E118" s="234"/>
      <c r="F118" s="234"/>
      <c r="G118" s="234"/>
      <c r="H118" s="234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  <c r="AA118" s="234"/>
      <c r="AB118" s="234"/>
      <c r="AC118" s="234"/>
      <c r="AD118" s="234"/>
      <c r="AE118" s="234"/>
      <c r="AF118" s="234"/>
      <c r="AG118" s="234"/>
      <c r="AH118" s="234"/>
      <c r="AI118" s="234"/>
      <c r="AJ118" s="234"/>
      <c r="AK118" s="234"/>
      <c r="AL118" s="234"/>
      <c r="AM118" s="234"/>
      <c r="AN118" s="234"/>
      <c r="AO118" s="234"/>
      <c r="AP118" s="234"/>
      <c r="AQ118" s="234"/>
      <c r="AR118" s="234"/>
      <c r="AS118" s="234"/>
      <c r="AT118" s="234"/>
      <c r="AU118" s="234"/>
      <c r="AV118" s="234"/>
      <c r="AW118" s="234"/>
      <c r="AX118" s="234"/>
      <c r="AY118" s="234"/>
      <c r="AZ118" s="234"/>
      <c r="BA118" s="234"/>
      <c r="BB118" s="234"/>
      <c r="BC118" s="234"/>
      <c r="BD118" s="234"/>
      <c r="BE118" s="234"/>
      <c r="BF118" s="234"/>
      <c r="BG118" s="234"/>
      <c r="BH118" s="234"/>
      <c r="BI118" s="234"/>
      <c r="BJ118" s="234"/>
      <c r="BK118" s="234"/>
      <c r="BL118" s="234"/>
      <c r="BM118" s="234"/>
      <c r="BN118" s="234"/>
      <c r="BO118" s="234"/>
      <c r="BP118" s="234"/>
      <c r="BQ118" s="234"/>
      <c r="BR118" s="234"/>
      <c r="BS118" s="234"/>
      <c r="BT118" s="234"/>
      <c r="BU118" s="234"/>
      <c r="BV118" s="234"/>
      <c r="BW118" s="234"/>
      <c r="BX118" s="234"/>
      <c r="BY118" s="234"/>
      <c r="BZ118" s="234"/>
      <c r="CA118" s="234"/>
      <c r="CB118" s="234"/>
      <c r="CC118" s="234"/>
      <c r="CD118" s="234"/>
      <c r="CE118" s="234"/>
      <c r="CF118" s="234"/>
      <c r="CG118" s="234"/>
      <c r="CH118" s="234"/>
      <c r="CI118" s="234"/>
      <c r="CJ118" s="234"/>
      <c r="CK118" s="234"/>
      <c r="CL118" s="234"/>
      <c r="CM118" s="234"/>
      <c r="CN118" s="234"/>
      <c r="CO118" s="234"/>
      <c r="CP118" s="234"/>
      <c r="CQ118" s="234"/>
      <c r="CR118" s="234"/>
      <c r="CS118" s="234"/>
      <c r="CT118" s="234"/>
      <c r="CU118" s="234"/>
      <c r="CV118" s="234"/>
      <c r="CW118" s="234"/>
      <c r="CX118" s="234"/>
      <c r="CY118" s="234"/>
      <c r="CZ118" s="234"/>
      <c r="DA118" s="234"/>
      <c r="DB118" s="234"/>
      <c r="DC118" s="234"/>
      <c r="DD118" s="234"/>
      <c r="DE118" s="234"/>
      <c r="DF118" s="234"/>
      <c r="DG118" s="234"/>
      <c r="DH118" s="234"/>
      <c r="DI118" s="234"/>
      <c r="DJ118" s="234"/>
      <c r="DK118" s="234"/>
      <c r="DL118" s="234"/>
      <c r="DM118" s="234"/>
      <c r="DN118" s="234"/>
      <c r="DO118" s="234"/>
      <c r="DP118" s="234"/>
      <c r="DQ118" s="234"/>
      <c r="DR118" s="234"/>
      <c r="DS118" s="234"/>
      <c r="DT118" s="234"/>
      <c r="DU118" s="234">
        <f>DU111*Summary!P62</f>
        <v>185835.67647997424</v>
      </c>
      <c r="DV118" s="270"/>
    </row>
    <row r="119" spans="1:126" s="36" customFormat="1" x14ac:dyDescent="0.2">
      <c r="A119" s="2"/>
      <c r="B119" s="239" t="s">
        <v>156</v>
      </c>
      <c r="C119" s="238"/>
      <c r="D119" s="240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24"/>
      <c r="AO119" s="224"/>
      <c r="AP119" s="224"/>
      <c r="AQ119" s="224"/>
      <c r="AR119" s="224"/>
      <c r="AS119" s="224"/>
      <c r="AT119" s="224"/>
      <c r="AU119" s="224"/>
      <c r="AV119" s="224"/>
      <c r="AW119" s="224"/>
      <c r="AX119" s="224"/>
      <c r="AY119" s="224"/>
      <c r="AZ119" s="224"/>
      <c r="BA119" s="224"/>
      <c r="BB119" s="224"/>
      <c r="BC119" s="224"/>
      <c r="BD119" s="224"/>
      <c r="BE119" s="224"/>
      <c r="BF119" s="224"/>
      <c r="BG119" s="224"/>
      <c r="BH119" s="224"/>
      <c r="BI119" s="224"/>
      <c r="BJ119" s="224"/>
      <c r="BK119" s="224"/>
      <c r="BL119" s="224"/>
      <c r="BM119" s="224"/>
      <c r="BN119" s="224"/>
      <c r="BO119" s="224"/>
      <c r="BP119" s="224"/>
      <c r="BQ119" s="224"/>
      <c r="BR119" s="224"/>
      <c r="BS119" s="224"/>
      <c r="BT119" s="224"/>
      <c r="BU119" s="224"/>
      <c r="BV119" s="224"/>
      <c r="BW119" s="224"/>
      <c r="BX119" s="224"/>
      <c r="BY119" s="224"/>
      <c r="BZ119" s="224"/>
      <c r="CA119" s="224"/>
      <c r="CB119" s="224"/>
      <c r="CC119" s="224"/>
      <c r="CD119" s="224"/>
      <c r="CE119" s="224"/>
      <c r="CF119" s="224"/>
      <c r="CG119" s="224"/>
      <c r="CH119" s="224"/>
      <c r="CI119" s="224"/>
      <c r="CJ119" s="224"/>
      <c r="CK119" s="224"/>
      <c r="CL119" s="224"/>
      <c r="CM119" s="224"/>
      <c r="CN119" s="224"/>
      <c r="CO119" s="224"/>
      <c r="CP119" s="224"/>
      <c r="CQ119" s="224"/>
      <c r="CR119" s="224"/>
      <c r="CS119" s="224"/>
      <c r="CT119" s="224"/>
      <c r="CU119" s="224"/>
      <c r="CV119" s="224"/>
      <c r="CW119" s="224"/>
      <c r="CX119" s="224"/>
      <c r="CY119" s="224"/>
      <c r="CZ119" s="224"/>
      <c r="DA119" s="224"/>
      <c r="DB119" s="224"/>
      <c r="DC119" s="224"/>
      <c r="DD119" s="224"/>
      <c r="DE119" s="224"/>
      <c r="DF119" s="224"/>
      <c r="DG119" s="224"/>
      <c r="DH119" s="224"/>
      <c r="DI119" s="224"/>
      <c r="DJ119" s="224"/>
      <c r="DK119" s="224"/>
      <c r="DL119" s="224"/>
      <c r="DM119" s="224"/>
      <c r="DN119" s="224"/>
      <c r="DO119" s="224"/>
      <c r="DP119" s="224"/>
      <c r="DQ119" s="224"/>
      <c r="DR119" s="224"/>
      <c r="DS119" s="224"/>
      <c r="DT119" s="224"/>
      <c r="DU119" s="224"/>
      <c r="DV119" s="210"/>
    </row>
    <row r="120" spans="1:126" s="36" customFormat="1" x14ac:dyDescent="0.2">
      <c r="A120" s="2"/>
      <c r="B120" s="241" t="s">
        <v>157</v>
      </c>
      <c r="C120" s="238"/>
      <c r="D120" s="223">
        <f>MAX(E120:DU120)</f>
        <v>1354796.2521063334</v>
      </c>
      <c r="E120" s="224">
        <f>E104+E118</f>
        <v>-913956.35150699993</v>
      </c>
      <c r="F120" s="224">
        <f t="shared" ref="F120:BQ120" si="101">F104+F118</f>
        <v>0</v>
      </c>
      <c r="G120" s="224">
        <f t="shared" si="101"/>
        <v>0</v>
      </c>
      <c r="H120" s="224">
        <f t="shared" si="101"/>
        <v>0</v>
      </c>
      <c r="I120" s="224">
        <f t="shared" si="101"/>
        <v>0</v>
      </c>
      <c r="J120" s="224">
        <f t="shared" si="101"/>
        <v>0</v>
      </c>
      <c r="K120" s="224">
        <f t="shared" si="101"/>
        <v>0</v>
      </c>
      <c r="L120" s="224">
        <f t="shared" si="101"/>
        <v>0</v>
      </c>
      <c r="M120" s="224">
        <f t="shared" si="101"/>
        <v>0</v>
      </c>
      <c r="N120" s="224">
        <f t="shared" si="101"/>
        <v>0</v>
      </c>
      <c r="O120" s="224">
        <f t="shared" si="101"/>
        <v>0</v>
      </c>
      <c r="P120" s="224">
        <f t="shared" si="101"/>
        <v>0</v>
      </c>
      <c r="Q120" s="224">
        <f t="shared" si="101"/>
        <v>0</v>
      </c>
      <c r="R120" s="224">
        <f t="shared" si="101"/>
        <v>0</v>
      </c>
      <c r="S120" s="224">
        <f t="shared" si="101"/>
        <v>0</v>
      </c>
      <c r="T120" s="224">
        <f t="shared" si="101"/>
        <v>0</v>
      </c>
      <c r="U120" s="224">
        <f t="shared" si="101"/>
        <v>0</v>
      </c>
      <c r="V120" s="224">
        <f t="shared" si="101"/>
        <v>0</v>
      </c>
      <c r="W120" s="224">
        <f t="shared" si="101"/>
        <v>0</v>
      </c>
      <c r="X120" s="224">
        <f t="shared" si="101"/>
        <v>6170.625</v>
      </c>
      <c r="Y120" s="224">
        <f t="shared" si="101"/>
        <v>6170.625</v>
      </c>
      <c r="Z120" s="224">
        <f t="shared" si="101"/>
        <v>440994.65615958127</v>
      </c>
      <c r="AA120" s="224">
        <f t="shared" si="101"/>
        <v>0</v>
      </c>
      <c r="AB120" s="224">
        <f t="shared" si="101"/>
        <v>0</v>
      </c>
      <c r="AC120" s="224">
        <f t="shared" si="101"/>
        <v>0</v>
      </c>
      <c r="AD120" s="224">
        <f t="shared" si="101"/>
        <v>0</v>
      </c>
      <c r="AE120" s="224">
        <f t="shared" si="101"/>
        <v>0</v>
      </c>
      <c r="AF120" s="224">
        <f t="shared" si="101"/>
        <v>0</v>
      </c>
      <c r="AG120" s="224">
        <f t="shared" si="101"/>
        <v>0</v>
      </c>
      <c r="AH120" s="224">
        <f t="shared" si="101"/>
        <v>0</v>
      </c>
      <c r="AI120" s="224">
        <f t="shared" si="101"/>
        <v>44.063333581470943</v>
      </c>
      <c r="AJ120" s="224">
        <f t="shared" si="101"/>
        <v>44.063333581470943</v>
      </c>
      <c r="AK120" s="224">
        <f t="shared" si="101"/>
        <v>44.063333581470943</v>
      </c>
      <c r="AL120" s="224">
        <f t="shared" si="101"/>
        <v>111.56333358147094</v>
      </c>
      <c r="AM120" s="224">
        <f t="shared" si="101"/>
        <v>314.06333358147094</v>
      </c>
      <c r="AN120" s="224">
        <f t="shared" si="101"/>
        <v>314.06333358147094</v>
      </c>
      <c r="AO120" s="224">
        <f t="shared" si="101"/>
        <v>261.39814608147157</v>
      </c>
      <c r="AP120" s="224">
        <f t="shared" si="101"/>
        <v>261.39814608147157</v>
      </c>
      <c r="AQ120" s="224">
        <f t="shared" si="101"/>
        <v>261.39814608147157</v>
      </c>
      <c r="AR120" s="224">
        <f t="shared" si="101"/>
        <v>367.71064608147157</v>
      </c>
      <c r="AS120" s="224">
        <f t="shared" si="101"/>
        <v>367.71064608147157</v>
      </c>
      <c r="AT120" s="224">
        <f t="shared" si="101"/>
        <v>367.71064608147157</v>
      </c>
      <c r="AU120" s="224">
        <f t="shared" si="101"/>
        <v>467.07064608147124</v>
      </c>
      <c r="AV120" s="224">
        <f t="shared" si="101"/>
        <v>467.07064608147124</v>
      </c>
      <c r="AW120" s="224">
        <f t="shared" si="101"/>
        <v>467.07064608147124</v>
      </c>
      <c r="AX120" s="224">
        <f t="shared" si="101"/>
        <v>537.94564608147118</v>
      </c>
      <c r="AY120" s="224">
        <f t="shared" si="101"/>
        <v>750.57064608147118</v>
      </c>
      <c r="AZ120" s="224">
        <f t="shared" si="101"/>
        <v>750.57064608147118</v>
      </c>
      <c r="BA120" s="224">
        <f t="shared" si="101"/>
        <v>696.32550295647059</v>
      </c>
      <c r="BB120" s="224">
        <f t="shared" si="101"/>
        <v>696.32550295647059</v>
      </c>
      <c r="BC120" s="224">
        <f t="shared" si="101"/>
        <v>696.32550295647059</v>
      </c>
      <c r="BD120" s="224">
        <f t="shared" si="101"/>
        <v>807.95362795647054</v>
      </c>
      <c r="BE120" s="224">
        <f t="shared" si="101"/>
        <v>807.95362795647054</v>
      </c>
      <c r="BF120" s="224">
        <f t="shared" si="101"/>
        <v>807.95362795647054</v>
      </c>
      <c r="BG120" s="224">
        <f t="shared" si="101"/>
        <v>912.42067795647108</v>
      </c>
      <c r="BH120" s="224">
        <f t="shared" si="101"/>
        <v>912.42067795647108</v>
      </c>
      <c r="BI120" s="224">
        <f t="shared" si="101"/>
        <v>912.42067795647108</v>
      </c>
      <c r="BJ120" s="224">
        <f t="shared" si="101"/>
        <v>986.83942795647113</v>
      </c>
      <c r="BK120" s="224">
        <f t="shared" si="101"/>
        <v>1210.0956779564729</v>
      </c>
      <c r="BL120" s="224">
        <f t="shared" si="101"/>
        <v>1210.0956779564729</v>
      </c>
      <c r="BM120" s="224">
        <f t="shared" si="101"/>
        <v>1154.2231805377219</v>
      </c>
      <c r="BN120" s="224">
        <f t="shared" si="101"/>
        <v>1154.2231805377219</v>
      </c>
      <c r="BO120" s="224">
        <f t="shared" si="101"/>
        <v>1154.2231805377219</v>
      </c>
      <c r="BP120" s="224">
        <f t="shared" si="101"/>
        <v>1271.4327117877206</v>
      </c>
      <c r="BQ120" s="224">
        <f t="shared" si="101"/>
        <v>1271.4327117877206</v>
      </c>
      <c r="BR120" s="224">
        <f t="shared" ref="BR120:DU120" si="102">BR104+BR118</f>
        <v>1271.4327117877206</v>
      </c>
      <c r="BS120" s="224">
        <f t="shared" si="102"/>
        <v>1381.2663357877225</v>
      </c>
      <c r="BT120" s="224">
        <f t="shared" si="102"/>
        <v>1381.2663357877225</v>
      </c>
      <c r="BU120" s="224">
        <f t="shared" si="102"/>
        <v>1381.2663357877225</v>
      </c>
      <c r="BV120" s="224">
        <f t="shared" si="102"/>
        <v>1459.4060232877237</v>
      </c>
      <c r="BW120" s="224">
        <f t="shared" si="102"/>
        <v>1693.8250857877226</v>
      </c>
      <c r="BX120" s="224">
        <f t="shared" si="102"/>
        <v>1693.8250857877226</v>
      </c>
      <c r="BY120" s="224">
        <f t="shared" si="102"/>
        <v>1636.2764134464094</v>
      </c>
      <c r="BZ120" s="224">
        <f t="shared" si="102"/>
        <v>1636.2764134464094</v>
      </c>
      <c r="CA120" s="224">
        <f t="shared" si="102"/>
        <v>1636.2764134464094</v>
      </c>
      <c r="CB120" s="224">
        <f t="shared" si="102"/>
        <v>1759.3464212589095</v>
      </c>
      <c r="CC120" s="224">
        <f t="shared" si="102"/>
        <v>1759.3464212589095</v>
      </c>
      <c r="CD120" s="224">
        <f t="shared" si="102"/>
        <v>1759.3464212589095</v>
      </c>
      <c r="CE120" s="224">
        <f t="shared" si="102"/>
        <v>1874.8192446039106</v>
      </c>
      <c r="CF120" s="224">
        <f t="shared" si="102"/>
        <v>1874.8192446039106</v>
      </c>
      <c r="CG120" s="224">
        <f t="shared" si="102"/>
        <v>1874.8192446039106</v>
      </c>
      <c r="CH120" s="224">
        <f t="shared" si="102"/>
        <v>1956.8659164789096</v>
      </c>
      <c r="CI120" s="224">
        <f t="shared" si="102"/>
        <v>2203.0059321039103</v>
      </c>
      <c r="CJ120" s="224">
        <f t="shared" si="102"/>
        <v>2203.0059321039103</v>
      </c>
      <c r="CK120" s="224">
        <f t="shared" si="102"/>
        <v>2143.7307995923579</v>
      </c>
      <c r="CL120" s="224">
        <f t="shared" si="102"/>
        <v>2143.7307995923579</v>
      </c>
      <c r="CM120" s="224">
        <f t="shared" si="102"/>
        <v>2143.7307995923579</v>
      </c>
      <c r="CN120" s="224">
        <f t="shared" si="102"/>
        <v>2272.9543077954831</v>
      </c>
      <c r="CO120" s="224">
        <f t="shared" si="102"/>
        <v>2272.9543077954831</v>
      </c>
      <c r="CP120" s="224">
        <f t="shared" si="102"/>
        <v>2272.9543077954831</v>
      </c>
      <c r="CQ120" s="224">
        <f t="shared" si="102"/>
        <v>2394.3527159970836</v>
      </c>
      <c r="CR120" s="224">
        <f t="shared" si="102"/>
        <v>2394.3527159970836</v>
      </c>
      <c r="CS120" s="224">
        <f t="shared" si="102"/>
        <v>2394.3527159970836</v>
      </c>
      <c r="CT120" s="224">
        <f t="shared" si="102"/>
        <v>2480.5017214658324</v>
      </c>
      <c r="CU120" s="224">
        <f t="shared" si="102"/>
        <v>2738.9487378720823</v>
      </c>
      <c r="CV120" s="224">
        <f t="shared" si="102"/>
        <v>2738.9487378720823</v>
      </c>
      <c r="CW120" s="224">
        <f t="shared" si="102"/>
        <v>2677.8953513851848</v>
      </c>
      <c r="CX120" s="224">
        <f t="shared" si="102"/>
        <v>2677.8953513851848</v>
      </c>
      <c r="CY120" s="224">
        <f t="shared" si="102"/>
        <v>2677.8953513851848</v>
      </c>
      <c r="CZ120" s="224">
        <f t="shared" si="102"/>
        <v>2813.5800349984656</v>
      </c>
      <c r="DA120" s="224">
        <f t="shared" si="102"/>
        <v>2813.5800349984656</v>
      </c>
      <c r="DB120" s="224">
        <f t="shared" si="102"/>
        <v>2813.5800349984656</v>
      </c>
      <c r="DC120" s="224">
        <f t="shared" si="102"/>
        <v>2941.2048656101765</v>
      </c>
      <c r="DD120" s="224">
        <f t="shared" si="102"/>
        <v>2941.2048656101765</v>
      </c>
      <c r="DE120" s="224">
        <f t="shared" si="102"/>
        <v>2941.2048656101765</v>
      </c>
      <c r="DF120" s="224">
        <f t="shared" si="102"/>
        <v>3031.6613213523628</v>
      </c>
      <c r="DG120" s="224">
        <f t="shared" si="102"/>
        <v>3303.0306885789278</v>
      </c>
      <c r="DH120" s="224">
        <f t="shared" si="102"/>
        <v>3303.0306885789278</v>
      </c>
      <c r="DI120" s="224">
        <f t="shared" si="102"/>
        <v>3240.1457004974227</v>
      </c>
      <c r="DJ120" s="224">
        <f t="shared" si="102"/>
        <v>3240.1457004974227</v>
      </c>
      <c r="DK120" s="224">
        <f t="shared" si="102"/>
        <v>3240.1457004974227</v>
      </c>
      <c r="DL120" s="224">
        <f t="shared" si="102"/>
        <v>3382.6146182913685</v>
      </c>
      <c r="DM120" s="224">
        <f t="shared" si="102"/>
        <v>3382.6146182913685</v>
      </c>
      <c r="DN120" s="224">
        <f t="shared" si="102"/>
        <v>3382.6146182913685</v>
      </c>
      <c r="DO120" s="224">
        <f t="shared" si="102"/>
        <v>3516.7818874936956</v>
      </c>
      <c r="DP120" s="224">
        <f t="shared" si="102"/>
        <v>3516.7818874936956</v>
      </c>
      <c r="DQ120" s="224">
        <f t="shared" si="102"/>
        <v>3516.7818874936956</v>
      </c>
      <c r="DR120" s="224">
        <f t="shared" si="102"/>
        <v>3611.7611660229923</v>
      </c>
      <c r="DS120" s="224">
        <f t="shared" si="102"/>
        <v>3896.6990016108821</v>
      </c>
      <c r="DT120" s="224">
        <f t="shared" si="102"/>
        <v>3896.6990016108821</v>
      </c>
      <c r="DU120" s="224">
        <f t="shared" si="102"/>
        <v>1354796.2521063334</v>
      </c>
      <c r="DV120" s="210"/>
    </row>
    <row r="121" spans="1:126" s="36" customFormat="1" x14ac:dyDescent="0.2">
      <c r="A121" s="2"/>
      <c r="B121" s="220"/>
      <c r="C121" s="227"/>
      <c r="D121" s="229"/>
      <c r="E121" s="227"/>
      <c r="F121" s="227"/>
      <c r="G121" s="227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202"/>
    </row>
    <row r="122" spans="1:126" s="36" customFormat="1" x14ac:dyDescent="0.2">
      <c r="A122" s="2"/>
      <c r="B122" s="220" t="s">
        <v>164</v>
      </c>
      <c r="C122" s="227"/>
      <c r="D122" s="218">
        <f>SUM(E122:DV122)</f>
        <v>185835.67647997424</v>
      </c>
      <c r="E122" s="234"/>
      <c r="F122" s="234"/>
      <c r="G122" s="234"/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4"/>
      <c r="AI122" s="234"/>
      <c r="AJ122" s="234"/>
      <c r="AK122" s="234"/>
      <c r="AL122" s="234"/>
      <c r="AM122" s="234"/>
      <c r="AN122" s="234"/>
      <c r="AO122" s="234"/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4"/>
      <c r="BC122" s="234"/>
      <c r="BD122" s="234"/>
      <c r="BE122" s="234"/>
      <c r="BF122" s="234"/>
      <c r="BG122" s="234"/>
      <c r="BH122" s="234"/>
      <c r="BI122" s="234"/>
      <c r="BJ122" s="234"/>
      <c r="BK122" s="234"/>
      <c r="BL122" s="234"/>
      <c r="BM122" s="234"/>
      <c r="BN122" s="234"/>
      <c r="BO122" s="234"/>
      <c r="BP122" s="234"/>
      <c r="BQ122" s="234"/>
      <c r="BR122" s="234"/>
      <c r="BS122" s="234"/>
      <c r="BT122" s="234"/>
      <c r="BU122" s="234"/>
      <c r="BV122" s="234"/>
      <c r="BW122" s="234"/>
      <c r="BX122" s="234"/>
      <c r="BY122" s="234"/>
      <c r="BZ122" s="234"/>
      <c r="CA122" s="234"/>
      <c r="CB122" s="234"/>
      <c r="CC122" s="234"/>
      <c r="CD122" s="234"/>
      <c r="CE122" s="234"/>
      <c r="CF122" s="234"/>
      <c r="CG122" s="234"/>
      <c r="CH122" s="234"/>
      <c r="CI122" s="234"/>
      <c r="CJ122" s="234"/>
      <c r="CK122" s="234"/>
      <c r="CL122" s="234"/>
      <c r="CM122" s="234"/>
      <c r="CN122" s="234"/>
      <c r="CO122" s="234"/>
      <c r="CP122" s="234"/>
      <c r="CQ122" s="234"/>
      <c r="CR122" s="234"/>
      <c r="CS122" s="234"/>
      <c r="CT122" s="234"/>
      <c r="CU122" s="234"/>
      <c r="CV122" s="234"/>
      <c r="CW122" s="234"/>
      <c r="CX122" s="234"/>
      <c r="CY122" s="234"/>
      <c r="CZ122" s="234"/>
      <c r="DA122" s="234"/>
      <c r="DB122" s="234"/>
      <c r="DC122" s="234"/>
      <c r="DD122" s="234"/>
      <c r="DE122" s="234"/>
      <c r="DF122" s="234"/>
      <c r="DG122" s="234"/>
      <c r="DH122" s="234"/>
      <c r="DI122" s="234"/>
      <c r="DJ122" s="234"/>
      <c r="DK122" s="234"/>
      <c r="DL122" s="234"/>
      <c r="DM122" s="234"/>
      <c r="DN122" s="234"/>
      <c r="DO122" s="234"/>
      <c r="DP122" s="234"/>
      <c r="DQ122" s="234"/>
      <c r="DR122" s="234"/>
      <c r="DS122" s="234"/>
      <c r="DT122" s="234"/>
      <c r="DU122" s="234">
        <f>DU118</f>
        <v>185835.67647997424</v>
      </c>
      <c r="DV122" s="202"/>
    </row>
    <row r="123" spans="1:126" s="36" customFormat="1" x14ac:dyDescent="0.2">
      <c r="A123" s="2"/>
      <c r="B123" s="220" t="s">
        <v>165</v>
      </c>
      <c r="C123" s="227"/>
      <c r="D123" s="234">
        <f>SUM(E123:DV123)</f>
        <v>227132.4934755241</v>
      </c>
      <c r="E123" s="234"/>
      <c r="F123" s="234"/>
      <c r="G123" s="234"/>
      <c r="H123" s="234"/>
      <c r="I123" s="234"/>
      <c r="J123" s="234"/>
      <c r="K123" s="234"/>
      <c r="L123" s="234"/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  <c r="AA123" s="234"/>
      <c r="AB123" s="234"/>
      <c r="AC123" s="234"/>
      <c r="AD123" s="234"/>
      <c r="AE123" s="234"/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234"/>
      <c r="AT123" s="234"/>
      <c r="AU123" s="234"/>
      <c r="AV123" s="234"/>
      <c r="AW123" s="234"/>
      <c r="AX123" s="234"/>
      <c r="AY123" s="234"/>
      <c r="AZ123" s="234"/>
      <c r="BA123" s="234"/>
      <c r="BB123" s="234"/>
      <c r="BC123" s="234"/>
      <c r="BD123" s="234"/>
      <c r="BE123" s="234"/>
      <c r="BF123" s="234"/>
      <c r="BG123" s="234"/>
      <c r="BH123" s="234"/>
      <c r="BI123" s="234"/>
      <c r="BJ123" s="234"/>
      <c r="BK123" s="234"/>
      <c r="BL123" s="234"/>
      <c r="BM123" s="234"/>
      <c r="BN123" s="234"/>
      <c r="BO123" s="234"/>
      <c r="BP123" s="234"/>
      <c r="BQ123" s="234"/>
      <c r="BR123" s="234"/>
      <c r="BS123" s="234"/>
      <c r="BT123" s="234"/>
      <c r="BU123" s="234"/>
      <c r="BV123" s="234"/>
      <c r="BW123" s="234"/>
      <c r="BX123" s="234"/>
      <c r="BY123" s="234"/>
      <c r="BZ123" s="234"/>
      <c r="CA123" s="234"/>
      <c r="CB123" s="234"/>
      <c r="CC123" s="234"/>
      <c r="CD123" s="234"/>
      <c r="CE123" s="234"/>
      <c r="CF123" s="234"/>
      <c r="CG123" s="234"/>
      <c r="CH123" s="234"/>
      <c r="CI123" s="234"/>
      <c r="CJ123" s="234"/>
      <c r="CK123" s="234"/>
      <c r="CL123" s="234"/>
      <c r="CM123" s="234"/>
      <c r="CN123" s="234"/>
      <c r="CO123" s="234"/>
      <c r="CP123" s="234"/>
      <c r="CQ123" s="234"/>
      <c r="CR123" s="234"/>
      <c r="CS123" s="234"/>
      <c r="CT123" s="234"/>
      <c r="CU123" s="234"/>
      <c r="CV123" s="234"/>
      <c r="CW123" s="234"/>
      <c r="CX123" s="234"/>
      <c r="CY123" s="234"/>
      <c r="CZ123" s="234"/>
      <c r="DA123" s="234"/>
      <c r="DB123" s="234"/>
      <c r="DC123" s="234"/>
      <c r="DD123" s="234"/>
      <c r="DE123" s="234"/>
      <c r="DF123" s="234"/>
      <c r="DG123" s="234"/>
      <c r="DH123" s="234"/>
      <c r="DI123" s="234"/>
      <c r="DJ123" s="234"/>
      <c r="DK123" s="234"/>
      <c r="DL123" s="234"/>
      <c r="DM123" s="234"/>
      <c r="DN123" s="234"/>
      <c r="DO123" s="234"/>
      <c r="DP123" s="234"/>
      <c r="DQ123" s="234"/>
      <c r="DR123" s="234"/>
      <c r="DS123" s="234"/>
      <c r="DT123" s="234"/>
      <c r="DU123" s="234">
        <f>DU122/Summary!$P$62*Summary!$O$62</f>
        <v>227132.4934755241</v>
      </c>
      <c r="DV123" s="202"/>
    </row>
    <row r="124" spans="1:126" s="36" customFormat="1" x14ac:dyDescent="0.2">
      <c r="A124" s="2"/>
      <c r="B124" s="239" t="s">
        <v>160</v>
      </c>
      <c r="C124" s="238"/>
      <c r="D124" s="223">
        <f>SUM(D122:D123)</f>
        <v>412968.16995549831</v>
      </c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  <c r="AA124" s="224"/>
      <c r="AB124" s="224"/>
      <c r="AC124" s="224"/>
      <c r="AD124" s="224"/>
      <c r="AE124" s="224"/>
      <c r="AF124" s="224"/>
      <c r="AG124" s="224"/>
      <c r="AH124" s="224"/>
      <c r="AI124" s="224"/>
      <c r="AJ124" s="224"/>
      <c r="AK124" s="224"/>
      <c r="AL124" s="224"/>
      <c r="AM124" s="224"/>
      <c r="AN124" s="224"/>
      <c r="AO124" s="224"/>
      <c r="AP124" s="224"/>
      <c r="AQ124" s="224"/>
      <c r="AR124" s="224"/>
      <c r="AS124" s="224"/>
      <c r="AT124" s="224"/>
      <c r="AU124" s="224"/>
      <c r="AV124" s="224"/>
      <c r="AW124" s="224"/>
      <c r="AX124" s="224"/>
      <c r="AY124" s="224"/>
      <c r="AZ124" s="224"/>
      <c r="BA124" s="224"/>
      <c r="BB124" s="224"/>
      <c r="BC124" s="224"/>
      <c r="BD124" s="224"/>
      <c r="BE124" s="224"/>
      <c r="BF124" s="224"/>
      <c r="BG124" s="224"/>
      <c r="BH124" s="224"/>
      <c r="BI124" s="224"/>
      <c r="BJ124" s="224"/>
      <c r="BK124" s="224"/>
      <c r="BL124" s="224"/>
      <c r="BM124" s="224"/>
      <c r="BN124" s="224"/>
      <c r="BO124" s="224"/>
      <c r="BP124" s="224"/>
      <c r="BQ124" s="224"/>
      <c r="BR124" s="224"/>
      <c r="BS124" s="224"/>
      <c r="BT124" s="224"/>
      <c r="BU124" s="224"/>
      <c r="BV124" s="224"/>
      <c r="BW124" s="224"/>
      <c r="BX124" s="224"/>
      <c r="BY124" s="224"/>
      <c r="BZ124" s="224"/>
      <c r="CA124" s="224"/>
      <c r="CB124" s="224"/>
      <c r="CC124" s="224"/>
      <c r="CD124" s="224"/>
      <c r="CE124" s="224"/>
      <c r="CF124" s="224"/>
      <c r="CG124" s="224"/>
      <c r="CH124" s="224"/>
      <c r="CI124" s="224"/>
      <c r="CJ124" s="224"/>
      <c r="CK124" s="224"/>
      <c r="CL124" s="224"/>
      <c r="CM124" s="224"/>
      <c r="CN124" s="224"/>
      <c r="CO124" s="224"/>
      <c r="CP124" s="224"/>
      <c r="CQ124" s="224"/>
      <c r="CR124" s="224"/>
      <c r="CS124" s="224"/>
      <c r="CT124" s="224"/>
      <c r="CU124" s="224"/>
      <c r="CV124" s="224"/>
      <c r="CW124" s="224"/>
      <c r="CX124" s="224"/>
      <c r="CY124" s="224"/>
      <c r="CZ124" s="224"/>
      <c r="DA124" s="224"/>
      <c r="DB124" s="224"/>
      <c r="DC124" s="224"/>
      <c r="DD124" s="224"/>
      <c r="DE124" s="224"/>
      <c r="DF124" s="224"/>
      <c r="DG124" s="224"/>
      <c r="DH124" s="224"/>
      <c r="DI124" s="224"/>
      <c r="DJ124" s="224"/>
      <c r="DK124" s="224"/>
      <c r="DL124" s="224"/>
      <c r="DM124" s="224"/>
      <c r="DN124" s="224"/>
      <c r="DO124" s="224"/>
      <c r="DP124" s="224"/>
      <c r="DQ124" s="224"/>
      <c r="DR124" s="224"/>
      <c r="DS124" s="224"/>
      <c r="DT124" s="224"/>
      <c r="DU124" s="224">
        <f>SUM(DU122:DU123)</f>
        <v>412968.16995549831</v>
      </c>
      <c r="DV124" s="210"/>
    </row>
    <row r="125" spans="1:126" s="36" customFormat="1" x14ac:dyDescent="0.2">
      <c r="A125" s="2"/>
      <c r="B125" s="241" t="s">
        <v>161</v>
      </c>
      <c r="C125" s="238"/>
      <c r="D125" s="223">
        <f>D111-D124</f>
        <v>0</v>
      </c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  <c r="AA125" s="224"/>
      <c r="AB125" s="224"/>
      <c r="AC125" s="224"/>
      <c r="AD125" s="224"/>
      <c r="AE125" s="224"/>
      <c r="AF125" s="224"/>
      <c r="AG125" s="224"/>
      <c r="AH125" s="224"/>
      <c r="AI125" s="224"/>
      <c r="AJ125" s="224"/>
      <c r="AK125" s="224"/>
      <c r="AL125" s="224"/>
      <c r="AM125" s="224"/>
      <c r="AN125" s="224"/>
      <c r="AO125" s="224"/>
      <c r="AP125" s="224"/>
      <c r="AQ125" s="224"/>
      <c r="AR125" s="224"/>
      <c r="AS125" s="224"/>
      <c r="AT125" s="224"/>
      <c r="AU125" s="224"/>
      <c r="AV125" s="224"/>
      <c r="AW125" s="224"/>
      <c r="AX125" s="224"/>
      <c r="AY125" s="224"/>
      <c r="AZ125" s="224"/>
      <c r="BA125" s="224"/>
      <c r="BB125" s="224"/>
      <c r="BC125" s="224"/>
      <c r="BD125" s="224"/>
      <c r="BE125" s="224"/>
      <c r="BF125" s="224"/>
      <c r="BG125" s="224"/>
      <c r="BH125" s="224"/>
      <c r="BI125" s="224"/>
      <c r="BJ125" s="224"/>
      <c r="BK125" s="224"/>
      <c r="BL125" s="224"/>
      <c r="BM125" s="224"/>
      <c r="BN125" s="224"/>
      <c r="BO125" s="224"/>
      <c r="BP125" s="224"/>
      <c r="BQ125" s="224"/>
      <c r="BR125" s="224"/>
      <c r="BS125" s="224"/>
      <c r="BT125" s="224"/>
      <c r="BU125" s="224"/>
      <c r="BV125" s="224"/>
      <c r="BW125" s="224"/>
      <c r="BX125" s="224"/>
      <c r="BY125" s="224"/>
      <c r="BZ125" s="224"/>
      <c r="CA125" s="224"/>
      <c r="CB125" s="224"/>
      <c r="CC125" s="224"/>
      <c r="CD125" s="224"/>
      <c r="CE125" s="224"/>
      <c r="CF125" s="224"/>
      <c r="CG125" s="224"/>
      <c r="CH125" s="224"/>
      <c r="CI125" s="224"/>
      <c r="CJ125" s="224"/>
      <c r="CK125" s="224"/>
      <c r="CL125" s="224"/>
      <c r="CM125" s="224"/>
      <c r="CN125" s="224"/>
      <c r="CO125" s="224"/>
      <c r="CP125" s="224"/>
      <c r="CQ125" s="224"/>
      <c r="CR125" s="224"/>
      <c r="CS125" s="224"/>
      <c r="CT125" s="224"/>
      <c r="CU125" s="224"/>
      <c r="CV125" s="224"/>
      <c r="CW125" s="224"/>
      <c r="CX125" s="224"/>
      <c r="CY125" s="224"/>
      <c r="CZ125" s="224"/>
      <c r="DA125" s="224"/>
      <c r="DB125" s="224"/>
      <c r="DC125" s="224"/>
      <c r="DD125" s="224"/>
      <c r="DE125" s="224"/>
      <c r="DF125" s="224"/>
      <c r="DG125" s="224"/>
      <c r="DH125" s="224"/>
      <c r="DI125" s="224"/>
      <c r="DJ125" s="224"/>
      <c r="DK125" s="224"/>
      <c r="DL125" s="224"/>
      <c r="DM125" s="224"/>
      <c r="DN125" s="224"/>
      <c r="DO125" s="224"/>
      <c r="DP125" s="224"/>
      <c r="DQ125" s="224"/>
      <c r="DR125" s="224"/>
      <c r="DS125" s="224"/>
      <c r="DT125" s="224"/>
      <c r="DU125" s="224">
        <f>MAX(DU89-DU110-DU124,0)</f>
        <v>0</v>
      </c>
      <c r="DV125" s="210"/>
    </row>
    <row r="126" spans="1:126" s="36" customFormat="1" x14ac:dyDescent="0.2">
      <c r="A126" s="2"/>
      <c r="B126" s="2"/>
      <c r="C126" s="217"/>
      <c r="D126" s="217"/>
      <c r="E126" s="217"/>
      <c r="F126" s="217"/>
      <c r="G126" s="21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</row>
    <row r="127" spans="1:126" s="36" customFormat="1" x14ac:dyDescent="0.2">
      <c r="A127" s="2"/>
      <c r="B127" s="194" t="s">
        <v>166</v>
      </c>
      <c r="C127" s="74"/>
      <c r="D127" s="18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  <c r="DV127" s="185"/>
    </row>
    <row r="128" spans="1:126" s="36" customFormat="1" x14ac:dyDescent="0.2">
      <c r="A128" s="2"/>
      <c r="B128" s="242" t="s">
        <v>167</v>
      </c>
      <c r="C128" s="35"/>
      <c r="D128" s="202"/>
      <c r="E128" s="51">
        <f>E120</f>
        <v>-913956.35150699993</v>
      </c>
      <c r="F128" s="51">
        <f t="shared" ref="F128:J128" si="103">F120</f>
        <v>0</v>
      </c>
      <c r="G128" s="51">
        <f t="shared" si="103"/>
        <v>0</v>
      </c>
      <c r="H128" s="51">
        <f t="shared" si="103"/>
        <v>0</v>
      </c>
      <c r="I128" s="51">
        <f t="shared" si="103"/>
        <v>0</v>
      </c>
      <c r="J128" s="51">
        <f t="shared" si="103"/>
        <v>0</v>
      </c>
      <c r="K128" s="51">
        <f t="shared" ref="K128:BQ128" si="104">K95</f>
        <v>0</v>
      </c>
      <c r="L128" s="51">
        <f t="shared" si="104"/>
        <v>0</v>
      </c>
      <c r="M128" s="51">
        <f t="shared" si="104"/>
        <v>0</v>
      </c>
      <c r="N128" s="51">
        <f t="shared" si="104"/>
        <v>0</v>
      </c>
      <c r="O128" s="51">
        <f t="shared" si="104"/>
        <v>0</v>
      </c>
      <c r="P128" s="51">
        <f t="shared" si="104"/>
        <v>0</v>
      </c>
      <c r="Q128" s="51">
        <f t="shared" si="104"/>
        <v>0</v>
      </c>
      <c r="R128" s="51">
        <f t="shared" si="104"/>
        <v>0</v>
      </c>
      <c r="S128" s="51">
        <f t="shared" si="104"/>
        <v>0</v>
      </c>
      <c r="T128" s="51">
        <f t="shared" si="104"/>
        <v>0</v>
      </c>
      <c r="U128" s="51">
        <f t="shared" si="104"/>
        <v>0</v>
      </c>
      <c r="V128" s="51">
        <f t="shared" si="104"/>
        <v>0</v>
      </c>
      <c r="W128" s="51">
        <f t="shared" si="104"/>
        <v>0</v>
      </c>
      <c r="X128" s="51">
        <f t="shared" si="104"/>
        <v>0</v>
      </c>
      <c r="Y128" s="51">
        <f t="shared" si="104"/>
        <v>0</v>
      </c>
      <c r="Z128" s="51">
        <f t="shared" si="104"/>
        <v>0</v>
      </c>
      <c r="AA128" s="51">
        <f t="shared" si="104"/>
        <v>0</v>
      </c>
      <c r="AB128" s="51">
        <f t="shared" si="104"/>
        <v>0</v>
      </c>
      <c r="AC128" s="51">
        <f t="shared" si="104"/>
        <v>0</v>
      </c>
      <c r="AD128" s="51">
        <f t="shared" si="104"/>
        <v>0</v>
      </c>
      <c r="AE128" s="51">
        <f t="shared" si="104"/>
        <v>0</v>
      </c>
      <c r="AF128" s="51">
        <f t="shared" si="104"/>
        <v>0</v>
      </c>
      <c r="AG128" s="51">
        <f t="shared" si="104"/>
        <v>0</v>
      </c>
      <c r="AH128" s="51">
        <f t="shared" si="104"/>
        <v>0</v>
      </c>
      <c r="AI128" s="51">
        <f t="shared" si="104"/>
        <v>0</v>
      </c>
      <c r="AJ128" s="51">
        <f t="shared" si="104"/>
        <v>0</v>
      </c>
      <c r="AK128" s="51">
        <f t="shared" si="104"/>
        <v>0</v>
      </c>
      <c r="AL128" s="51">
        <f t="shared" si="104"/>
        <v>0</v>
      </c>
      <c r="AM128" s="51">
        <f t="shared" si="104"/>
        <v>0</v>
      </c>
      <c r="AN128" s="51">
        <f t="shared" si="104"/>
        <v>0</v>
      </c>
      <c r="AO128" s="51">
        <f t="shared" si="104"/>
        <v>0</v>
      </c>
      <c r="AP128" s="51">
        <f t="shared" si="104"/>
        <v>0</v>
      </c>
      <c r="AQ128" s="51">
        <f t="shared" si="104"/>
        <v>0</v>
      </c>
      <c r="AR128" s="51">
        <f t="shared" si="104"/>
        <v>0</v>
      </c>
      <c r="AS128" s="51">
        <f t="shared" si="104"/>
        <v>0</v>
      </c>
      <c r="AT128" s="51">
        <f t="shared" si="104"/>
        <v>0</v>
      </c>
      <c r="AU128" s="51">
        <f t="shared" si="104"/>
        <v>0</v>
      </c>
      <c r="AV128" s="51">
        <f t="shared" si="104"/>
        <v>0</v>
      </c>
      <c r="AW128" s="51">
        <f t="shared" si="104"/>
        <v>0</v>
      </c>
      <c r="AX128" s="51">
        <f t="shared" si="104"/>
        <v>0</v>
      </c>
      <c r="AY128" s="51">
        <f t="shared" si="104"/>
        <v>0</v>
      </c>
      <c r="AZ128" s="51">
        <f t="shared" si="104"/>
        <v>0</v>
      </c>
      <c r="BA128" s="51">
        <f t="shared" si="104"/>
        <v>0</v>
      </c>
      <c r="BB128" s="51">
        <f t="shared" si="104"/>
        <v>0</v>
      </c>
      <c r="BC128" s="51">
        <f t="shared" si="104"/>
        <v>0</v>
      </c>
      <c r="BD128" s="51">
        <f t="shared" si="104"/>
        <v>0</v>
      </c>
      <c r="BE128" s="51">
        <f t="shared" si="104"/>
        <v>0</v>
      </c>
      <c r="BF128" s="51">
        <f t="shared" si="104"/>
        <v>0</v>
      </c>
      <c r="BG128" s="51">
        <f t="shared" si="104"/>
        <v>0</v>
      </c>
      <c r="BH128" s="51">
        <f t="shared" si="104"/>
        <v>0</v>
      </c>
      <c r="BI128" s="51">
        <f t="shared" si="104"/>
        <v>0</v>
      </c>
      <c r="BJ128" s="51">
        <f t="shared" si="104"/>
        <v>0</v>
      </c>
      <c r="BK128" s="51">
        <f t="shared" si="104"/>
        <v>0</v>
      </c>
      <c r="BL128" s="51">
        <f t="shared" si="104"/>
        <v>0</v>
      </c>
      <c r="BM128" s="51">
        <f t="shared" si="104"/>
        <v>0</v>
      </c>
      <c r="BN128" s="51">
        <f t="shared" si="104"/>
        <v>0</v>
      </c>
      <c r="BO128" s="51">
        <f t="shared" si="104"/>
        <v>0</v>
      </c>
      <c r="BP128" s="51">
        <f t="shared" si="104"/>
        <v>0</v>
      </c>
      <c r="BQ128" s="51">
        <f t="shared" si="104"/>
        <v>0</v>
      </c>
      <c r="BR128" s="51">
        <f t="shared" ref="BR128:DU128" si="105">BR95</f>
        <v>0</v>
      </c>
      <c r="BS128" s="51">
        <f t="shared" si="105"/>
        <v>0</v>
      </c>
      <c r="BT128" s="51">
        <f t="shared" si="105"/>
        <v>0</v>
      </c>
      <c r="BU128" s="51">
        <f t="shared" si="105"/>
        <v>0</v>
      </c>
      <c r="BV128" s="51">
        <f t="shared" si="105"/>
        <v>0</v>
      </c>
      <c r="BW128" s="51">
        <f t="shared" si="105"/>
        <v>0</v>
      </c>
      <c r="BX128" s="51">
        <f t="shared" si="105"/>
        <v>0</v>
      </c>
      <c r="BY128" s="51">
        <f t="shared" si="105"/>
        <v>0</v>
      </c>
      <c r="BZ128" s="51">
        <f t="shared" si="105"/>
        <v>0</v>
      </c>
      <c r="CA128" s="51">
        <f t="shared" si="105"/>
        <v>0</v>
      </c>
      <c r="CB128" s="51">
        <f t="shared" si="105"/>
        <v>0</v>
      </c>
      <c r="CC128" s="51">
        <f t="shared" si="105"/>
        <v>0</v>
      </c>
      <c r="CD128" s="51">
        <f t="shared" si="105"/>
        <v>0</v>
      </c>
      <c r="CE128" s="51">
        <f t="shared" si="105"/>
        <v>0</v>
      </c>
      <c r="CF128" s="51">
        <f t="shared" si="105"/>
        <v>0</v>
      </c>
      <c r="CG128" s="51">
        <f t="shared" si="105"/>
        <v>0</v>
      </c>
      <c r="CH128" s="51">
        <f t="shared" si="105"/>
        <v>0</v>
      </c>
      <c r="CI128" s="51">
        <f t="shared" si="105"/>
        <v>0</v>
      </c>
      <c r="CJ128" s="51">
        <f t="shared" si="105"/>
        <v>0</v>
      </c>
      <c r="CK128" s="51">
        <f t="shared" si="105"/>
        <v>0</v>
      </c>
      <c r="CL128" s="51">
        <f t="shared" si="105"/>
        <v>0</v>
      </c>
      <c r="CM128" s="51">
        <f t="shared" si="105"/>
        <v>0</v>
      </c>
      <c r="CN128" s="51">
        <f t="shared" si="105"/>
        <v>0</v>
      </c>
      <c r="CO128" s="51">
        <f t="shared" si="105"/>
        <v>0</v>
      </c>
      <c r="CP128" s="51">
        <f t="shared" si="105"/>
        <v>0</v>
      </c>
      <c r="CQ128" s="51">
        <f t="shared" si="105"/>
        <v>0</v>
      </c>
      <c r="CR128" s="51">
        <f t="shared" si="105"/>
        <v>0</v>
      </c>
      <c r="CS128" s="51">
        <f t="shared" si="105"/>
        <v>0</v>
      </c>
      <c r="CT128" s="51">
        <f t="shared" si="105"/>
        <v>0</v>
      </c>
      <c r="CU128" s="51">
        <f t="shared" si="105"/>
        <v>0</v>
      </c>
      <c r="CV128" s="51">
        <f t="shared" si="105"/>
        <v>0</v>
      </c>
      <c r="CW128" s="51">
        <f t="shared" si="105"/>
        <v>0</v>
      </c>
      <c r="CX128" s="51">
        <f t="shared" si="105"/>
        <v>0</v>
      </c>
      <c r="CY128" s="51">
        <f t="shared" si="105"/>
        <v>0</v>
      </c>
      <c r="CZ128" s="51">
        <f t="shared" si="105"/>
        <v>0</v>
      </c>
      <c r="DA128" s="51">
        <f t="shared" si="105"/>
        <v>0</v>
      </c>
      <c r="DB128" s="51">
        <f t="shared" si="105"/>
        <v>0</v>
      </c>
      <c r="DC128" s="51">
        <f t="shared" si="105"/>
        <v>0</v>
      </c>
      <c r="DD128" s="51">
        <f t="shared" si="105"/>
        <v>0</v>
      </c>
      <c r="DE128" s="51">
        <f t="shared" si="105"/>
        <v>0</v>
      </c>
      <c r="DF128" s="51">
        <f t="shared" si="105"/>
        <v>0</v>
      </c>
      <c r="DG128" s="51">
        <f t="shared" si="105"/>
        <v>0</v>
      </c>
      <c r="DH128" s="51">
        <f t="shared" si="105"/>
        <v>0</v>
      </c>
      <c r="DI128" s="51">
        <f t="shared" si="105"/>
        <v>0</v>
      </c>
      <c r="DJ128" s="51">
        <f t="shared" si="105"/>
        <v>0</v>
      </c>
      <c r="DK128" s="51">
        <f t="shared" si="105"/>
        <v>0</v>
      </c>
      <c r="DL128" s="51">
        <f t="shared" si="105"/>
        <v>0</v>
      </c>
      <c r="DM128" s="51">
        <f t="shared" si="105"/>
        <v>0</v>
      </c>
      <c r="DN128" s="51">
        <f t="shared" si="105"/>
        <v>0</v>
      </c>
      <c r="DO128" s="51">
        <f t="shared" si="105"/>
        <v>0</v>
      </c>
      <c r="DP128" s="51">
        <f t="shared" si="105"/>
        <v>0</v>
      </c>
      <c r="DQ128" s="51">
        <f t="shared" si="105"/>
        <v>0</v>
      </c>
      <c r="DR128" s="51">
        <f t="shared" si="105"/>
        <v>0</v>
      </c>
      <c r="DS128" s="51">
        <f t="shared" si="105"/>
        <v>0</v>
      </c>
      <c r="DT128" s="51">
        <f t="shared" si="105"/>
        <v>0</v>
      </c>
      <c r="DU128" s="51">
        <f t="shared" si="105"/>
        <v>0</v>
      </c>
      <c r="DV128" s="202"/>
    </row>
    <row r="129" spans="1:126" s="36" customFormat="1" x14ac:dyDescent="0.2">
      <c r="A129" s="2"/>
      <c r="B129" s="243" t="s">
        <v>168</v>
      </c>
      <c r="C129" s="15"/>
      <c r="D129" s="210"/>
      <c r="E129" s="253">
        <f>E102+E122</f>
        <v>0</v>
      </c>
      <c r="F129" s="253">
        <f t="shared" ref="F129:BQ129" si="106">F102+F122</f>
        <v>0</v>
      </c>
      <c r="G129" s="253">
        <f t="shared" si="106"/>
        <v>0</v>
      </c>
      <c r="H129" s="253">
        <f t="shared" si="106"/>
        <v>0</v>
      </c>
      <c r="I129" s="253">
        <f t="shared" si="106"/>
        <v>0</v>
      </c>
      <c r="J129" s="253">
        <f t="shared" si="106"/>
        <v>0</v>
      </c>
      <c r="K129" s="253">
        <f t="shared" si="106"/>
        <v>0</v>
      </c>
      <c r="L129" s="253">
        <f t="shared" si="106"/>
        <v>0</v>
      </c>
      <c r="M129" s="253">
        <f t="shared" si="106"/>
        <v>0</v>
      </c>
      <c r="N129" s="253">
        <f t="shared" si="106"/>
        <v>0</v>
      </c>
      <c r="O129" s="253">
        <f t="shared" si="106"/>
        <v>0</v>
      </c>
      <c r="P129" s="253">
        <f t="shared" si="106"/>
        <v>0</v>
      </c>
      <c r="Q129" s="253">
        <f t="shared" si="106"/>
        <v>0</v>
      </c>
      <c r="R129" s="253">
        <f t="shared" si="106"/>
        <v>0</v>
      </c>
      <c r="S129" s="253">
        <f t="shared" si="106"/>
        <v>0</v>
      </c>
      <c r="T129" s="253">
        <f t="shared" si="106"/>
        <v>0</v>
      </c>
      <c r="U129" s="253">
        <f t="shared" si="106"/>
        <v>0</v>
      </c>
      <c r="V129" s="253">
        <f t="shared" si="106"/>
        <v>0</v>
      </c>
      <c r="W129" s="253">
        <f t="shared" si="106"/>
        <v>0</v>
      </c>
      <c r="X129" s="253">
        <f t="shared" si="106"/>
        <v>6170.625</v>
      </c>
      <c r="Y129" s="253">
        <f t="shared" si="106"/>
        <v>6170.625</v>
      </c>
      <c r="Z129" s="253">
        <f t="shared" si="106"/>
        <v>440994.65615958127</v>
      </c>
      <c r="AA129" s="253">
        <f t="shared" si="106"/>
        <v>0</v>
      </c>
      <c r="AB129" s="253">
        <f t="shared" si="106"/>
        <v>0</v>
      </c>
      <c r="AC129" s="253">
        <f t="shared" si="106"/>
        <v>0</v>
      </c>
      <c r="AD129" s="253">
        <f t="shared" si="106"/>
        <v>0</v>
      </c>
      <c r="AE129" s="253">
        <f t="shared" si="106"/>
        <v>0</v>
      </c>
      <c r="AF129" s="253">
        <f t="shared" si="106"/>
        <v>0</v>
      </c>
      <c r="AG129" s="253">
        <f t="shared" si="106"/>
        <v>0</v>
      </c>
      <c r="AH129" s="253">
        <f t="shared" si="106"/>
        <v>0</v>
      </c>
      <c r="AI129" s="253">
        <f t="shared" si="106"/>
        <v>44.063333581470943</v>
      </c>
      <c r="AJ129" s="253">
        <f t="shared" si="106"/>
        <v>44.063333581470943</v>
      </c>
      <c r="AK129" s="253">
        <f t="shared" si="106"/>
        <v>44.063333581470943</v>
      </c>
      <c r="AL129" s="253">
        <f t="shared" si="106"/>
        <v>111.56333358147094</v>
      </c>
      <c r="AM129" s="253">
        <f t="shared" si="106"/>
        <v>314.06333358147094</v>
      </c>
      <c r="AN129" s="253">
        <f t="shared" si="106"/>
        <v>314.06333358147094</v>
      </c>
      <c r="AO129" s="253">
        <f t="shared" si="106"/>
        <v>261.39814608147157</v>
      </c>
      <c r="AP129" s="253">
        <f t="shared" si="106"/>
        <v>261.39814608147157</v>
      </c>
      <c r="AQ129" s="253">
        <f t="shared" si="106"/>
        <v>261.39814608147157</v>
      </c>
      <c r="AR129" s="253">
        <f t="shared" si="106"/>
        <v>367.71064608147157</v>
      </c>
      <c r="AS129" s="253">
        <f t="shared" si="106"/>
        <v>367.71064608147157</v>
      </c>
      <c r="AT129" s="253">
        <f t="shared" si="106"/>
        <v>367.71064608147157</v>
      </c>
      <c r="AU129" s="253">
        <f t="shared" si="106"/>
        <v>467.07064608147124</v>
      </c>
      <c r="AV129" s="253">
        <f t="shared" si="106"/>
        <v>467.07064608147124</v>
      </c>
      <c r="AW129" s="253">
        <f t="shared" si="106"/>
        <v>467.07064608147124</v>
      </c>
      <c r="AX129" s="253">
        <f t="shared" si="106"/>
        <v>537.94564608147118</v>
      </c>
      <c r="AY129" s="253">
        <f t="shared" si="106"/>
        <v>750.57064608147118</v>
      </c>
      <c r="AZ129" s="253">
        <f t="shared" si="106"/>
        <v>750.57064608147118</v>
      </c>
      <c r="BA129" s="253">
        <f t="shared" si="106"/>
        <v>696.32550295647059</v>
      </c>
      <c r="BB129" s="253">
        <f t="shared" si="106"/>
        <v>696.32550295647059</v>
      </c>
      <c r="BC129" s="253">
        <f t="shared" si="106"/>
        <v>696.32550295647059</v>
      </c>
      <c r="BD129" s="253">
        <f t="shared" si="106"/>
        <v>807.95362795647054</v>
      </c>
      <c r="BE129" s="253">
        <f t="shared" si="106"/>
        <v>807.95362795647054</v>
      </c>
      <c r="BF129" s="253">
        <f t="shared" si="106"/>
        <v>807.95362795647054</v>
      </c>
      <c r="BG129" s="253">
        <f t="shared" si="106"/>
        <v>912.42067795647108</v>
      </c>
      <c r="BH129" s="253">
        <f t="shared" si="106"/>
        <v>912.42067795647108</v>
      </c>
      <c r="BI129" s="253">
        <f t="shared" si="106"/>
        <v>912.42067795647108</v>
      </c>
      <c r="BJ129" s="253">
        <f t="shared" si="106"/>
        <v>986.83942795647113</v>
      </c>
      <c r="BK129" s="253">
        <f t="shared" si="106"/>
        <v>1210.0956779564729</v>
      </c>
      <c r="BL129" s="253">
        <f t="shared" si="106"/>
        <v>1210.0956779564729</v>
      </c>
      <c r="BM129" s="253">
        <f t="shared" si="106"/>
        <v>1154.2231805377219</v>
      </c>
      <c r="BN129" s="253">
        <f t="shared" si="106"/>
        <v>1154.2231805377219</v>
      </c>
      <c r="BO129" s="253">
        <f t="shared" si="106"/>
        <v>1154.2231805377219</v>
      </c>
      <c r="BP129" s="253">
        <f t="shared" si="106"/>
        <v>1271.4327117877206</v>
      </c>
      <c r="BQ129" s="253">
        <f t="shared" si="106"/>
        <v>1271.4327117877206</v>
      </c>
      <c r="BR129" s="253">
        <f t="shared" ref="BR129:DT129" si="107">BR102+BR122</f>
        <v>1271.4327117877206</v>
      </c>
      <c r="BS129" s="253">
        <f t="shared" si="107"/>
        <v>1381.2663357877225</v>
      </c>
      <c r="BT129" s="253">
        <f t="shared" si="107"/>
        <v>1381.2663357877225</v>
      </c>
      <c r="BU129" s="253">
        <f t="shared" si="107"/>
        <v>1381.2663357877225</v>
      </c>
      <c r="BV129" s="253">
        <f t="shared" si="107"/>
        <v>1459.4060232877237</v>
      </c>
      <c r="BW129" s="253">
        <f t="shared" si="107"/>
        <v>1693.8250857877226</v>
      </c>
      <c r="BX129" s="253">
        <f t="shared" si="107"/>
        <v>1693.8250857877226</v>
      </c>
      <c r="BY129" s="253">
        <f t="shared" si="107"/>
        <v>1636.2764134464094</v>
      </c>
      <c r="BZ129" s="253">
        <f t="shared" si="107"/>
        <v>1636.2764134464094</v>
      </c>
      <c r="CA129" s="253">
        <f t="shared" si="107"/>
        <v>1636.2764134464094</v>
      </c>
      <c r="CB129" s="253">
        <f t="shared" si="107"/>
        <v>1759.3464212589095</v>
      </c>
      <c r="CC129" s="253">
        <f t="shared" si="107"/>
        <v>1759.3464212589095</v>
      </c>
      <c r="CD129" s="253">
        <f t="shared" si="107"/>
        <v>1759.3464212589095</v>
      </c>
      <c r="CE129" s="253">
        <f t="shared" si="107"/>
        <v>1874.8192446039106</v>
      </c>
      <c r="CF129" s="253">
        <f t="shared" si="107"/>
        <v>1874.8192446039106</v>
      </c>
      <c r="CG129" s="253">
        <f t="shared" si="107"/>
        <v>1874.8192446039106</v>
      </c>
      <c r="CH129" s="253">
        <f t="shared" si="107"/>
        <v>1956.8659164789096</v>
      </c>
      <c r="CI129" s="253">
        <f t="shared" si="107"/>
        <v>2203.0059321039103</v>
      </c>
      <c r="CJ129" s="253">
        <f t="shared" si="107"/>
        <v>2203.0059321039103</v>
      </c>
      <c r="CK129" s="253">
        <f t="shared" si="107"/>
        <v>2143.7307995923579</v>
      </c>
      <c r="CL129" s="253">
        <f t="shared" si="107"/>
        <v>2143.7307995923579</v>
      </c>
      <c r="CM129" s="253">
        <f t="shared" si="107"/>
        <v>2143.7307995923579</v>
      </c>
      <c r="CN129" s="253">
        <f t="shared" si="107"/>
        <v>2272.9543077954831</v>
      </c>
      <c r="CO129" s="253">
        <f t="shared" si="107"/>
        <v>2272.9543077954831</v>
      </c>
      <c r="CP129" s="253">
        <f t="shared" si="107"/>
        <v>2272.9543077954831</v>
      </c>
      <c r="CQ129" s="253">
        <f t="shared" si="107"/>
        <v>2394.3527159970836</v>
      </c>
      <c r="CR129" s="253">
        <f t="shared" si="107"/>
        <v>2394.3527159970836</v>
      </c>
      <c r="CS129" s="253">
        <f t="shared" si="107"/>
        <v>2394.3527159970836</v>
      </c>
      <c r="CT129" s="253">
        <f t="shared" si="107"/>
        <v>2480.5017214658324</v>
      </c>
      <c r="CU129" s="253">
        <f t="shared" si="107"/>
        <v>2738.9487378720823</v>
      </c>
      <c r="CV129" s="253">
        <f t="shared" si="107"/>
        <v>2738.9487378720823</v>
      </c>
      <c r="CW129" s="253">
        <f t="shared" si="107"/>
        <v>2677.8953513851848</v>
      </c>
      <c r="CX129" s="253">
        <f t="shared" si="107"/>
        <v>2677.8953513851848</v>
      </c>
      <c r="CY129" s="253">
        <f t="shared" si="107"/>
        <v>2677.8953513851848</v>
      </c>
      <c r="CZ129" s="253">
        <f t="shared" si="107"/>
        <v>2813.5800349984656</v>
      </c>
      <c r="DA129" s="253">
        <f t="shared" si="107"/>
        <v>2813.5800349984656</v>
      </c>
      <c r="DB129" s="253">
        <f t="shared" si="107"/>
        <v>2813.5800349984656</v>
      </c>
      <c r="DC129" s="253">
        <f t="shared" si="107"/>
        <v>2941.2048656101765</v>
      </c>
      <c r="DD129" s="253">
        <f t="shared" si="107"/>
        <v>2941.2048656101765</v>
      </c>
      <c r="DE129" s="253">
        <f t="shared" si="107"/>
        <v>2941.2048656101765</v>
      </c>
      <c r="DF129" s="253">
        <f t="shared" si="107"/>
        <v>3031.6613213523628</v>
      </c>
      <c r="DG129" s="253">
        <f t="shared" si="107"/>
        <v>3303.0306885789278</v>
      </c>
      <c r="DH129" s="253">
        <f t="shared" si="107"/>
        <v>3303.0306885789278</v>
      </c>
      <c r="DI129" s="253">
        <f t="shared" si="107"/>
        <v>3240.1457004974227</v>
      </c>
      <c r="DJ129" s="253">
        <f t="shared" si="107"/>
        <v>3240.1457004974227</v>
      </c>
      <c r="DK129" s="253">
        <f t="shared" si="107"/>
        <v>3240.1457004974227</v>
      </c>
      <c r="DL129" s="253">
        <f t="shared" si="107"/>
        <v>3382.6146182913685</v>
      </c>
      <c r="DM129" s="253">
        <f t="shared" si="107"/>
        <v>3382.6146182913685</v>
      </c>
      <c r="DN129" s="253">
        <f t="shared" si="107"/>
        <v>3382.6146182913685</v>
      </c>
      <c r="DO129" s="253">
        <f t="shared" si="107"/>
        <v>3516.7818874936956</v>
      </c>
      <c r="DP129" s="253">
        <f t="shared" si="107"/>
        <v>3516.7818874936956</v>
      </c>
      <c r="DQ129" s="253">
        <f t="shared" si="107"/>
        <v>3516.7818874936956</v>
      </c>
      <c r="DR129" s="253">
        <f t="shared" si="107"/>
        <v>3611.7611660229923</v>
      </c>
      <c r="DS129" s="253">
        <f t="shared" si="107"/>
        <v>3896.6990016108821</v>
      </c>
      <c r="DT129" s="253">
        <f t="shared" si="107"/>
        <v>3896.6990016108821</v>
      </c>
      <c r="DU129" s="253">
        <f>DU102+DU122</f>
        <v>1354796.2521063334</v>
      </c>
      <c r="DV129" s="210"/>
    </row>
    <row r="130" spans="1:126" s="36" customFormat="1" x14ac:dyDescent="0.2">
      <c r="A130" s="2"/>
      <c r="B130" s="244" t="s">
        <v>169</v>
      </c>
      <c r="C130" s="245"/>
      <c r="D130" s="271"/>
      <c r="E130" s="253">
        <f>SUM(E128:E129)</f>
        <v>-913956.35150699993</v>
      </c>
      <c r="F130" s="253">
        <f t="shared" ref="F130:BQ130" si="108">SUM(F128:F129)</f>
        <v>0</v>
      </c>
      <c r="G130" s="253">
        <f t="shared" si="108"/>
        <v>0</v>
      </c>
      <c r="H130" s="253">
        <f t="shared" si="108"/>
        <v>0</v>
      </c>
      <c r="I130" s="253">
        <f t="shared" si="108"/>
        <v>0</v>
      </c>
      <c r="J130" s="253">
        <f t="shared" si="108"/>
        <v>0</v>
      </c>
      <c r="K130" s="253">
        <f t="shared" si="108"/>
        <v>0</v>
      </c>
      <c r="L130" s="253">
        <f t="shared" si="108"/>
        <v>0</v>
      </c>
      <c r="M130" s="253">
        <f t="shared" si="108"/>
        <v>0</v>
      </c>
      <c r="N130" s="253">
        <f t="shared" si="108"/>
        <v>0</v>
      </c>
      <c r="O130" s="253">
        <f t="shared" si="108"/>
        <v>0</v>
      </c>
      <c r="P130" s="253">
        <f t="shared" si="108"/>
        <v>0</v>
      </c>
      <c r="Q130" s="253">
        <f t="shared" si="108"/>
        <v>0</v>
      </c>
      <c r="R130" s="253">
        <f t="shared" si="108"/>
        <v>0</v>
      </c>
      <c r="S130" s="253">
        <f t="shared" si="108"/>
        <v>0</v>
      </c>
      <c r="T130" s="253">
        <f t="shared" si="108"/>
        <v>0</v>
      </c>
      <c r="U130" s="253">
        <f t="shared" si="108"/>
        <v>0</v>
      </c>
      <c r="V130" s="253">
        <f t="shared" si="108"/>
        <v>0</v>
      </c>
      <c r="W130" s="253">
        <f t="shared" si="108"/>
        <v>0</v>
      </c>
      <c r="X130" s="253">
        <f t="shared" si="108"/>
        <v>6170.625</v>
      </c>
      <c r="Y130" s="253">
        <f t="shared" si="108"/>
        <v>6170.625</v>
      </c>
      <c r="Z130" s="253">
        <f t="shared" si="108"/>
        <v>440994.65615958127</v>
      </c>
      <c r="AA130" s="253">
        <f t="shared" si="108"/>
        <v>0</v>
      </c>
      <c r="AB130" s="253">
        <f t="shared" si="108"/>
        <v>0</v>
      </c>
      <c r="AC130" s="253">
        <f t="shared" si="108"/>
        <v>0</v>
      </c>
      <c r="AD130" s="253">
        <f t="shared" si="108"/>
        <v>0</v>
      </c>
      <c r="AE130" s="253">
        <f t="shared" si="108"/>
        <v>0</v>
      </c>
      <c r="AF130" s="253">
        <f t="shared" si="108"/>
        <v>0</v>
      </c>
      <c r="AG130" s="253">
        <f t="shared" si="108"/>
        <v>0</v>
      </c>
      <c r="AH130" s="253">
        <f t="shared" si="108"/>
        <v>0</v>
      </c>
      <c r="AI130" s="253">
        <f t="shared" si="108"/>
        <v>44.063333581470943</v>
      </c>
      <c r="AJ130" s="253">
        <f t="shared" si="108"/>
        <v>44.063333581470943</v>
      </c>
      <c r="AK130" s="253">
        <f t="shared" si="108"/>
        <v>44.063333581470943</v>
      </c>
      <c r="AL130" s="253">
        <f t="shared" si="108"/>
        <v>111.56333358147094</v>
      </c>
      <c r="AM130" s="253">
        <f t="shared" si="108"/>
        <v>314.06333358147094</v>
      </c>
      <c r="AN130" s="253">
        <f t="shared" si="108"/>
        <v>314.06333358147094</v>
      </c>
      <c r="AO130" s="253">
        <f t="shared" si="108"/>
        <v>261.39814608147157</v>
      </c>
      <c r="AP130" s="253">
        <f t="shared" si="108"/>
        <v>261.39814608147157</v>
      </c>
      <c r="AQ130" s="253">
        <f t="shared" si="108"/>
        <v>261.39814608147157</v>
      </c>
      <c r="AR130" s="253">
        <f t="shared" si="108"/>
        <v>367.71064608147157</v>
      </c>
      <c r="AS130" s="253">
        <f t="shared" si="108"/>
        <v>367.71064608147157</v>
      </c>
      <c r="AT130" s="253">
        <f t="shared" si="108"/>
        <v>367.71064608147157</v>
      </c>
      <c r="AU130" s="253">
        <f t="shared" si="108"/>
        <v>467.07064608147124</v>
      </c>
      <c r="AV130" s="253">
        <f t="shared" si="108"/>
        <v>467.07064608147124</v>
      </c>
      <c r="AW130" s="253">
        <f t="shared" si="108"/>
        <v>467.07064608147124</v>
      </c>
      <c r="AX130" s="253">
        <f t="shared" si="108"/>
        <v>537.94564608147118</v>
      </c>
      <c r="AY130" s="253">
        <f t="shared" si="108"/>
        <v>750.57064608147118</v>
      </c>
      <c r="AZ130" s="253">
        <f t="shared" si="108"/>
        <v>750.57064608147118</v>
      </c>
      <c r="BA130" s="253">
        <f t="shared" si="108"/>
        <v>696.32550295647059</v>
      </c>
      <c r="BB130" s="253">
        <f t="shared" si="108"/>
        <v>696.32550295647059</v>
      </c>
      <c r="BC130" s="253">
        <f t="shared" si="108"/>
        <v>696.32550295647059</v>
      </c>
      <c r="BD130" s="253">
        <f t="shared" si="108"/>
        <v>807.95362795647054</v>
      </c>
      <c r="BE130" s="253">
        <f t="shared" si="108"/>
        <v>807.95362795647054</v>
      </c>
      <c r="BF130" s="253">
        <f t="shared" si="108"/>
        <v>807.95362795647054</v>
      </c>
      <c r="BG130" s="253">
        <f t="shared" si="108"/>
        <v>912.42067795647108</v>
      </c>
      <c r="BH130" s="253">
        <f t="shared" si="108"/>
        <v>912.42067795647108</v>
      </c>
      <c r="BI130" s="253">
        <f t="shared" si="108"/>
        <v>912.42067795647108</v>
      </c>
      <c r="BJ130" s="253">
        <f t="shared" si="108"/>
        <v>986.83942795647113</v>
      </c>
      <c r="BK130" s="253">
        <f t="shared" si="108"/>
        <v>1210.0956779564729</v>
      </c>
      <c r="BL130" s="253">
        <f t="shared" si="108"/>
        <v>1210.0956779564729</v>
      </c>
      <c r="BM130" s="253">
        <f t="shared" si="108"/>
        <v>1154.2231805377219</v>
      </c>
      <c r="BN130" s="253">
        <f t="shared" si="108"/>
        <v>1154.2231805377219</v>
      </c>
      <c r="BO130" s="253">
        <f t="shared" si="108"/>
        <v>1154.2231805377219</v>
      </c>
      <c r="BP130" s="253">
        <f t="shared" si="108"/>
        <v>1271.4327117877206</v>
      </c>
      <c r="BQ130" s="253">
        <f t="shared" si="108"/>
        <v>1271.4327117877206</v>
      </c>
      <c r="BR130" s="253">
        <f t="shared" ref="BR130:DT130" si="109">SUM(BR128:BR129)</f>
        <v>1271.4327117877206</v>
      </c>
      <c r="BS130" s="253">
        <f t="shared" si="109"/>
        <v>1381.2663357877225</v>
      </c>
      <c r="BT130" s="253">
        <f t="shared" si="109"/>
        <v>1381.2663357877225</v>
      </c>
      <c r="BU130" s="253">
        <f t="shared" si="109"/>
        <v>1381.2663357877225</v>
      </c>
      <c r="BV130" s="253">
        <f t="shared" si="109"/>
        <v>1459.4060232877237</v>
      </c>
      <c r="BW130" s="253">
        <f t="shared" si="109"/>
        <v>1693.8250857877226</v>
      </c>
      <c r="BX130" s="253">
        <f t="shared" si="109"/>
        <v>1693.8250857877226</v>
      </c>
      <c r="BY130" s="253">
        <f t="shared" si="109"/>
        <v>1636.2764134464094</v>
      </c>
      <c r="BZ130" s="253">
        <f t="shared" si="109"/>
        <v>1636.2764134464094</v>
      </c>
      <c r="CA130" s="253">
        <f t="shared" si="109"/>
        <v>1636.2764134464094</v>
      </c>
      <c r="CB130" s="253">
        <f t="shared" si="109"/>
        <v>1759.3464212589095</v>
      </c>
      <c r="CC130" s="253">
        <f t="shared" si="109"/>
        <v>1759.3464212589095</v>
      </c>
      <c r="CD130" s="253">
        <f t="shared" si="109"/>
        <v>1759.3464212589095</v>
      </c>
      <c r="CE130" s="253">
        <f t="shared" si="109"/>
        <v>1874.8192446039106</v>
      </c>
      <c r="CF130" s="253">
        <f t="shared" si="109"/>
        <v>1874.8192446039106</v>
      </c>
      <c r="CG130" s="253">
        <f t="shared" si="109"/>
        <v>1874.8192446039106</v>
      </c>
      <c r="CH130" s="253">
        <f t="shared" si="109"/>
        <v>1956.8659164789096</v>
      </c>
      <c r="CI130" s="253">
        <f t="shared" si="109"/>
        <v>2203.0059321039103</v>
      </c>
      <c r="CJ130" s="253">
        <f t="shared" si="109"/>
        <v>2203.0059321039103</v>
      </c>
      <c r="CK130" s="253">
        <f t="shared" si="109"/>
        <v>2143.7307995923579</v>
      </c>
      <c r="CL130" s="253">
        <f t="shared" si="109"/>
        <v>2143.7307995923579</v>
      </c>
      <c r="CM130" s="253">
        <f t="shared" si="109"/>
        <v>2143.7307995923579</v>
      </c>
      <c r="CN130" s="253">
        <f t="shared" si="109"/>
        <v>2272.9543077954831</v>
      </c>
      <c r="CO130" s="253">
        <f t="shared" si="109"/>
        <v>2272.9543077954831</v>
      </c>
      <c r="CP130" s="253">
        <f t="shared" si="109"/>
        <v>2272.9543077954831</v>
      </c>
      <c r="CQ130" s="253">
        <f t="shared" si="109"/>
        <v>2394.3527159970836</v>
      </c>
      <c r="CR130" s="253">
        <f t="shared" si="109"/>
        <v>2394.3527159970836</v>
      </c>
      <c r="CS130" s="253">
        <f t="shared" si="109"/>
        <v>2394.3527159970836</v>
      </c>
      <c r="CT130" s="253">
        <f t="shared" si="109"/>
        <v>2480.5017214658324</v>
      </c>
      <c r="CU130" s="253">
        <f t="shared" si="109"/>
        <v>2738.9487378720823</v>
      </c>
      <c r="CV130" s="253">
        <f t="shared" si="109"/>
        <v>2738.9487378720823</v>
      </c>
      <c r="CW130" s="253">
        <f t="shared" si="109"/>
        <v>2677.8953513851848</v>
      </c>
      <c r="CX130" s="253">
        <f t="shared" si="109"/>
        <v>2677.8953513851848</v>
      </c>
      <c r="CY130" s="253">
        <f t="shared" si="109"/>
        <v>2677.8953513851848</v>
      </c>
      <c r="CZ130" s="253">
        <f t="shared" si="109"/>
        <v>2813.5800349984656</v>
      </c>
      <c r="DA130" s="253">
        <f t="shared" si="109"/>
        <v>2813.5800349984656</v>
      </c>
      <c r="DB130" s="253">
        <f t="shared" si="109"/>
        <v>2813.5800349984656</v>
      </c>
      <c r="DC130" s="253">
        <f t="shared" si="109"/>
        <v>2941.2048656101765</v>
      </c>
      <c r="DD130" s="253">
        <f t="shared" si="109"/>
        <v>2941.2048656101765</v>
      </c>
      <c r="DE130" s="253">
        <f t="shared" si="109"/>
        <v>2941.2048656101765</v>
      </c>
      <c r="DF130" s="253">
        <f t="shared" si="109"/>
        <v>3031.6613213523628</v>
      </c>
      <c r="DG130" s="253">
        <f t="shared" si="109"/>
        <v>3303.0306885789278</v>
      </c>
      <c r="DH130" s="253">
        <f t="shared" si="109"/>
        <v>3303.0306885789278</v>
      </c>
      <c r="DI130" s="253">
        <f t="shared" si="109"/>
        <v>3240.1457004974227</v>
      </c>
      <c r="DJ130" s="253">
        <f t="shared" si="109"/>
        <v>3240.1457004974227</v>
      </c>
      <c r="DK130" s="253">
        <f t="shared" si="109"/>
        <v>3240.1457004974227</v>
      </c>
      <c r="DL130" s="253">
        <f t="shared" si="109"/>
        <v>3382.6146182913685</v>
      </c>
      <c r="DM130" s="253">
        <f t="shared" si="109"/>
        <v>3382.6146182913685</v>
      </c>
      <c r="DN130" s="253">
        <f t="shared" si="109"/>
        <v>3382.6146182913685</v>
      </c>
      <c r="DO130" s="253">
        <f t="shared" si="109"/>
        <v>3516.7818874936956</v>
      </c>
      <c r="DP130" s="253">
        <f t="shared" si="109"/>
        <v>3516.7818874936956</v>
      </c>
      <c r="DQ130" s="253">
        <f t="shared" si="109"/>
        <v>3516.7818874936956</v>
      </c>
      <c r="DR130" s="253">
        <f t="shared" si="109"/>
        <v>3611.7611660229923</v>
      </c>
      <c r="DS130" s="253">
        <f t="shared" si="109"/>
        <v>3896.6990016108821</v>
      </c>
      <c r="DT130" s="253">
        <f t="shared" si="109"/>
        <v>3896.6990016108821</v>
      </c>
      <c r="DU130" s="253">
        <f>SUM(DU128:DU129)</f>
        <v>1354796.2521063334</v>
      </c>
      <c r="DV130" s="210"/>
    </row>
    <row r="131" spans="1:126" s="36" customFormat="1" x14ac:dyDescent="0.2">
      <c r="A131" s="2"/>
      <c r="B131" s="205" t="s">
        <v>68</v>
      </c>
      <c r="C131" s="246">
        <f>XIRR(E130:DU130,E3:DU3)</f>
        <v>0.11439973711967469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</row>
    <row r="132" spans="1:126" s="36" customFormat="1" x14ac:dyDescent="0.2">
      <c r="A132" s="2"/>
      <c r="B132" s="204" t="s">
        <v>170</v>
      </c>
      <c r="C132" s="247">
        <f>SUM(E130:DU130)/D95</f>
        <v>1.1539123605768249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</row>
    <row r="133" spans="1:126" s="36" customFormat="1" x14ac:dyDescent="0.2">
      <c r="A133" s="2"/>
      <c r="B133" s="248"/>
      <c r="C133" s="24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</row>
    <row r="134" spans="1:126" s="36" customFormat="1" x14ac:dyDescent="0.2">
      <c r="A134" s="2"/>
      <c r="B134" s="194" t="s">
        <v>171</v>
      </c>
      <c r="C134" s="74"/>
      <c r="D134" s="18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  <c r="DU134" s="74"/>
      <c r="DV134" s="185"/>
    </row>
    <row r="135" spans="1:126" s="36" customFormat="1" x14ac:dyDescent="0.2">
      <c r="A135" s="2"/>
      <c r="B135" s="242" t="s">
        <v>167</v>
      </c>
      <c r="C135" s="35"/>
      <c r="D135" s="202"/>
      <c r="E135" s="51">
        <f>-E94</f>
        <v>-101550.70572299999</v>
      </c>
      <c r="F135" s="51">
        <f t="shared" ref="F135:AC135" si="110">-F94</f>
        <v>0</v>
      </c>
      <c r="G135" s="51">
        <f t="shared" si="110"/>
        <v>0</v>
      </c>
      <c r="H135" s="51">
        <f t="shared" si="110"/>
        <v>0</v>
      </c>
      <c r="I135" s="51">
        <f t="shared" si="110"/>
        <v>0</v>
      </c>
      <c r="J135" s="51">
        <f t="shared" si="110"/>
        <v>0</v>
      </c>
      <c r="K135" s="51">
        <f t="shared" si="110"/>
        <v>0</v>
      </c>
      <c r="L135" s="51">
        <f t="shared" si="110"/>
        <v>0</v>
      </c>
      <c r="M135" s="51">
        <f t="shared" si="110"/>
        <v>0</v>
      </c>
      <c r="N135" s="51">
        <f t="shared" si="110"/>
        <v>0</v>
      </c>
      <c r="O135" s="51">
        <f t="shared" si="110"/>
        <v>0</v>
      </c>
      <c r="P135" s="51">
        <f t="shared" si="110"/>
        <v>0</v>
      </c>
      <c r="Q135" s="51">
        <f t="shared" si="110"/>
        <v>0</v>
      </c>
      <c r="R135" s="51">
        <f t="shared" si="110"/>
        <v>0</v>
      </c>
      <c r="S135" s="51">
        <f t="shared" si="110"/>
        <v>0</v>
      </c>
      <c r="T135" s="51">
        <f t="shared" si="110"/>
        <v>0</v>
      </c>
      <c r="U135" s="51">
        <f t="shared" si="110"/>
        <v>0</v>
      </c>
      <c r="V135" s="51">
        <f t="shared" si="110"/>
        <v>0</v>
      </c>
      <c r="W135" s="51">
        <f t="shared" si="110"/>
        <v>0</v>
      </c>
      <c r="X135" s="51">
        <f t="shared" si="110"/>
        <v>0</v>
      </c>
      <c r="Y135" s="51">
        <f t="shared" si="110"/>
        <v>0</v>
      </c>
      <c r="Z135" s="51">
        <f t="shared" si="110"/>
        <v>0</v>
      </c>
      <c r="AA135" s="51">
        <f t="shared" si="110"/>
        <v>0</v>
      </c>
      <c r="AB135" s="51">
        <f t="shared" si="110"/>
        <v>0</v>
      </c>
      <c r="AC135" s="51">
        <f t="shared" si="110"/>
        <v>0</v>
      </c>
      <c r="AD135" s="51">
        <f t="shared" ref="AD135:BQ135" si="111">AD94</f>
        <v>0</v>
      </c>
      <c r="AE135" s="51">
        <f t="shared" si="111"/>
        <v>0</v>
      </c>
      <c r="AF135" s="51">
        <f t="shared" si="111"/>
        <v>0</v>
      </c>
      <c r="AG135" s="51">
        <f t="shared" si="111"/>
        <v>0</v>
      </c>
      <c r="AH135" s="51">
        <f t="shared" si="111"/>
        <v>0</v>
      </c>
      <c r="AI135" s="51">
        <f t="shared" si="111"/>
        <v>0</v>
      </c>
      <c r="AJ135" s="51">
        <f t="shared" si="111"/>
        <v>0</v>
      </c>
      <c r="AK135" s="51">
        <f t="shared" si="111"/>
        <v>0</v>
      </c>
      <c r="AL135" s="51">
        <f t="shared" si="111"/>
        <v>0</v>
      </c>
      <c r="AM135" s="51">
        <f t="shared" si="111"/>
        <v>0</v>
      </c>
      <c r="AN135" s="51">
        <f t="shared" si="111"/>
        <v>0</v>
      </c>
      <c r="AO135" s="51">
        <f t="shared" si="111"/>
        <v>0</v>
      </c>
      <c r="AP135" s="51">
        <f t="shared" si="111"/>
        <v>0</v>
      </c>
      <c r="AQ135" s="51">
        <f t="shared" si="111"/>
        <v>0</v>
      </c>
      <c r="AR135" s="51">
        <f t="shared" si="111"/>
        <v>0</v>
      </c>
      <c r="AS135" s="51">
        <f t="shared" si="111"/>
        <v>0</v>
      </c>
      <c r="AT135" s="51">
        <f t="shared" si="111"/>
        <v>0</v>
      </c>
      <c r="AU135" s="51">
        <f t="shared" si="111"/>
        <v>0</v>
      </c>
      <c r="AV135" s="51">
        <f t="shared" si="111"/>
        <v>0</v>
      </c>
      <c r="AW135" s="51">
        <f t="shared" si="111"/>
        <v>0</v>
      </c>
      <c r="AX135" s="51">
        <f t="shared" si="111"/>
        <v>0</v>
      </c>
      <c r="AY135" s="51">
        <f t="shared" si="111"/>
        <v>0</v>
      </c>
      <c r="AZ135" s="51">
        <f t="shared" si="111"/>
        <v>0</v>
      </c>
      <c r="BA135" s="51">
        <f t="shared" si="111"/>
        <v>0</v>
      </c>
      <c r="BB135" s="51">
        <f t="shared" si="111"/>
        <v>0</v>
      </c>
      <c r="BC135" s="51">
        <f t="shared" si="111"/>
        <v>0</v>
      </c>
      <c r="BD135" s="51">
        <f t="shared" si="111"/>
        <v>0</v>
      </c>
      <c r="BE135" s="51">
        <f t="shared" si="111"/>
        <v>0</v>
      </c>
      <c r="BF135" s="51">
        <f t="shared" si="111"/>
        <v>0</v>
      </c>
      <c r="BG135" s="51">
        <f t="shared" si="111"/>
        <v>0</v>
      </c>
      <c r="BH135" s="51">
        <f t="shared" si="111"/>
        <v>0</v>
      </c>
      <c r="BI135" s="51">
        <f t="shared" si="111"/>
        <v>0</v>
      </c>
      <c r="BJ135" s="51">
        <f t="shared" si="111"/>
        <v>0</v>
      </c>
      <c r="BK135" s="51">
        <f t="shared" si="111"/>
        <v>0</v>
      </c>
      <c r="BL135" s="51">
        <f t="shared" si="111"/>
        <v>0</v>
      </c>
      <c r="BM135" s="51">
        <f t="shared" si="111"/>
        <v>0</v>
      </c>
      <c r="BN135" s="51">
        <f t="shared" si="111"/>
        <v>0</v>
      </c>
      <c r="BO135" s="51">
        <f t="shared" si="111"/>
        <v>0</v>
      </c>
      <c r="BP135" s="51">
        <f t="shared" si="111"/>
        <v>0</v>
      </c>
      <c r="BQ135" s="51">
        <f t="shared" si="111"/>
        <v>0</v>
      </c>
      <c r="BR135" s="51">
        <f t="shared" ref="BR135:DU135" si="112">BR94</f>
        <v>0</v>
      </c>
      <c r="BS135" s="51">
        <f t="shared" si="112"/>
        <v>0</v>
      </c>
      <c r="BT135" s="51">
        <f t="shared" si="112"/>
        <v>0</v>
      </c>
      <c r="BU135" s="51">
        <f t="shared" si="112"/>
        <v>0</v>
      </c>
      <c r="BV135" s="51">
        <f t="shared" si="112"/>
        <v>0</v>
      </c>
      <c r="BW135" s="51">
        <f t="shared" si="112"/>
        <v>0</v>
      </c>
      <c r="BX135" s="51">
        <f t="shared" si="112"/>
        <v>0</v>
      </c>
      <c r="BY135" s="51">
        <f t="shared" si="112"/>
        <v>0</v>
      </c>
      <c r="BZ135" s="51">
        <f t="shared" si="112"/>
        <v>0</v>
      </c>
      <c r="CA135" s="51">
        <f t="shared" si="112"/>
        <v>0</v>
      </c>
      <c r="CB135" s="51">
        <f t="shared" si="112"/>
        <v>0</v>
      </c>
      <c r="CC135" s="51">
        <f t="shared" si="112"/>
        <v>0</v>
      </c>
      <c r="CD135" s="51">
        <f t="shared" si="112"/>
        <v>0</v>
      </c>
      <c r="CE135" s="51">
        <f t="shared" si="112"/>
        <v>0</v>
      </c>
      <c r="CF135" s="51">
        <f t="shared" si="112"/>
        <v>0</v>
      </c>
      <c r="CG135" s="51">
        <f t="shared" si="112"/>
        <v>0</v>
      </c>
      <c r="CH135" s="51">
        <f t="shared" si="112"/>
        <v>0</v>
      </c>
      <c r="CI135" s="51">
        <f t="shared" si="112"/>
        <v>0</v>
      </c>
      <c r="CJ135" s="51">
        <f t="shared" si="112"/>
        <v>0</v>
      </c>
      <c r="CK135" s="51">
        <f t="shared" si="112"/>
        <v>0</v>
      </c>
      <c r="CL135" s="51">
        <f t="shared" si="112"/>
        <v>0</v>
      </c>
      <c r="CM135" s="51">
        <f t="shared" si="112"/>
        <v>0</v>
      </c>
      <c r="CN135" s="51">
        <f t="shared" si="112"/>
        <v>0</v>
      </c>
      <c r="CO135" s="51">
        <f t="shared" si="112"/>
        <v>0</v>
      </c>
      <c r="CP135" s="51">
        <f t="shared" si="112"/>
        <v>0</v>
      </c>
      <c r="CQ135" s="51">
        <f t="shared" si="112"/>
        <v>0</v>
      </c>
      <c r="CR135" s="51">
        <f t="shared" si="112"/>
        <v>0</v>
      </c>
      <c r="CS135" s="51">
        <f t="shared" si="112"/>
        <v>0</v>
      </c>
      <c r="CT135" s="51">
        <f t="shared" si="112"/>
        <v>0</v>
      </c>
      <c r="CU135" s="51">
        <f t="shared" si="112"/>
        <v>0</v>
      </c>
      <c r="CV135" s="51">
        <f t="shared" si="112"/>
        <v>0</v>
      </c>
      <c r="CW135" s="51">
        <f t="shared" si="112"/>
        <v>0</v>
      </c>
      <c r="CX135" s="51">
        <f t="shared" si="112"/>
        <v>0</v>
      </c>
      <c r="CY135" s="51">
        <f t="shared" si="112"/>
        <v>0</v>
      </c>
      <c r="CZ135" s="51">
        <f t="shared" si="112"/>
        <v>0</v>
      </c>
      <c r="DA135" s="51">
        <f t="shared" si="112"/>
        <v>0</v>
      </c>
      <c r="DB135" s="51">
        <f t="shared" si="112"/>
        <v>0</v>
      </c>
      <c r="DC135" s="51">
        <f t="shared" si="112"/>
        <v>0</v>
      </c>
      <c r="DD135" s="51">
        <f t="shared" si="112"/>
        <v>0</v>
      </c>
      <c r="DE135" s="51">
        <f t="shared" si="112"/>
        <v>0</v>
      </c>
      <c r="DF135" s="51">
        <f t="shared" si="112"/>
        <v>0</v>
      </c>
      <c r="DG135" s="51">
        <f t="shared" si="112"/>
        <v>0</v>
      </c>
      <c r="DH135" s="51">
        <f t="shared" si="112"/>
        <v>0</v>
      </c>
      <c r="DI135" s="51">
        <f t="shared" si="112"/>
        <v>0</v>
      </c>
      <c r="DJ135" s="51">
        <f t="shared" si="112"/>
        <v>0</v>
      </c>
      <c r="DK135" s="51">
        <f t="shared" si="112"/>
        <v>0</v>
      </c>
      <c r="DL135" s="51">
        <f t="shared" si="112"/>
        <v>0</v>
      </c>
      <c r="DM135" s="51">
        <f t="shared" si="112"/>
        <v>0</v>
      </c>
      <c r="DN135" s="51">
        <f t="shared" si="112"/>
        <v>0</v>
      </c>
      <c r="DO135" s="51">
        <f t="shared" si="112"/>
        <v>0</v>
      </c>
      <c r="DP135" s="51">
        <f t="shared" si="112"/>
        <v>0</v>
      </c>
      <c r="DQ135" s="51">
        <f t="shared" si="112"/>
        <v>0</v>
      </c>
      <c r="DR135" s="51">
        <f t="shared" si="112"/>
        <v>0</v>
      </c>
      <c r="DS135" s="51">
        <f t="shared" si="112"/>
        <v>0</v>
      </c>
      <c r="DT135" s="51">
        <f t="shared" si="112"/>
        <v>0</v>
      </c>
      <c r="DU135" s="51">
        <f t="shared" si="112"/>
        <v>0</v>
      </c>
      <c r="DV135" s="202"/>
    </row>
    <row r="136" spans="1:126" s="36" customFormat="1" x14ac:dyDescent="0.2">
      <c r="A136" s="2"/>
      <c r="B136" s="242" t="s">
        <v>168</v>
      </c>
      <c r="C136" s="15"/>
      <c r="D136" s="210"/>
      <c r="E136" s="253">
        <f>E107+E123</f>
        <v>0</v>
      </c>
      <c r="F136" s="253">
        <f t="shared" ref="F136:BQ136" si="113">F107+F123</f>
        <v>0</v>
      </c>
      <c r="G136" s="253">
        <f t="shared" si="113"/>
        <v>0</v>
      </c>
      <c r="H136" s="253">
        <f t="shared" si="113"/>
        <v>0</v>
      </c>
      <c r="I136" s="253">
        <f t="shared" si="113"/>
        <v>0</v>
      </c>
      <c r="J136" s="253">
        <f t="shared" si="113"/>
        <v>0</v>
      </c>
      <c r="K136" s="253">
        <f t="shared" si="113"/>
        <v>0</v>
      </c>
      <c r="L136" s="253">
        <f t="shared" si="113"/>
        <v>0</v>
      </c>
      <c r="M136" s="253">
        <f t="shared" si="113"/>
        <v>0</v>
      </c>
      <c r="N136" s="253">
        <f t="shared" si="113"/>
        <v>0</v>
      </c>
      <c r="O136" s="253">
        <f t="shared" si="113"/>
        <v>0</v>
      </c>
      <c r="P136" s="253">
        <f t="shared" si="113"/>
        <v>0</v>
      </c>
      <c r="Q136" s="253">
        <f t="shared" si="113"/>
        <v>0</v>
      </c>
      <c r="R136" s="253">
        <f t="shared" si="113"/>
        <v>0</v>
      </c>
      <c r="S136" s="253">
        <f t="shared" si="113"/>
        <v>0</v>
      </c>
      <c r="T136" s="253">
        <f t="shared" si="113"/>
        <v>0</v>
      </c>
      <c r="U136" s="253">
        <f t="shared" si="113"/>
        <v>0</v>
      </c>
      <c r="V136" s="253">
        <f t="shared" si="113"/>
        <v>0</v>
      </c>
      <c r="W136" s="253">
        <f t="shared" si="113"/>
        <v>0</v>
      </c>
      <c r="X136" s="253">
        <f t="shared" si="113"/>
        <v>685.625</v>
      </c>
      <c r="Y136" s="253">
        <f t="shared" si="113"/>
        <v>685.625</v>
      </c>
      <c r="Z136" s="253">
        <f t="shared" si="113"/>
        <v>48999.406239953474</v>
      </c>
      <c r="AA136" s="253">
        <f t="shared" si="113"/>
        <v>0</v>
      </c>
      <c r="AB136" s="253">
        <f t="shared" si="113"/>
        <v>0</v>
      </c>
      <c r="AC136" s="253">
        <f t="shared" si="113"/>
        <v>0</v>
      </c>
      <c r="AD136" s="253">
        <f t="shared" si="113"/>
        <v>0</v>
      </c>
      <c r="AE136" s="253">
        <f t="shared" si="113"/>
        <v>0</v>
      </c>
      <c r="AF136" s="253">
        <f t="shared" si="113"/>
        <v>0</v>
      </c>
      <c r="AG136" s="253">
        <f t="shared" si="113"/>
        <v>0</v>
      </c>
      <c r="AH136" s="253">
        <f t="shared" si="113"/>
        <v>0</v>
      </c>
      <c r="AI136" s="253">
        <f t="shared" si="113"/>
        <v>4.8959259534967714</v>
      </c>
      <c r="AJ136" s="253">
        <f t="shared" si="113"/>
        <v>4.8959259534967714</v>
      </c>
      <c r="AK136" s="253">
        <f t="shared" si="113"/>
        <v>4.8959259534967714</v>
      </c>
      <c r="AL136" s="253">
        <f t="shared" si="113"/>
        <v>12.395925953496771</v>
      </c>
      <c r="AM136" s="253">
        <f t="shared" si="113"/>
        <v>34.895925953496771</v>
      </c>
      <c r="AN136" s="253">
        <f t="shared" si="113"/>
        <v>34.895925953496771</v>
      </c>
      <c r="AO136" s="253">
        <f t="shared" si="113"/>
        <v>29.044238453496845</v>
      </c>
      <c r="AP136" s="253">
        <f t="shared" si="113"/>
        <v>29.044238453496845</v>
      </c>
      <c r="AQ136" s="253">
        <f t="shared" si="113"/>
        <v>29.044238453496845</v>
      </c>
      <c r="AR136" s="253">
        <f t="shared" si="113"/>
        <v>40.856738453496838</v>
      </c>
      <c r="AS136" s="253">
        <f t="shared" si="113"/>
        <v>40.856738453496838</v>
      </c>
      <c r="AT136" s="253">
        <f t="shared" si="113"/>
        <v>40.856738453496838</v>
      </c>
      <c r="AU136" s="253">
        <f t="shared" si="113"/>
        <v>51.896738453496802</v>
      </c>
      <c r="AV136" s="253">
        <f t="shared" si="113"/>
        <v>51.896738453496802</v>
      </c>
      <c r="AW136" s="253">
        <f t="shared" si="113"/>
        <v>51.896738453496802</v>
      </c>
      <c r="AX136" s="253">
        <f t="shared" si="113"/>
        <v>59.771738453496802</v>
      </c>
      <c r="AY136" s="253">
        <f t="shared" si="113"/>
        <v>83.396738453496809</v>
      </c>
      <c r="AZ136" s="253">
        <f t="shared" si="113"/>
        <v>83.396738453496809</v>
      </c>
      <c r="BA136" s="253">
        <f t="shared" si="113"/>
        <v>77.369500328496727</v>
      </c>
      <c r="BB136" s="253">
        <f t="shared" si="113"/>
        <v>77.369500328496727</v>
      </c>
      <c r="BC136" s="253">
        <f t="shared" si="113"/>
        <v>77.369500328496727</v>
      </c>
      <c r="BD136" s="253">
        <f t="shared" si="113"/>
        <v>89.77262532849673</v>
      </c>
      <c r="BE136" s="253">
        <f t="shared" si="113"/>
        <v>89.77262532849673</v>
      </c>
      <c r="BF136" s="253">
        <f t="shared" si="113"/>
        <v>89.77262532849673</v>
      </c>
      <c r="BG136" s="253">
        <f t="shared" si="113"/>
        <v>101.38007532849679</v>
      </c>
      <c r="BH136" s="253">
        <f t="shared" si="113"/>
        <v>101.38007532849679</v>
      </c>
      <c r="BI136" s="253">
        <f t="shared" si="113"/>
        <v>101.38007532849679</v>
      </c>
      <c r="BJ136" s="253">
        <f t="shared" si="113"/>
        <v>109.6488253284968</v>
      </c>
      <c r="BK136" s="253">
        <f t="shared" si="113"/>
        <v>134.455075328497</v>
      </c>
      <c r="BL136" s="253">
        <f t="shared" si="113"/>
        <v>134.455075328497</v>
      </c>
      <c r="BM136" s="253">
        <f t="shared" si="113"/>
        <v>128.24702005974686</v>
      </c>
      <c r="BN136" s="253">
        <f t="shared" si="113"/>
        <v>128.24702005974686</v>
      </c>
      <c r="BO136" s="253">
        <f t="shared" si="113"/>
        <v>128.24702005974686</v>
      </c>
      <c r="BP136" s="253">
        <f t="shared" si="113"/>
        <v>141.27030130974671</v>
      </c>
      <c r="BQ136" s="253">
        <f t="shared" si="113"/>
        <v>141.27030130974671</v>
      </c>
      <c r="BR136" s="253">
        <f t="shared" ref="BR136:DT136" si="114">BR107+BR123</f>
        <v>141.27030130974671</v>
      </c>
      <c r="BS136" s="253">
        <f t="shared" si="114"/>
        <v>153.47403730974693</v>
      </c>
      <c r="BT136" s="253">
        <f t="shared" si="114"/>
        <v>153.47403730974693</v>
      </c>
      <c r="BU136" s="253">
        <f t="shared" si="114"/>
        <v>153.47403730974693</v>
      </c>
      <c r="BV136" s="253">
        <f t="shared" si="114"/>
        <v>162.15622480974707</v>
      </c>
      <c r="BW136" s="253">
        <f t="shared" si="114"/>
        <v>188.20278730974698</v>
      </c>
      <c r="BX136" s="253">
        <f t="shared" si="114"/>
        <v>188.20278730974698</v>
      </c>
      <c r="BY136" s="253">
        <f t="shared" si="114"/>
        <v>181.80849038293437</v>
      </c>
      <c r="BZ136" s="253">
        <f t="shared" si="114"/>
        <v>181.80849038293437</v>
      </c>
      <c r="CA136" s="253">
        <f t="shared" si="114"/>
        <v>181.80849038293437</v>
      </c>
      <c r="CB136" s="253">
        <f t="shared" si="114"/>
        <v>195.48293569543441</v>
      </c>
      <c r="CC136" s="253">
        <f t="shared" si="114"/>
        <v>195.48293569543441</v>
      </c>
      <c r="CD136" s="253">
        <f t="shared" si="114"/>
        <v>195.48293569543441</v>
      </c>
      <c r="CE136" s="253">
        <f t="shared" si="114"/>
        <v>208.31324940043453</v>
      </c>
      <c r="CF136" s="253">
        <f t="shared" si="114"/>
        <v>208.31324940043453</v>
      </c>
      <c r="CG136" s="253">
        <f t="shared" si="114"/>
        <v>208.31324940043453</v>
      </c>
      <c r="CH136" s="253">
        <f t="shared" si="114"/>
        <v>217.4295462754344</v>
      </c>
      <c r="CI136" s="253">
        <f t="shared" si="114"/>
        <v>244.77843690043449</v>
      </c>
      <c r="CJ136" s="253">
        <f t="shared" si="114"/>
        <v>244.77843690043449</v>
      </c>
      <c r="CK136" s="253">
        <f t="shared" si="114"/>
        <v>238.19231106581756</v>
      </c>
      <c r="CL136" s="253">
        <f t="shared" si="114"/>
        <v>238.19231106581756</v>
      </c>
      <c r="CM136" s="253">
        <f t="shared" si="114"/>
        <v>238.19231106581756</v>
      </c>
      <c r="CN136" s="253">
        <f t="shared" si="114"/>
        <v>252.55047864394257</v>
      </c>
      <c r="CO136" s="253">
        <f t="shared" si="114"/>
        <v>252.55047864394257</v>
      </c>
      <c r="CP136" s="253">
        <f t="shared" si="114"/>
        <v>252.55047864394257</v>
      </c>
      <c r="CQ136" s="253">
        <f t="shared" si="114"/>
        <v>266.03919066634262</v>
      </c>
      <c r="CR136" s="253">
        <f t="shared" si="114"/>
        <v>266.03919066634262</v>
      </c>
      <c r="CS136" s="253">
        <f t="shared" si="114"/>
        <v>266.03919066634262</v>
      </c>
      <c r="CT136" s="253">
        <f t="shared" si="114"/>
        <v>275.61130238509253</v>
      </c>
      <c r="CU136" s="253">
        <f t="shared" si="114"/>
        <v>304.32763754134248</v>
      </c>
      <c r="CV136" s="253">
        <f t="shared" si="114"/>
        <v>304.32763754134248</v>
      </c>
      <c r="CW136" s="253">
        <f t="shared" si="114"/>
        <v>297.54392793168716</v>
      </c>
      <c r="CX136" s="253">
        <f t="shared" si="114"/>
        <v>297.54392793168716</v>
      </c>
      <c r="CY136" s="253">
        <f t="shared" si="114"/>
        <v>297.54392793168716</v>
      </c>
      <c r="CZ136" s="253">
        <f t="shared" si="114"/>
        <v>312.62000388871843</v>
      </c>
      <c r="DA136" s="253">
        <f t="shared" si="114"/>
        <v>312.62000388871843</v>
      </c>
      <c r="DB136" s="253">
        <f t="shared" si="114"/>
        <v>312.62000388871843</v>
      </c>
      <c r="DC136" s="253">
        <f t="shared" si="114"/>
        <v>326.80054062335296</v>
      </c>
      <c r="DD136" s="253">
        <f t="shared" si="114"/>
        <v>326.80054062335296</v>
      </c>
      <c r="DE136" s="253">
        <f t="shared" si="114"/>
        <v>326.80054062335296</v>
      </c>
      <c r="DF136" s="253">
        <f t="shared" si="114"/>
        <v>336.8512579280403</v>
      </c>
      <c r="DG136" s="253">
        <f t="shared" si="114"/>
        <v>367.00340984210311</v>
      </c>
      <c r="DH136" s="253">
        <f t="shared" si="114"/>
        <v>367.00340984210311</v>
      </c>
      <c r="DI136" s="253">
        <f t="shared" si="114"/>
        <v>360.0161889441581</v>
      </c>
      <c r="DJ136" s="253">
        <f t="shared" si="114"/>
        <v>360.0161889441581</v>
      </c>
      <c r="DK136" s="253">
        <f t="shared" si="114"/>
        <v>360.0161889441581</v>
      </c>
      <c r="DL136" s="253">
        <f t="shared" si="114"/>
        <v>375.84606869904093</v>
      </c>
      <c r="DM136" s="253">
        <f t="shared" si="114"/>
        <v>375.84606869904093</v>
      </c>
      <c r="DN136" s="253">
        <f t="shared" si="114"/>
        <v>375.84606869904093</v>
      </c>
      <c r="DO136" s="253">
        <f t="shared" si="114"/>
        <v>390.75354305485507</v>
      </c>
      <c r="DP136" s="253">
        <f t="shared" si="114"/>
        <v>390.75354305485507</v>
      </c>
      <c r="DQ136" s="253">
        <f t="shared" si="114"/>
        <v>390.75354305485507</v>
      </c>
      <c r="DR136" s="253">
        <f t="shared" si="114"/>
        <v>401.30679622477692</v>
      </c>
      <c r="DS136" s="253">
        <f t="shared" si="114"/>
        <v>432.96655573454245</v>
      </c>
      <c r="DT136" s="253">
        <f t="shared" si="114"/>
        <v>432.96655573454245</v>
      </c>
      <c r="DU136" s="253">
        <f>DU107+DU123</f>
        <v>357017.00187845289</v>
      </c>
      <c r="DV136" s="210"/>
    </row>
    <row r="137" spans="1:126" s="36" customFormat="1" x14ac:dyDescent="0.2">
      <c r="A137" s="2"/>
      <c r="B137" s="249" t="s">
        <v>172</v>
      </c>
      <c r="C137" s="245"/>
      <c r="D137" s="210"/>
      <c r="E137" s="253">
        <f>SUM(E135:E136)</f>
        <v>-101550.70572299999</v>
      </c>
      <c r="F137" s="253">
        <f t="shared" ref="F137:BQ137" si="115">SUM(F135:F136)</f>
        <v>0</v>
      </c>
      <c r="G137" s="253">
        <f t="shared" si="115"/>
        <v>0</v>
      </c>
      <c r="H137" s="253">
        <f t="shared" si="115"/>
        <v>0</v>
      </c>
      <c r="I137" s="253">
        <f t="shared" si="115"/>
        <v>0</v>
      </c>
      <c r="J137" s="253">
        <f t="shared" si="115"/>
        <v>0</v>
      </c>
      <c r="K137" s="253">
        <f t="shared" si="115"/>
        <v>0</v>
      </c>
      <c r="L137" s="253">
        <f t="shared" si="115"/>
        <v>0</v>
      </c>
      <c r="M137" s="253">
        <f t="shared" si="115"/>
        <v>0</v>
      </c>
      <c r="N137" s="253">
        <f t="shared" si="115"/>
        <v>0</v>
      </c>
      <c r="O137" s="253">
        <f t="shared" si="115"/>
        <v>0</v>
      </c>
      <c r="P137" s="253">
        <f t="shared" si="115"/>
        <v>0</v>
      </c>
      <c r="Q137" s="253">
        <f t="shared" si="115"/>
        <v>0</v>
      </c>
      <c r="R137" s="253">
        <f t="shared" si="115"/>
        <v>0</v>
      </c>
      <c r="S137" s="253">
        <f t="shared" si="115"/>
        <v>0</v>
      </c>
      <c r="T137" s="253">
        <f t="shared" si="115"/>
        <v>0</v>
      </c>
      <c r="U137" s="253">
        <f t="shared" si="115"/>
        <v>0</v>
      </c>
      <c r="V137" s="253">
        <f t="shared" si="115"/>
        <v>0</v>
      </c>
      <c r="W137" s="253">
        <f t="shared" si="115"/>
        <v>0</v>
      </c>
      <c r="X137" s="253">
        <f t="shared" si="115"/>
        <v>685.625</v>
      </c>
      <c r="Y137" s="253">
        <f t="shared" si="115"/>
        <v>685.625</v>
      </c>
      <c r="Z137" s="253">
        <f t="shared" si="115"/>
        <v>48999.406239953474</v>
      </c>
      <c r="AA137" s="253">
        <f t="shared" si="115"/>
        <v>0</v>
      </c>
      <c r="AB137" s="253">
        <f t="shared" si="115"/>
        <v>0</v>
      </c>
      <c r="AC137" s="253">
        <f t="shared" si="115"/>
        <v>0</v>
      </c>
      <c r="AD137" s="253">
        <f t="shared" si="115"/>
        <v>0</v>
      </c>
      <c r="AE137" s="253">
        <f t="shared" si="115"/>
        <v>0</v>
      </c>
      <c r="AF137" s="253">
        <f t="shared" si="115"/>
        <v>0</v>
      </c>
      <c r="AG137" s="253">
        <f t="shared" si="115"/>
        <v>0</v>
      </c>
      <c r="AH137" s="253">
        <f t="shared" si="115"/>
        <v>0</v>
      </c>
      <c r="AI137" s="253">
        <f t="shared" si="115"/>
        <v>4.8959259534967714</v>
      </c>
      <c r="AJ137" s="253">
        <f t="shared" si="115"/>
        <v>4.8959259534967714</v>
      </c>
      <c r="AK137" s="253">
        <f t="shared" si="115"/>
        <v>4.8959259534967714</v>
      </c>
      <c r="AL137" s="253">
        <f t="shared" si="115"/>
        <v>12.395925953496771</v>
      </c>
      <c r="AM137" s="253">
        <f t="shared" si="115"/>
        <v>34.895925953496771</v>
      </c>
      <c r="AN137" s="253">
        <f t="shared" si="115"/>
        <v>34.895925953496771</v>
      </c>
      <c r="AO137" s="253">
        <f t="shared" si="115"/>
        <v>29.044238453496845</v>
      </c>
      <c r="AP137" s="253">
        <f t="shared" si="115"/>
        <v>29.044238453496845</v>
      </c>
      <c r="AQ137" s="253">
        <f t="shared" si="115"/>
        <v>29.044238453496845</v>
      </c>
      <c r="AR137" s="253">
        <f t="shared" si="115"/>
        <v>40.856738453496838</v>
      </c>
      <c r="AS137" s="253">
        <f t="shared" si="115"/>
        <v>40.856738453496838</v>
      </c>
      <c r="AT137" s="253">
        <f t="shared" si="115"/>
        <v>40.856738453496838</v>
      </c>
      <c r="AU137" s="253">
        <f t="shared" si="115"/>
        <v>51.896738453496802</v>
      </c>
      <c r="AV137" s="253">
        <f t="shared" si="115"/>
        <v>51.896738453496802</v>
      </c>
      <c r="AW137" s="253">
        <f t="shared" si="115"/>
        <v>51.896738453496802</v>
      </c>
      <c r="AX137" s="253">
        <f t="shared" si="115"/>
        <v>59.771738453496802</v>
      </c>
      <c r="AY137" s="253">
        <f t="shared" si="115"/>
        <v>83.396738453496809</v>
      </c>
      <c r="AZ137" s="253">
        <f t="shared" si="115"/>
        <v>83.396738453496809</v>
      </c>
      <c r="BA137" s="253">
        <f t="shared" si="115"/>
        <v>77.369500328496727</v>
      </c>
      <c r="BB137" s="253">
        <f t="shared" si="115"/>
        <v>77.369500328496727</v>
      </c>
      <c r="BC137" s="253">
        <f t="shared" si="115"/>
        <v>77.369500328496727</v>
      </c>
      <c r="BD137" s="253">
        <f t="shared" si="115"/>
        <v>89.77262532849673</v>
      </c>
      <c r="BE137" s="253">
        <f t="shared" si="115"/>
        <v>89.77262532849673</v>
      </c>
      <c r="BF137" s="253">
        <f t="shared" si="115"/>
        <v>89.77262532849673</v>
      </c>
      <c r="BG137" s="253">
        <f t="shared" si="115"/>
        <v>101.38007532849679</v>
      </c>
      <c r="BH137" s="253">
        <f t="shared" si="115"/>
        <v>101.38007532849679</v>
      </c>
      <c r="BI137" s="253">
        <f t="shared" si="115"/>
        <v>101.38007532849679</v>
      </c>
      <c r="BJ137" s="253">
        <f t="shared" si="115"/>
        <v>109.6488253284968</v>
      </c>
      <c r="BK137" s="253">
        <f t="shared" si="115"/>
        <v>134.455075328497</v>
      </c>
      <c r="BL137" s="253">
        <f t="shared" si="115"/>
        <v>134.455075328497</v>
      </c>
      <c r="BM137" s="253">
        <f t="shared" si="115"/>
        <v>128.24702005974686</v>
      </c>
      <c r="BN137" s="253">
        <f t="shared" si="115"/>
        <v>128.24702005974686</v>
      </c>
      <c r="BO137" s="253">
        <f t="shared" si="115"/>
        <v>128.24702005974686</v>
      </c>
      <c r="BP137" s="253">
        <f t="shared" si="115"/>
        <v>141.27030130974671</v>
      </c>
      <c r="BQ137" s="253">
        <f t="shared" si="115"/>
        <v>141.27030130974671</v>
      </c>
      <c r="BR137" s="253">
        <f t="shared" ref="BR137:DU137" si="116">SUM(BR135:BR136)</f>
        <v>141.27030130974671</v>
      </c>
      <c r="BS137" s="253">
        <f t="shared" si="116"/>
        <v>153.47403730974693</v>
      </c>
      <c r="BT137" s="253">
        <f t="shared" si="116"/>
        <v>153.47403730974693</v>
      </c>
      <c r="BU137" s="253">
        <f t="shared" si="116"/>
        <v>153.47403730974693</v>
      </c>
      <c r="BV137" s="253">
        <f t="shared" si="116"/>
        <v>162.15622480974707</v>
      </c>
      <c r="BW137" s="253">
        <f t="shared" si="116"/>
        <v>188.20278730974698</v>
      </c>
      <c r="BX137" s="253">
        <f t="shared" si="116"/>
        <v>188.20278730974698</v>
      </c>
      <c r="BY137" s="253">
        <f t="shared" si="116"/>
        <v>181.80849038293437</v>
      </c>
      <c r="BZ137" s="253">
        <f t="shared" si="116"/>
        <v>181.80849038293437</v>
      </c>
      <c r="CA137" s="253">
        <f t="shared" si="116"/>
        <v>181.80849038293437</v>
      </c>
      <c r="CB137" s="253">
        <f t="shared" si="116"/>
        <v>195.48293569543441</v>
      </c>
      <c r="CC137" s="253">
        <f t="shared" si="116"/>
        <v>195.48293569543441</v>
      </c>
      <c r="CD137" s="253">
        <f t="shared" si="116"/>
        <v>195.48293569543441</v>
      </c>
      <c r="CE137" s="253">
        <f t="shared" si="116"/>
        <v>208.31324940043453</v>
      </c>
      <c r="CF137" s="253">
        <f t="shared" si="116"/>
        <v>208.31324940043453</v>
      </c>
      <c r="CG137" s="253">
        <f t="shared" si="116"/>
        <v>208.31324940043453</v>
      </c>
      <c r="CH137" s="253">
        <f t="shared" si="116"/>
        <v>217.4295462754344</v>
      </c>
      <c r="CI137" s="253">
        <f t="shared" si="116"/>
        <v>244.77843690043449</v>
      </c>
      <c r="CJ137" s="253">
        <f t="shared" si="116"/>
        <v>244.77843690043449</v>
      </c>
      <c r="CK137" s="253">
        <f t="shared" si="116"/>
        <v>238.19231106581756</v>
      </c>
      <c r="CL137" s="253">
        <f t="shared" si="116"/>
        <v>238.19231106581756</v>
      </c>
      <c r="CM137" s="253">
        <f t="shared" si="116"/>
        <v>238.19231106581756</v>
      </c>
      <c r="CN137" s="253">
        <f t="shared" si="116"/>
        <v>252.55047864394257</v>
      </c>
      <c r="CO137" s="253">
        <f t="shared" si="116"/>
        <v>252.55047864394257</v>
      </c>
      <c r="CP137" s="253">
        <f t="shared" si="116"/>
        <v>252.55047864394257</v>
      </c>
      <c r="CQ137" s="253">
        <f t="shared" si="116"/>
        <v>266.03919066634262</v>
      </c>
      <c r="CR137" s="253">
        <f t="shared" si="116"/>
        <v>266.03919066634262</v>
      </c>
      <c r="CS137" s="253">
        <f t="shared" si="116"/>
        <v>266.03919066634262</v>
      </c>
      <c r="CT137" s="253">
        <f t="shared" si="116"/>
        <v>275.61130238509253</v>
      </c>
      <c r="CU137" s="253">
        <f t="shared" si="116"/>
        <v>304.32763754134248</v>
      </c>
      <c r="CV137" s="253">
        <f t="shared" si="116"/>
        <v>304.32763754134248</v>
      </c>
      <c r="CW137" s="253">
        <f t="shared" si="116"/>
        <v>297.54392793168716</v>
      </c>
      <c r="CX137" s="253">
        <f t="shared" si="116"/>
        <v>297.54392793168716</v>
      </c>
      <c r="CY137" s="253">
        <f t="shared" si="116"/>
        <v>297.54392793168716</v>
      </c>
      <c r="CZ137" s="253">
        <f t="shared" si="116"/>
        <v>312.62000388871843</v>
      </c>
      <c r="DA137" s="253">
        <f t="shared" si="116"/>
        <v>312.62000388871843</v>
      </c>
      <c r="DB137" s="253">
        <f t="shared" si="116"/>
        <v>312.62000388871843</v>
      </c>
      <c r="DC137" s="253">
        <f t="shared" si="116"/>
        <v>326.80054062335296</v>
      </c>
      <c r="DD137" s="253">
        <f t="shared" si="116"/>
        <v>326.80054062335296</v>
      </c>
      <c r="DE137" s="253">
        <f t="shared" si="116"/>
        <v>326.80054062335296</v>
      </c>
      <c r="DF137" s="253">
        <f t="shared" si="116"/>
        <v>336.8512579280403</v>
      </c>
      <c r="DG137" s="253">
        <f t="shared" si="116"/>
        <v>367.00340984210311</v>
      </c>
      <c r="DH137" s="253">
        <f t="shared" si="116"/>
        <v>367.00340984210311</v>
      </c>
      <c r="DI137" s="253">
        <f t="shared" si="116"/>
        <v>360.0161889441581</v>
      </c>
      <c r="DJ137" s="253">
        <f t="shared" si="116"/>
        <v>360.0161889441581</v>
      </c>
      <c r="DK137" s="253">
        <f t="shared" si="116"/>
        <v>360.0161889441581</v>
      </c>
      <c r="DL137" s="253">
        <f t="shared" si="116"/>
        <v>375.84606869904093</v>
      </c>
      <c r="DM137" s="253">
        <f t="shared" si="116"/>
        <v>375.84606869904093</v>
      </c>
      <c r="DN137" s="253">
        <f t="shared" si="116"/>
        <v>375.84606869904093</v>
      </c>
      <c r="DO137" s="253">
        <f t="shared" si="116"/>
        <v>390.75354305485507</v>
      </c>
      <c r="DP137" s="253">
        <f t="shared" si="116"/>
        <v>390.75354305485507</v>
      </c>
      <c r="DQ137" s="253">
        <f t="shared" si="116"/>
        <v>390.75354305485507</v>
      </c>
      <c r="DR137" s="253">
        <f t="shared" si="116"/>
        <v>401.30679622477692</v>
      </c>
      <c r="DS137" s="253">
        <f t="shared" si="116"/>
        <v>432.96655573454245</v>
      </c>
      <c r="DT137" s="253">
        <f t="shared" si="116"/>
        <v>432.96655573454245</v>
      </c>
      <c r="DU137" s="253">
        <f t="shared" si="116"/>
        <v>357017.00187845289</v>
      </c>
      <c r="DV137" s="210"/>
    </row>
    <row r="138" spans="1:126" s="36" customFormat="1" x14ac:dyDescent="0.2">
      <c r="A138" s="2"/>
      <c r="B138" s="203" t="s">
        <v>70</v>
      </c>
      <c r="C138" s="246">
        <f>XIRR(E137:DU137,E3:DU3)</f>
        <v>0.19814203381538392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</row>
    <row r="139" spans="1:126" s="36" customFormat="1" x14ac:dyDescent="0.2">
      <c r="A139" s="2"/>
      <c r="B139" s="204" t="s">
        <v>173</v>
      </c>
      <c r="C139" s="247">
        <f>SUM(E137:DU137)/D94</f>
        <v>3.1872225528366025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</row>
    <row r="140" spans="1:126" s="36" customFormat="1" x14ac:dyDescent="0.2">
      <c r="A140" s="2"/>
      <c r="B140" s="248"/>
      <c r="C140" s="24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</row>
    <row r="141" spans="1:126" s="36" customFormat="1" x14ac:dyDescent="0.2">
      <c r="A141" s="2"/>
      <c r="B141" s="194" t="s">
        <v>64</v>
      </c>
      <c r="C141" s="7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</row>
    <row r="142" spans="1:126" s="36" customFormat="1" x14ac:dyDescent="0.2">
      <c r="A142" s="2"/>
      <c r="B142" s="250" t="s">
        <v>62</v>
      </c>
      <c r="C142" s="251">
        <f>SUM($E$123:$DU$123)*(Summary!$M$62/Summary!$O$62)</f>
        <v>206484.08497774918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</row>
    <row r="143" spans="1:126" s="36" customFormat="1" x14ac:dyDescent="0.2">
      <c r="A143" s="2"/>
      <c r="B143" s="249" t="s">
        <v>174</v>
      </c>
      <c r="C143" s="252">
        <f>SUM(C142:C142)</f>
        <v>206484.08497774918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</row>
    <row r="144" spans="1:126" s="36" customForma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</row>
    <row r="145" spans="1:126" s="36" customForma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</row>
    <row r="146" spans="1:126" s="36" customForma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</row>
    <row r="147" spans="1:126" s="36" customForma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</row>
    <row r="148" spans="1:126" s="36" customForma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</row>
    <row r="149" spans="1:126" s="36" customForma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</row>
    <row r="150" spans="1:126" s="36" customForma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</row>
    <row r="151" spans="1:126" s="36" customForma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</row>
    <row r="152" spans="1:126" s="36" customForma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</row>
    <row r="153" spans="1:126" s="36" customForma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</row>
    <row r="154" spans="1:126" s="36" customForma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</row>
    <row r="155" spans="1:126" s="36" customForma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</row>
    <row r="156" spans="1:126" s="36" customForma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</row>
    <row r="157" spans="1:126" s="36" customForma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</row>
    <row r="158" spans="1:126" s="36" customForma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</row>
    <row r="159" spans="1:126" s="36" customForma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</row>
    <row r="160" spans="1:126" s="36" customForma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</row>
    <row r="161" spans="1:126" s="36" customForma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</row>
    <row r="162" spans="1:126" s="36" customForma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</row>
    <row r="163" spans="1:126" s="36" customForma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</row>
    <row r="164" spans="1:126" s="36" customForma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</row>
    <row r="165" spans="1:126" s="36" customForma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</row>
    <row r="166" spans="1:126" s="36" customForma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</row>
    <row r="167" spans="1:126" s="36" customForma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</row>
    <row r="168" spans="1:126" s="36" customForma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</row>
    <row r="169" spans="1:126" s="36" customForma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</row>
    <row r="170" spans="1:126" s="36" customForma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</row>
    <row r="171" spans="1:126" s="36" customForma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</row>
    <row r="172" spans="1:126" s="36" customForma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</row>
    <row r="173" spans="1:126" s="36" customForma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</row>
    <row r="174" spans="1:126" s="36" customForma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</row>
    <row r="175" spans="1:126" s="36" customForma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</row>
    <row r="176" spans="1:126" s="36" customForma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</row>
    <row r="177" spans="1:126" s="36" customForma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</row>
    <row r="178" spans="1:126" s="36" customForma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</row>
    <row r="179" spans="1:126" s="36" customForma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</row>
    <row r="180" spans="1:126" s="36" customForma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</row>
    <row r="181" spans="1:126" s="36" customForma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</row>
    <row r="182" spans="1:126" s="36" customForma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</row>
    <row r="183" spans="1:126" s="36" customForma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</row>
    <row r="184" spans="1:126" s="36" customForma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</row>
    <row r="185" spans="1:126" s="36" customForma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</row>
    <row r="186" spans="1:126" s="36" customForma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</row>
    <row r="187" spans="1:126" s="36" customForma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</row>
    <row r="188" spans="1:126" s="36" customForma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</row>
    <row r="189" spans="1:126" s="36" customForma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</row>
    <row r="190" spans="1:126" s="36" customForma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</row>
    <row r="191" spans="1:126" s="36" customForma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</row>
    <row r="192" spans="1:126" s="36" customForma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</row>
    <row r="193" spans="1:126" s="36" customForma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</row>
    <row r="194" spans="1:126" s="36" customForma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</row>
    <row r="195" spans="1:126" s="36" customForma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</row>
    <row r="196" spans="1:126" s="36" customForma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</row>
    <row r="197" spans="1:126" s="36" customForma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</row>
    <row r="198" spans="1:126" s="36" customForma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</row>
    <row r="199" spans="1:126" s="36" customForma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</row>
    <row r="200" spans="1:126" s="36" customForma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</row>
    <row r="201" spans="1:126" s="36" customForma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</row>
    <row r="202" spans="1:126" s="36" customForma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</row>
    <row r="203" spans="1:126" s="36" customForma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</row>
    <row r="204" spans="1:126" s="36" customForma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</row>
    <row r="205" spans="1:126" s="36" customForma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</row>
    <row r="206" spans="1:126" s="36" customForma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</row>
    <row r="207" spans="1:126" s="36" customForma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</row>
    <row r="208" spans="1:126" s="36" customForma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</row>
    <row r="209" spans="1:126" s="36" customForma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</row>
    <row r="210" spans="1:126" s="36" customForma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</row>
    <row r="211" spans="1:126" s="36" customForma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</row>
    <row r="212" spans="1:126" s="36" customForma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</row>
    <row r="213" spans="1:126" s="36" customForma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</row>
    <row r="214" spans="1:126" s="36" customForma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</row>
    <row r="215" spans="1:126" s="36" customForma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</row>
    <row r="216" spans="1:126" s="36" customForma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</row>
    <row r="217" spans="1:126" s="36" customForma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</row>
    <row r="218" spans="1:126" s="36" customForma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</row>
    <row r="219" spans="1:126" s="36" customForma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</row>
    <row r="220" spans="1:126" s="36" customForma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</row>
    <row r="221" spans="1:126" s="36" customForma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</row>
    <row r="222" spans="1:126" s="36" customForma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</row>
    <row r="223" spans="1:126" s="36" customForma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</row>
    <row r="224" spans="1:126" s="36" customForma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</row>
    <row r="225" spans="1:126" s="36" customForma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</row>
    <row r="226" spans="1:126" s="36" customForma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</row>
    <row r="227" spans="1:126" s="36" customForma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</row>
    <row r="228" spans="1:126" s="36" customForma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</row>
    <row r="229" spans="1:126" s="36" customForma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</row>
    <row r="230" spans="1:126" s="36" customForma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</row>
    <row r="231" spans="1:126" s="36" customForma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</row>
    <row r="232" spans="1:126" s="36" customForma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</row>
    <row r="233" spans="1:126" s="36" customForma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</row>
    <row r="234" spans="1:126" s="36" customForma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</row>
    <row r="235" spans="1:126" s="36" customForma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</row>
    <row r="236" spans="1:126" s="36" customForma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</row>
    <row r="237" spans="1:126" s="36" customForma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</row>
    <row r="238" spans="1:126" s="36" customForma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</row>
    <row r="239" spans="1:126" s="36" customForma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</row>
    <row r="240" spans="1:126" s="36" customForma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</row>
    <row r="241" spans="1:126" s="36" customForma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</row>
    <row r="242" spans="1:126" s="36" customForma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</row>
    <row r="243" spans="1:126" s="36" customForma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</row>
    <row r="244" spans="1:126" s="36" customForma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</row>
    <row r="245" spans="1:126" s="36" customForma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</row>
    <row r="246" spans="1:126" s="36" customForma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</row>
    <row r="247" spans="1:126" s="36" customForma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</row>
    <row r="248" spans="1:126" s="36" customForma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</row>
    <row r="249" spans="1:126" s="36" customForma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</row>
    <row r="250" spans="1:126" s="36" customForma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</row>
    <row r="251" spans="1:126" s="36" customForma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</row>
    <row r="252" spans="1:126" s="36" customForma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</row>
    <row r="253" spans="1:126" s="36" customForma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</row>
    <row r="254" spans="1:126" s="36" customForma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</row>
    <row r="255" spans="1:126" s="36" customForma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</row>
    <row r="256" spans="1:126" s="36" customForma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</row>
    <row r="257" spans="1:126" s="36" customForma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</row>
    <row r="258" spans="1:126" s="36" customForma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</row>
    <row r="259" spans="1:126" s="36" customForma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</row>
    <row r="260" spans="1:126" s="36" customForma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</row>
    <row r="261" spans="1:126" s="36" customForma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</row>
    <row r="262" spans="1:126" s="36" customForma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</row>
    <row r="263" spans="1:126" s="36" customForma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</row>
    <row r="264" spans="1:126" s="36" customForma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</row>
    <row r="265" spans="1:126" s="36" customForma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</row>
    <row r="266" spans="1:126" s="36" customForma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</row>
    <row r="267" spans="1:126" s="36" customForma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</row>
    <row r="268" spans="1:126" s="36" customForma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</row>
    <row r="269" spans="1:126" s="36" customForma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</row>
    <row r="270" spans="1:126" s="36" customForma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</row>
    <row r="271" spans="1:126" s="36" customForma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</row>
    <row r="272" spans="1:126" s="36" customForma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</row>
    <row r="273" spans="1:126" s="36" customForma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</row>
    <row r="274" spans="1:126" s="36" customForma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</row>
    <row r="275" spans="1:126" s="36" customForma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</row>
    <row r="276" spans="1:126" s="36" customForma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</row>
    <row r="277" spans="1:126" s="36" customForma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</row>
    <row r="278" spans="1:126" s="36" customForma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</row>
    <row r="279" spans="1:126" s="36" customForma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</row>
    <row r="280" spans="1:126" s="36" customForma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</row>
    <row r="281" spans="1:126" s="36" customForma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</row>
    <row r="282" spans="1:126" s="36" customForma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</row>
    <row r="283" spans="1:126" s="36" customForma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</row>
    <row r="284" spans="1:126" s="36" customForma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</row>
    <row r="285" spans="1:126" s="36" customForma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</row>
    <row r="286" spans="1:126" s="36" customForma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</row>
    <row r="287" spans="1:126" s="36" customForma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</row>
    <row r="288" spans="1:126" s="36" customForma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</row>
    <row r="289" spans="1:126" s="36" customForma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</row>
    <row r="290" spans="1:126" s="36" customForma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</row>
    <row r="291" spans="1:126" s="36" customForma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</row>
    <row r="292" spans="1:126" s="36" customForma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</row>
    <row r="293" spans="1:126" s="36" customForma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</row>
    <row r="294" spans="1:126" s="36" customForma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</row>
    <row r="295" spans="1:126" s="36" customForma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</row>
    <row r="296" spans="1:126" s="36" customForma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</row>
    <row r="297" spans="1:126" s="36" customForma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</row>
    <row r="298" spans="1:126" s="36" customForma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</row>
    <row r="299" spans="1:126" s="36" customForma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</row>
    <row r="300" spans="1:126" s="36" customForma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</row>
    <row r="301" spans="1:126" s="36" customForma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</row>
    <row r="302" spans="1:126" s="36" customForma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</row>
    <row r="303" spans="1:126" s="36" customForma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</row>
    <row r="304" spans="1:126" s="36" customForma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</row>
    <row r="305" spans="1:126" s="36" customForma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</row>
    <row r="306" spans="1:126" s="36" customForma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</row>
    <row r="307" spans="1:126" s="36" customForma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</row>
    <row r="308" spans="1:126" s="36" customForma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</row>
    <row r="309" spans="1:126" s="36" customForma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</row>
    <row r="310" spans="1:126" s="36" customForma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</row>
    <row r="311" spans="1:126" s="36" customForma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</row>
    <row r="312" spans="1:126" s="36" customForma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</row>
    <row r="313" spans="1:126" s="36" customForma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</row>
    <row r="314" spans="1:126" s="36" customForma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</row>
    <row r="315" spans="1:126" s="36" customForma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</row>
    <row r="316" spans="1:126" s="36" customForma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</row>
    <row r="317" spans="1:126" s="36" customForma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</row>
    <row r="318" spans="1:126" s="36" customForma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</row>
    <row r="319" spans="1:126" s="36" customForma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</row>
    <row r="320" spans="1:126" s="36" customForma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</row>
    <row r="321" spans="1:126" s="36" customForma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</row>
    <row r="322" spans="1:126" s="36" customForma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</row>
    <row r="323" spans="1:126" s="36" customForma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</row>
  </sheetData>
  <pageMargins left="0.7" right="0.7" top="0.75" bottom="0.75" header="0.3" footer="0.3"/>
  <pageSetup scale="10" orientation="portrait" r:id="rId1"/>
  <colBreaks count="2" manualBreakCount="2">
    <brk id="4" max="143" man="1"/>
    <brk id="46" max="1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Cash Flow Statement</vt:lpstr>
      <vt:lpstr>'Cash Flow Statement'!Print_Area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Mehta</dc:creator>
  <cp:lastModifiedBy>Krish Mehta</cp:lastModifiedBy>
  <cp:lastPrinted>2022-02-28T02:14:05Z</cp:lastPrinted>
  <dcterms:created xsi:type="dcterms:W3CDTF">2020-04-27T23:07:32Z</dcterms:created>
  <dcterms:modified xsi:type="dcterms:W3CDTF">2022-04-01T09:07:23Z</dcterms:modified>
</cp:coreProperties>
</file>