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e\Documents\GitHub\GW2Tradz\GW2Tradz\GW2Tradz\"/>
    </mc:Choice>
  </mc:AlternateContent>
  <xr:revisionPtr revIDLastSave="0" documentId="13_ncr:1_{32A76A25-F462-4223-A990-7E45883BA0F9}" xr6:coauthVersionLast="44" xr6:coauthVersionMax="44" xr10:uidLastSave="{00000000-0000-0000-0000-000000000000}"/>
  <bookViews>
    <workbookView xWindow="-120" yWindow="-120" windowWidth="38640" windowHeight="21240" firstSheet="3" activeTab="8" xr2:uid="{00000000-000D-0000-FFFF-FFFF00000000}"/>
  </bookViews>
  <sheets>
    <sheet name="Valuable Metal Scrap (Copperfed" sheetId="1" r:id="rId1"/>
    <sheet name="Salvageable Intact Forged Scrap" sheetId="2" r:id="rId2"/>
    <sheet name="Lump of Raw Ambrite (Copperfed)" sheetId="3" r:id="rId3"/>
    <sheet name="Glob of Ectoplasm (Silverfed)" sheetId="4" r:id="rId4"/>
    <sheet name="Reclaimed Wood Chunk (Copperfed" sheetId="5" r:id="rId5"/>
    <sheet name="Discarded Garments (Copperfed)" sheetId="6" r:id="rId6"/>
    <sheet name="Bloodstone-Warped Hides (Silver" sheetId="7" r:id="rId7"/>
    <sheet name="Unstable Metal Chunks (Copperfe" sheetId="10" r:id="rId8"/>
    <sheet name="Sheet6" sheetId="11" r:id="rId9"/>
    <sheet name="Hard Leather Straps (Silverfed)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1" l="1"/>
  <c r="E3" i="11"/>
  <c r="D3" i="11"/>
  <c r="C3" i="11"/>
  <c r="B3" i="11"/>
  <c r="A3" i="11"/>
  <c r="A4" i="11" s="1"/>
  <c r="A3" i="10"/>
  <c r="F3" i="10"/>
  <c r="E3" i="10"/>
  <c r="D3" i="10"/>
  <c r="C3" i="10"/>
  <c r="B3" i="10"/>
  <c r="A4" i="5"/>
  <c r="B4" i="5"/>
  <c r="C4" i="5"/>
  <c r="D4" i="5"/>
  <c r="E4" i="5"/>
  <c r="F4" i="5"/>
  <c r="G4" i="5"/>
  <c r="C3" i="9"/>
  <c r="B3" i="9"/>
  <c r="A3" i="9"/>
  <c r="C4" i="9" s="1"/>
  <c r="G3" i="7"/>
  <c r="F3" i="7"/>
  <c r="E3" i="7"/>
  <c r="D3" i="7"/>
  <c r="C3" i="7"/>
  <c r="B3" i="7"/>
  <c r="A3" i="7"/>
  <c r="C3" i="6"/>
  <c r="B3" i="6"/>
  <c r="A3" i="6"/>
  <c r="B4" i="6" s="1"/>
  <c r="B4" i="11" l="1"/>
  <c r="C4" i="11"/>
  <c r="D4" i="11"/>
  <c r="E4" i="11"/>
  <c r="F4" i="11"/>
  <c r="D4" i="10"/>
  <c r="C4" i="10"/>
  <c r="F4" i="10"/>
  <c r="E4" i="10"/>
  <c r="A4" i="10"/>
  <c r="B4" i="10"/>
  <c r="B4" i="9"/>
  <c r="A4" i="9"/>
  <c r="B4" i="7"/>
  <c r="C4" i="7"/>
  <c r="D4" i="7"/>
  <c r="E4" i="7"/>
  <c r="F4" i="7"/>
  <c r="G4" i="7"/>
  <c r="A4" i="7"/>
  <c r="C4" i="6"/>
  <c r="A4" i="6"/>
  <c r="G5" i="5"/>
  <c r="F5" i="5"/>
  <c r="D5" i="5"/>
  <c r="E5" i="5"/>
  <c r="C5" i="5"/>
  <c r="B5" i="5"/>
  <c r="A5" i="5"/>
  <c r="B3" i="4"/>
  <c r="B4" i="4" s="1"/>
  <c r="A3" i="4"/>
  <c r="A4" i="4" s="1"/>
  <c r="B3" i="3"/>
  <c r="A3" i="3"/>
  <c r="A4" i="3" s="1"/>
  <c r="A7" i="1"/>
  <c r="A8" i="1" s="1"/>
  <c r="B7" i="1"/>
  <c r="C7" i="1"/>
  <c r="D5" i="2"/>
  <c r="C5" i="2"/>
  <c r="B5" i="2"/>
  <c r="A5" i="2"/>
  <c r="A6" i="2" s="1"/>
  <c r="C8" i="1" l="1"/>
  <c r="B8" i="1"/>
  <c r="D6" i="2"/>
  <c r="B4" i="3"/>
  <c r="B6" i="2"/>
  <c r="C6" i="2"/>
</calcChain>
</file>

<file path=xl/sharedStrings.xml><?xml version="1.0" encoding="utf-8"?>
<sst xmlns="http://schemas.openxmlformats.org/spreadsheetml/2006/main" count="43" uniqueCount="34">
  <si>
    <t>Orichalcum Ore</t>
  </si>
  <si>
    <t>Valuable Metal Scrap (Copperfed)</t>
  </si>
  <si>
    <t>Mithril Ore</t>
  </si>
  <si>
    <t>Slivers of Twisting Forgemetal</t>
  </si>
  <si>
    <t>Salvageable Intact Forged Scrap (Copperfed)</t>
  </si>
  <si>
    <t>Pieces of Ambrite</t>
  </si>
  <si>
    <t>Lump of Raw Ambrite (Copperfed)</t>
  </si>
  <si>
    <t>Glob of Ectoplasm (Silverfed)</t>
  </si>
  <si>
    <t>Pile of Crystalline Dust</t>
  </si>
  <si>
    <t>Reclaimed Wood Chunk (Copperfed)</t>
  </si>
  <si>
    <t>Green Wood Log</t>
  </si>
  <si>
    <t>Soft Wood Logs</t>
  </si>
  <si>
    <t>Hard Wood Logs</t>
  </si>
  <si>
    <t>Seasoned Wood Logs</t>
  </si>
  <si>
    <t xml:space="preserve">Elder Wood Logs </t>
  </si>
  <si>
    <t>Ancient Wood Logs</t>
  </si>
  <si>
    <t>Discarded Garments (Copperfed)</t>
  </si>
  <si>
    <t>Silk Scraps</t>
  </si>
  <si>
    <t>Gossamer Scraps</t>
  </si>
  <si>
    <t>Bloodstone-Warped Hides (Silverfed)</t>
  </si>
  <si>
    <t>Thick Leather Sections</t>
  </si>
  <si>
    <t>Hardened Leather Sections</t>
  </si>
  <si>
    <t>Rawhide Leather Sections</t>
  </si>
  <si>
    <t>Thin Leather Sections</t>
  </si>
  <si>
    <t>Rugged Leather Sections</t>
  </si>
  <si>
    <t>Hard Leather Straps (Silverfed)</t>
  </si>
  <si>
    <t>Unstable Metal Chunks (Copperfed)</t>
  </si>
  <si>
    <t>Copper Ore</t>
  </si>
  <si>
    <t>Iron Ore</t>
  </si>
  <si>
    <t>Platinum Ore</t>
  </si>
  <si>
    <t>Salvageable Fused Metal Scraps (Copperfed)</t>
  </si>
  <si>
    <t>Molten Core</t>
  </si>
  <si>
    <t>Molten Lodestone</t>
  </si>
  <si>
    <t>Glacial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</si>
</sst>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7" totalsRowCount="1">
  <autoFilter ref="A1:C6" xr:uid="{00000000-0009-0000-0100-000001000000}"/>
  <tableColumns count="3">
    <tableColumn id="1" xr3:uid="{00000000-0010-0000-0000-000001000000}" name="Valuable Metal Scrap (Copperfed)" totalsRowFunction="custom">
      <totalsRowFormula>SUBTOTAL(109,A2:A6)</totalsRowFormula>
    </tableColumn>
    <tableColumn id="2" xr3:uid="{00000000-0010-0000-0000-000002000000}" name="Mithril Ore" totalsRowFunction="custom">
      <totalsRowFormula>SUBTOTAL(109,B2:B6)</totalsRowFormula>
    </tableColumn>
    <tableColumn id="3" xr3:uid="{00000000-0010-0000-0000-000003000000}" name="Orichalcum Ore" totalsRowFunction="custom">
      <totalsRowFormula>SUBTOTAL(109,C2:C6)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6DD24B-6473-49CB-BC2B-2C5E70B741F9}" name="Table167849" displayName="Table167849" ref="A1:C3" totalsRowCount="1">
  <autoFilter ref="A1:C2" xr:uid="{435B9412-207A-46D7-85DB-63D3D0B190BE}"/>
  <tableColumns count="3">
    <tableColumn id="1" xr3:uid="{C5B20C03-6A20-46E2-9028-19F64A37B316}" name="Hard Leather Straps (Silverfed)" totalsRowFunction="custom">
      <totalsRowFormula>SUBTOTAL(109,A2:A2)</totalsRowFormula>
    </tableColumn>
    <tableColumn id="2" xr3:uid="{C9486A08-89B2-4526-8B62-626FA437DDFD}" name="Thick Leather Sections" totalsRowFunction="custom">
      <totalsRowFormula>SUBTOTAL(109,B2:B2)</totalsRowFormula>
    </tableColumn>
    <tableColumn id="4" xr3:uid="{A990BAC9-4FF6-4D60-8E56-7D2131F5A3D5}" name="Hardened Leather Sections" totalsRowFunction="custom">
      <totalsRowFormula>SUBTOTAL(109,C2:C2)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1:D5" totalsRowCount="1">
  <autoFilter ref="A1:D4" xr:uid="{00000000-0009-0000-0100-000004000000}"/>
  <tableColumns count="4">
    <tableColumn id="1" xr3:uid="{00000000-0010-0000-0100-000001000000}" name="Salvageable Intact Forged Scrap (Copperfed)" totalsRowFunction="custom">
      <totalsRowFormula>SUBTOTAL(109,A2:A4)</totalsRowFormula>
    </tableColumn>
    <tableColumn id="2" xr3:uid="{00000000-0010-0000-0100-000002000000}" name="Mithril Ore" totalsRowFunction="custom">
      <totalsRowFormula>SUBTOTAL(109,B2:B4)</totalsRowFormula>
    </tableColumn>
    <tableColumn id="3" xr3:uid="{00000000-0010-0000-0100-000003000000}" name="Orichalcum Ore" totalsRowFunction="custom">
      <totalsRowFormula>SUBTOTAL(109,C2:C4)</totalsRowFormula>
    </tableColumn>
    <tableColumn id="4" xr3:uid="{00000000-0010-0000-0100-000004000000}" name="Slivers of Twisting Forgemetal" totalsRowFunction="custom">
      <totalsRowFormula>SUBTOTAL(109,D2:D4)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A1:B3" totalsRowCount="1">
  <autoFilter ref="A1:B2" xr:uid="{00000000-0009-0000-0100-000005000000}"/>
  <tableColumns count="2">
    <tableColumn id="1" xr3:uid="{00000000-0010-0000-0200-000001000000}" name="Lump of Raw Ambrite (Copperfed)" totalsRowFunction="custom">
      <totalsRowFormula>SUBTOTAL(109,A2:A2)</totalsRowFormula>
    </tableColumn>
    <tableColumn id="2" xr3:uid="{00000000-0010-0000-0200-000002000000}" name="Pieces of Ambrite" totalsRowFunction="custom">
      <totalsRowFormula>SUBTOTAL(109,B2:B2)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167" displayName="Table167" ref="A1:B3" totalsRowCount="1">
  <autoFilter ref="A1:B2" xr:uid="{00000000-0009-0000-0100-000006000000}"/>
  <tableColumns count="2">
    <tableColumn id="1" xr3:uid="{00000000-0010-0000-0300-000001000000}" name="Glob of Ectoplasm (Silverfed)" totalsRowFunction="custom">
      <totalsRowFormula>SUBTOTAL(109,A2:A2)</totalsRowFormula>
    </tableColumn>
    <tableColumn id="2" xr3:uid="{00000000-0010-0000-0300-000002000000}" name="Pile of Crystalline Dust" totalsRowFunction="custom">
      <totalsRowFormula>SUBTOTAL(109,B2:B2)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678" displayName="Table1678" ref="A1:G4" totalsRowCount="1">
  <autoFilter ref="A1:G3" xr:uid="{00000000-0009-0000-0100-000007000000}"/>
  <tableColumns count="7">
    <tableColumn id="1" xr3:uid="{00000000-0010-0000-0400-000001000000}" name="Reclaimed Wood Chunk (Copperfed)" totalsRowFunction="custom">
      <totalsRowFormula>SUBTOTAL(109,A2:A3)</totalsRowFormula>
    </tableColumn>
    <tableColumn id="2" xr3:uid="{00000000-0010-0000-0400-000002000000}" name="Green Wood Log" totalsRowFunction="custom">
      <totalsRowFormula>SUBTOTAL(109,B2:B3)</totalsRowFormula>
    </tableColumn>
    <tableColumn id="4" xr3:uid="{00000000-0010-0000-0400-000004000000}" name="Soft Wood Logs" totalsRowFunction="custom">
      <totalsRowFormula>SUBTOTAL(109,C2:C3)</totalsRowFormula>
    </tableColumn>
    <tableColumn id="5" xr3:uid="{00000000-0010-0000-0400-000005000000}" name="Seasoned Wood Logs" totalsRowFunction="custom">
      <totalsRowFormula>SUBTOTAL(109,D2:D3)</totalsRowFormula>
    </tableColumn>
    <tableColumn id="6" xr3:uid="{00000000-0010-0000-0400-000006000000}" name="Hard Wood Logs" totalsRowFunction="custom">
      <totalsRowFormula>SUBTOTAL(109,E2:E3)</totalsRowFormula>
    </tableColumn>
    <tableColumn id="7" xr3:uid="{00000000-0010-0000-0400-000007000000}" name="Elder Wood Logs " totalsRowFunction="custom">
      <totalsRowFormula>SUBTOTAL(109,F2:F3)</totalsRowFormula>
    </tableColumn>
    <tableColumn id="8" xr3:uid="{00000000-0010-0000-0400-000008000000}" name="Ancient Wood Logs" totalsRowFunction="custom">
      <totalsRowFormula>SUBTOTAL(109,G2:G3)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207A3-E09A-411C-A707-91A061A3D0E8}" name="Table16783" displayName="Table16783" ref="A1:C3" totalsRowCount="1">
  <autoFilter ref="A1:C2" xr:uid="{956112EF-C722-411C-A2E0-E9E17536B520}"/>
  <tableColumns count="3">
    <tableColumn id="1" xr3:uid="{2CB7CD62-B8E9-4462-A279-BD99DE5BBDDB}" name="Discarded Garments (Copperfed)" totalsRowFunction="custom">
      <totalsRowFormula>SUBTOTAL(109,A2:A2)</totalsRowFormula>
    </tableColumn>
    <tableColumn id="2" xr3:uid="{F71A24D6-BD0D-48C6-9D23-4A6E0D89E0AA}" name="Silk Scraps" totalsRowFunction="custom">
      <totalsRowFormula>SUBTOTAL(109,B2:B2)</totalsRowFormula>
    </tableColumn>
    <tableColumn id="4" xr3:uid="{387C295B-A831-4516-B387-6B801B21C517}" name="Gossamer Scraps" totalsRowFunction="custom">
      <totalsRowFormula>SUBTOTAL(109,C2:C2)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83A40A-984F-4C8C-B5BD-CEDCA44A00C1}" name="Table16784" displayName="Table16784" ref="A1:G3" totalsRowCount="1">
  <autoFilter ref="A1:G2" xr:uid="{25A4AE94-A8F7-4B52-994F-DE080FA22BF0}"/>
  <tableColumns count="7">
    <tableColumn id="1" xr3:uid="{C9ADA6AC-04B8-418E-8FE6-FC3F390007F7}" name="Bloodstone-Warped Hides (Silverfed)" totalsRowFunction="custom">
      <totalsRowFormula>SUBTOTAL(109,A2:A2)</totalsRowFormula>
    </tableColumn>
    <tableColumn id="2" xr3:uid="{197B031B-E04A-4D3A-964A-24491C36C27D}" name="Rawhide Leather Sections" totalsRowFunction="custom">
      <totalsRowFormula>SUBTOTAL(109,B2:B2)</totalsRowFormula>
    </tableColumn>
    <tableColumn id="4" xr3:uid="{EB728ABA-20A8-45CC-B029-FADB42BA26B9}" name="Thin Leather Sections" totalsRowFunction="custom">
      <totalsRowFormula>SUBTOTAL(109,C2:C2)</totalsRowFormula>
    </tableColumn>
    <tableColumn id="5" xr3:uid="{602D6133-C0B4-4E0B-8CCC-39EA2C037EEB}" name="Rugged Leather Sections" totalsRowFunction="custom">
      <totalsRowFormula>SUBTOTAL(109,D2:D2)</totalsRowFormula>
    </tableColumn>
    <tableColumn id="6" xr3:uid="{388DB14A-54F3-4CB4-9FAC-CC79EC380AB9}" name="Hard Wood Logs" totalsRowFunction="custom">
      <totalsRowFormula>SUBTOTAL(109,E2:E2)</totalsRowFormula>
    </tableColumn>
    <tableColumn id="7" xr3:uid="{9D638586-026B-44D1-8B34-C0C3D43CAD18}" name="Thick Leather Sections" totalsRowFunction="custom">
      <totalsRowFormula>SUBTOTAL(109,F2:F2)</totalsRowFormula>
    </tableColumn>
    <tableColumn id="8" xr3:uid="{8CF9AEA9-3895-4903-8246-88658B570EA4}" name="Hardened Leather Sections" totalsRowFunction="custom">
      <totalsRowFormula>SUBTOTAL(109,G2:G2)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A2CE26-8E50-4E72-9C9C-77AF18B12840}" name="Table1678414" displayName="Table1678414" ref="A1:F3" totalsRowCount="1">
  <autoFilter ref="A1:F2" xr:uid="{161BA580-722A-410D-8E2D-E64F92884D13}"/>
  <tableColumns count="6">
    <tableColumn id="1" xr3:uid="{6C2025F3-98C0-40DF-AF82-32553C5F93DE}" name="Unstable Metal Chunks (Copperfed)" totalsRowFunction="custom">
      <totalsRowFormula>SUBTOTAL(109,A2:A2)</totalsRowFormula>
    </tableColumn>
    <tableColumn id="2" xr3:uid="{80F128D0-8E55-4315-89EA-72129B453E33}" name="Copper Ore" totalsRowFunction="custom">
      <totalsRowFormula>SUBTOTAL(109,B2:B2)</totalsRowFormula>
    </tableColumn>
    <tableColumn id="4" xr3:uid="{68879772-4267-45A2-B3E5-F3965BE06DBE}" name="Iron Ore" totalsRowFunction="custom">
      <totalsRowFormula>SUBTOTAL(109,C2:C2)</totalsRowFormula>
    </tableColumn>
    <tableColumn id="5" xr3:uid="{4BFE3333-64CA-45C6-BD5C-ED96D1041663}" name="Platinum Ore" totalsRowFunction="custom">
      <totalsRowFormula>SUBTOTAL(109,D2:D2)</totalsRowFormula>
    </tableColumn>
    <tableColumn id="6" xr3:uid="{7AEC54C7-90D4-4B3E-9B16-536F9AD35119}" name="Mithril Ore" totalsRowFunction="custom">
      <totalsRowFormula>SUBTOTAL(109,E2:E2)</totalsRowFormula>
    </tableColumn>
    <tableColumn id="7" xr3:uid="{0C6CECE8-CF3F-4FD2-BCB2-8948DCAAE7D6}" name="Orichalcum Ore" totalsRowFunction="custom">
      <totalsRowFormula>SUBTOTAL(109,F2:F2)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E988A0-C50E-4CC4-88CD-D3F5FB332B81}" name="Table167841415" displayName="Table167841415" ref="A1:F3" totalsRowCount="1">
  <autoFilter ref="A1:F2" xr:uid="{7CCC29B3-4E29-4434-9033-BB5CD6A1C02E}"/>
  <tableColumns count="6">
    <tableColumn id="1" xr3:uid="{21B805E5-8EF4-4B33-B45E-03CB622F6AD3}" name="Salvageable Fused Metal Scraps (Copperfed)" totalsRowFunction="custom">
      <totalsRowFormula>SUBTOTAL(109,A2:A2)</totalsRowFormula>
    </tableColumn>
    <tableColumn id="2" xr3:uid="{28F7B35D-F3F2-4F5D-A14A-5C0A1E59AB96}" name="Molten Core" totalsRowFunction="custom">
      <totalsRowFormula>SUBTOTAL(109,B2:B2)</totalsRowFormula>
    </tableColumn>
    <tableColumn id="4" xr3:uid="{62CCA669-CBD2-4DE6-84EC-17BB481C9C91}" name="Molten Lodestone" totalsRowFunction="custom">
      <totalsRowFormula>SUBTOTAL(109,C2:C2)</totalsRowFormula>
    </tableColumn>
    <tableColumn id="5" xr3:uid="{9556E610-E477-4966-A066-9B2695745F6E}" name="Glacial Core" totalsRowFunction="custom">
      <totalsRowFormula>SUBTOTAL(109,D2:D2)</totalsRowFormula>
    </tableColumn>
    <tableColumn id="6" xr3:uid="{F1F3AD18-1C24-4218-9CCF-1CD3124E3CB8}" name="Mithril Ore" totalsRowFunction="custom">
      <totalsRowFormula>SUBTOTAL(109,E2:E2)</totalsRowFormula>
    </tableColumn>
    <tableColumn id="7" xr3:uid="{5C8FFD83-4405-4639-8D5C-AA0C78802CFF}" name="Orichalcum Ore" totalsRowFunction="custom">
      <totalsRowFormula>SUBTOTAL(109,F2:F2)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8" sqref="C8"/>
    </sheetView>
  </sheetViews>
  <sheetFormatPr defaultRowHeight="15" x14ac:dyDescent="0.25"/>
  <cols>
    <col min="1" max="1" width="67.28515625" customWidth="1"/>
    <col min="2" max="2" width="37.5703125" customWidth="1"/>
    <col min="3" max="3" width="116.28515625" customWidth="1"/>
    <col min="4" max="4" width="9.1406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6149</v>
      </c>
      <c r="B2">
        <v>7443</v>
      </c>
      <c r="C2">
        <v>1272</v>
      </c>
    </row>
    <row r="3" spans="1:3" x14ac:dyDescent="0.25">
      <c r="A3">
        <v>245</v>
      </c>
      <c r="B3">
        <v>279</v>
      </c>
      <c r="C3">
        <v>59</v>
      </c>
    </row>
    <row r="4" spans="1:3" x14ac:dyDescent="0.25">
      <c r="A4">
        <v>954</v>
      </c>
      <c r="B4">
        <v>1117</v>
      </c>
      <c r="C4">
        <v>217</v>
      </c>
    </row>
    <row r="5" spans="1:3" x14ac:dyDescent="0.25">
      <c r="A5">
        <v>1474</v>
      </c>
      <c r="B5">
        <v>1766</v>
      </c>
      <c r="C5">
        <v>316</v>
      </c>
    </row>
    <row r="6" spans="1:3" x14ac:dyDescent="0.25">
      <c r="A6">
        <v>6209</v>
      </c>
      <c r="B6">
        <v>7350</v>
      </c>
      <c r="C6">
        <v>1359</v>
      </c>
    </row>
    <row r="7" spans="1:3" x14ac:dyDescent="0.25">
      <c r="A7">
        <f>SUBTOTAL(109,A2:A6)</f>
        <v>15031</v>
      </c>
      <c r="B7">
        <f>SUBTOTAL(109,B2:B6)</f>
        <v>17955</v>
      </c>
      <c r="C7">
        <f>SUBTOTAL(109,C2:C6)</f>
        <v>3223</v>
      </c>
    </row>
    <row r="8" spans="1:3" x14ac:dyDescent="0.25">
      <c r="A8">
        <f>Table1[[#Totals],[Valuable Metal Scrap (Copperfed)]]/Table1[[#Totals],[Valuable Metal Scrap (Copperfed)]]</f>
        <v>1</v>
      </c>
      <c r="B8">
        <f>Table1[[#Totals],[Mithril Ore]]/Table1[[#Totals],[Valuable Metal Scrap (Copperfed)]]</f>
        <v>1.1945313019759165</v>
      </c>
      <c r="C8">
        <f>Table1[[#Totals],[Orichalcum Ore]]/Table1[[#Totals],[Valuable Metal Scrap (Copperfed)]]</f>
        <v>0.21442352471558779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2860-57B6-4373-880B-086D8C6F9373}">
  <dimension ref="A1:C4"/>
  <sheetViews>
    <sheetView workbookViewId="0">
      <selection activeCell="C4" sqref="C4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</cols>
  <sheetData>
    <row r="1" spans="1:3" x14ac:dyDescent="0.25">
      <c r="A1" t="s">
        <v>25</v>
      </c>
      <c r="B1" t="s">
        <v>20</v>
      </c>
      <c r="C1" t="s">
        <v>21</v>
      </c>
    </row>
    <row r="2" spans="1:3" x14ac:dyDescent="0.25">
      <c r="A2">
        <v>1165</v>
      </c>
      <c r="B2">
        <v>1463</v>
      </c>
      <c r="C2">
        <v>113</v>
      </c>
    </row>
    <row r="3" spans="1:3" x14ac:dyDescent="0.25">
      <c r="A3">
        <f>SUBTOTAL(109,A2:A2)</f>
        <v>1165</v>
      </c>
      <c r="B3">
        <f>SUBTOTAL(109,B2:B2)</f>
        <v>1463</v>
      </c>
      <c r="C3">
        <f t="shared" ref="C3" si="0">SUBTOTAL(109,C2:C2)</f>
        <v>113</v>
      </c>
    </row>
    <row r="4" spans="1:3" x14ac:dyDescent="0.25">
      <c r="A4">
        <f>Table167849[[#Totals],[Hard Leather Straps (Silverfed)]]/Table167849[[#Totals],[Hard Leather Straps (Silverfed)]]</f>
        <v>1</v>
      </c>
      <c r="B4">
        <f>Table167849[[#Totals],[Thick Leather Sections]]/Table167849[[#Totals],[Hard Leather Straps (Silverfed)]]</f>
        <v>1.255793991416309</v>
      </c>
      <c r="C4">
        <f>Table167849[[#Totals],[Hardened Leather Sections]]/Table167849[[#Totals],[Hard Leather Straps (Silverfed)]]</f>
        <v>9.6995708154506435E-2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6" sqref="D6"/>
    </sheetView>
  </sheetViews>
  <sheetFormatPr defaultRowHeight="15" x14ac:dyDescent="0.25"/>
  <cols>
    <col min="1" max="1" width="43.7109375" customWidth="1"/>
    <col min="2" max="2" width="57.42578125" customWidth="1"/>
    <col min="3" max="3" width="64.85546875" customWidth="1"/>
    <col min="4" max="4" width="23" customWidth="1"/>
  </cols>
  <sheetData>
    <row r="1" spans="1:4" x14ac:dyDescent="0.25">
      <c r="A1" t="s">
        <v>4</v>
      </c>
      <c r="B1" t="s">
        <v>2</v>
      </c>
      <c r="C1" t="s">
        <v>0</v>
      </c>
      <c r="D1" t="s">
        <v>3</v>
      </c>
    </row>
    <row r="2" spans="1:4" x14ac:dyDescent="0.25">
      <c r="A2">
        <v>518</v>
      </c>
      <c r="B2">
        <v>2169</v>
      </c>
      <c r="C2">
        <v>150</v>
      </c>
      <c r="D2">
        <v>148</v>
      </c>
    </row>
    <row r="3" spans="1:4" x14ac:dyDescent="0.25">
      <c r="A3">
        <v>322</v>
      </c>
      <c r="B3">
        <v>1355</v>
      </c>
      <c r="C3">
        <v>117</v>
      </c>
      <c r="D3">
        <v>75</v>
      </c>
    </row>
    <row r="4" spans="1:4" x14ac:dyDescent="0.25">
      <c r="A4">
        <v>491</v>
      </c>
      <c r="B4">
        <v>2061</v>
      </c>
      <c r="C4">
        <v>147</v>
      </c>
      <c r="D4">
        <v>118</v>
      </c>
    </row>
    <row r="5" spans="1:4" x14ac:dyDescent="0.25">
      <c r="A5">
        <f>SUBTOTAL(109,A2:A4)</f>
        <v>1331</v>
      </c>
      <c r="B5">
        <f>SUBTOTAL(109,B2:B4)</f>
        <v>5585</v>
      </c>
      <c r="C5">
        <f>SUBTOTAL(109,C2:C4)</f>
        <v>414</v>
      </c>
      <c r="D5">
        <f>SUBTOTAL(109,D2:D4)</f>
        <v>341</v>
      </c>
    </row>
    <row r="6" spans="1:4" x14ac:dyDescent="0.25">
      <c r="A6">
        <f>Table15[[#Totals],[Salvageable Intact Forged Scrap (Copperfed)]]/Table15[[#Totals],[Salvageable Intact Forged Scrap (Copperfed)]]</f>
        <v>1</v>
      </c>
      <c r="B6">
        <f>Table15[[#Totals],[Mithril Ore]]/Table15[[#Totals],[Salvageable Intact Forged Scrap (Copperfed)]]</f>
        <v>4.1960931630353118</v>
      </c>
      <c r="C6">
        <f>Table15[[#Totals],[Orichalcum Ore]]/Table15[[#Totals],[Salvageable Intact Forged Scrap (Copperfed)]]</f>
        <v>0.31104432757325318</v>
      </c>
      <c r="D6">
        <f>Table15[[#Totals],[Slivers of Twisting Forgemetal]]/Table15[[#Totals],[Salvageable Intact Forged Scrap (Copperfed)]]</f>
        <v>0.256198347107438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5" x14ac:dyDescent="0.25"/>
  <cols>
    <col min="1" max="1" width="77.28515625" customWidth="1"/>
    <col min="2" max="2" width="62.140625" customWidth="1"/>
  </cols>
  <sheetData>
    <row r="1" spans="1:2" x14ac:dyDescent="0.25">
      <c r="A1" t="s">
        <v>6</v>
      </c>
      <c r="B1" t="s">
        <v>5</v>
      </c>
    </row>
    <row r="2" spans="1:2" x14ac:dyDescent="0.25">
      <c r="A2">
        <v>4500</v>
      </c>
      <c r="B2">
        <v>8959</v>
      </c>
    </row>
    <row r="3" spans="1:2" x14ac:dyDescent="0.25">
      <c r="A3">
        <f>SUBTOTAL(109,A2:A2)</f>
        <v>4500</v>
      </c>
      <c r="B3">
        <f>SUBTOTAL(109,B2:B2)</f>
        <v>8959</v>
      </c>
    </row>
    <row r="4" spans="1:2" x14ac:dyDescent="0.25">
      <c r="A4">
        <f>Table16[[#Totals],[Lump of Raw Ambrite (Copperfed)]]/Table16[[#Totals],[Lump of Raw Ambrite (Copperfed)]]</f>
        <v>1</v>
      </c>
      <c r="B4">
        <f>Table16[[#Totals],[Pieces of Ambrite]]/Table16[[#Totals],[Lump of Raw Ambrite (Copperfed)]]</f>
        <v>1.9908888888888889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35" sqref="B35"/>
    </sheetView>
  </sheetViews>
  <sheetFormatPr defaultRowHeight="15" x14ac:dyDescent="0.25"/>
  <cols>
    <col min="1" max="1" width="77.28515625" customWidth="1"/>
    <col min="2" max="2" width="62.140625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500</v>
      </c>
      <c r="B2">
        <v>949</v>
      </c>
    </row>
    <row r="3" spans="1:2" x14ac:dyDescent="0.25">
      <c r="A3">
        <f>SUBTOTAL(109,A2:A2)</f>
        <v>500</v>
      </c>
      <c r="B3">
        <f>SUBTOTAL(109,B2:B2)</f>
        <v>949</v>
      </c>
    </row>
    <row r="4" spans="1:2" x14ac:dyDescent="0.25">
      <c r="A4">
        <f>Table167[[#Totals],[Glob of Ectoplasm (Silverfed)]]/Table167[[#Totals],[Glob of Ectoplasm (Silverfed)]]</f>
        <v>1</v>
      </c>
      <c r="B4">
        <f>Table167[[#Totals],[Pile of Crystalline Dust]]/Table167[[#Totals],[Glob of Ectoplasm (Silverfed)]]</f>
        <v>1.8979999999999999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G5" sqref="G5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  <col min="7" max="7" width="39.5703125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13</v>
      </c>
      <c r="E1" t="s">
        <v>12</v>
      </c>
      <c r="F1" t="s">
        <v>14</v>
      </c>
      <c r="G1" t="s">
        <v>15</v>
      </c>
    </row>
    <row r="2" spans="1:7" x14ac:dyDescent="0.25">
      <c r="A2">
        <v>39</v>
      </c>
      <c r="B2">
        <v>4</v>
      </c>
      <c r="C2">
        <v>12</v>
      </c>
      <c r="D2">
        <v>16</v>
      </c>
      <c r="E2">
        <v>26</v>
      </c>
      <c r="F2">
        <v>3</v>
      </c>
      <c r="G2">
        <v>19</v>
      </c>
    </row>
    <row r="3" spans="1:7" x14ac:dyDescent="0.25">
      <c r="A3">
        <v>22</v>
      </c>
      <c r="B3">
        <v>1</v>
      </c>
      <c r="C3">
        <v>12</v>
      </c>
      <c r="D3">
        <v>9</v>
      </c>
      <c r="E3">
        <v>15</v>
      </c>
      <c r="F3">
        <v>0</v>
      </c>
      <c r="G3">
        <v>4</v>
      </c>
    </row>
    <row r="4" spans="1:7" x14ac:dyDescent="0.25">
      <c r="A4">
        <f>SUBTOTAL(109,A2:A3)</f>
        <v>61</v>
      </c>
      <c r="B4">
        <f>SUBTOTAL(109,B2:B3)</f>
        <v>5</v>
      </c>
      <c r="C4">
        <f>SUBTOTAL(109,C2:C3)</f>
        <v>24</v>
      </c>
      <c r="D4">
        <f>SUBTOTAL(109,D2:D3)</f>
        <v>25</v>
      </c>
      <c r="E4">
        <f>SUBTOTAL(109,E2:E3)</f>
        <v>41</v>
      </c>
      <c r="F4">
        <f>SUBTOTAL(109,F2:F3)</f>
        <v>3</v>
      </c>
      <c r="G4">
        <f>SUBTOTAL(109,G2:G3)</f>
        <v>23</v>
      </c>
    </row>
    <row r="5" spans="1:7" x14ac:dyDescent="0.25">
      <c r="A5">
        <f>Table1678[[#Totals],[Reclaimed Wood Chunk (Copperfed)]]/Table1678[[#Totals],[Reclaimed Wood Chunk (Copperfed)]]</f>
        <v>1</v>
      </c>
      <c r="B5">
        <f>Table1678[[#Totals],[Green Wood Log]]/Table1678[[#Totals],[Reclaimed Wood Chunk (Copperfed)]]</f>
        <v>8.1967213114754092E-2</v>
      </c>
      <c r="C5">
        <f>Table1678[[#Totals],[Soft Wood Logs]]/Table1678[[#Totals],[Reclaimed Wood Chunk (Copperfed)]]</f>
        <v>0.39344262295081966</v>
      </c>
      <c r="D5">
        <f>Table1678[[#Totals],[Seasoned Wood Logs]]/Table1678[[#Totals],[Reclaimed Wood Chunk (Copperfed)]]</f>
        <v>0.4098360655737705</v>
      </c>
      <c r="E5">
        <f>Table1678[[#Totals],[Hard Wood Logs]]/Table1678[[#Totals],[Reclaimed Wood Chunk (Copperfed)]]</f>
        <v>0.67213114754098358</v>
      </c>
      <c r="F5">
        <f>Table1678[[#Totals],[Elder Wood Logs ]]/Table1678[[#Totals],[Reclaimed Wood Chunk (Copperfed)]]</f>
        <v>4.9180327868852458E-2</v>
      </c>
      <c r="G5">
        <f>Table1678[[#Totals],[Ancient Wood Logs]]/Table1678[[#Totals],[Reclaimed Wood Chunk (Copperfed)]]</f>
        <v>0.37704918032786883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A669-CD5A-41EF-92A4-0FB02C8F503F}">
  <dimension ref="A1:C4"/>
  <sheetViews>
    <sheetView workbookViewId="0">
      <selection activeCell="C4" sqref="C4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5030</v>
      </c>
      <c r="B2">
        <v>8027</v>
      </c>
      <c r="C2">
        <v>465</v>
      </c>
    </row>
    <row r="3" spans="1:3" x14ac:dyDescent="0.25">
      <c r="A3">
        <f>SUBTOTAL(109,A2:A2)</f>
        <v>5030</v>
      </c>
      <c r="B3">
        <f>SUBTOTAL(109,B2:B2)</f>
        <v>8027</v>
      </c>
      <c r="C3">
        <f t="shared" ref="C3" si="0">SUBTOTAL(109,C2:C2)</f>
        <v>465</v>
      </c>
    </row>
    <row r="4" spans="1:3" x14ac:dyDescent="0.25">
      <c r="A4">
        <f>Table16783[[#Totals],[Discarded Garments (Copperfed)]]/Table16783[[#Totals],[Discarded Garments (Copperfed)]]</f>
        <v>1</v>
      </c>
      <c r="B4">
        <f>Table16783[[#Totals],[Silk Scraps]]/Table16783[[#Totals],[Discarded Garments (Copperfed)]]</f>
        <v>1.5958250497017892</v>
      </c>
      <c r="C4">
        <f>Table16783[[#Totals],[Gossamer Scraps]]/Table16783[[#Totals],[Discarded Garments (Copperfed)]]</f>
        <v>9.2445328031809146E-2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E2BB-4C54-418B-A23E-EC9B0B3C4D5D}">
  <dimension ref="A1:G4"/>
  <sheetViews>
    <sheetView workbookViewId="0">
      <selection activeCell="C44" sqref="A1:XFD1048576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  <col min="7" max="7" width="39.5703125" customWidth="1"/>
  </cols>
  <sheetData>
    <row r="1" spans="1:7" x14ac:dyDescent="0.25">
      <c r="A1" t="s">
        <v>19</v>
      </c>
      <c r="B1" t="s">
        <v>22</v>
      </c>
      <c r="C1" t="s">
        <v>23</v>
      </c>
      <c r="D1" t="s">
        <v>24</v>
      </c>
      <c r="E1" t="s">
        <v>12</v>
      </c>
      <c r="F1" t="s">
        <v>20</v>
      </c>
      <c r="G1" t="s">
        <v>21</v>
      </c>
    </row>
    <row r="2" spans="1:7" x14ac:dyDescent="0.25">
      <c r="A2">
        <v>1088</v>
      </c>
      <c r="B2">
        <v>44</v>
      </c>
      <c r="C2">
        <v>51</v>
      </c>
      <c r="D2">
        <v>57</v>
      </c>
      <c r="E2">
        <v>15</v>
      </c>
      <c r="F2">
        <v>534</v>
      </c>
      <c r="G2">
        <v>636</v>
      </c>
    </row>
    <row r="3" spans="1:7" x14ac:dyDescent="0.25">
      <c r="A3">
        <f>SUBTOTAL(109,A2:A2)</f>
        <v>1088</v>
      </c>
      <c r="B3">
        <f>SUBTOTAL(109,B2:B2)</f>
        <v>44</v>
      </c>
      <c r="C3">
        <f t="shared" ref="C3:G3" si="0">SUBTOTAL(109,C2:C2)</f>
        <v>51</v>
      </c>
      <c r="D3">
        <f t="shared" si="0"/>
        <v>57</v>
      </c>
      <c r="E3">
        <f t="shared" si="0"/>
        <v>15</v>
      </c>
      <c r="F3">
        <f t="shared" si="0"/>
        <v>534</v>
      </c>
      <c r="G3">
        <f t="shared" si="0"/>
        <v>636</v>
      </c>
    </row>
    <row r="4" spans="1:7" x14ac:dyDescent="0.25">
      <c r="A4">
        <f>Table16784[[#Totals],[Bloodstone-Warped Hides (Silverfed)]]/Table16784[[#Totals],[Bloodstone-Warped Hides (Silverfed)]]</f>
        <v>1</v>
      </c>
      <c r="B4">
        <f>Table16784[[#Totals],[Rawhide Leather Sections]]/Table16784[[#Totals],[Bloodstone-Warped Hides (Silverfed)]]</f>
        <v>4.0441176470588237E-2</v>
      </c>
      <c r="C4">
        <f>Table16784[[#Totals],[Thin Leather Sections]]/Table16784[[#Totals],[Bloodstone-Warped Hides (Silverfed)]]</f>
        <v>4.6875E-2</v>
      </c>
      <c r="D4">
        <f>Table16784[[#Totals],[Rugged Leather Sections]]/Table16784[[#Totals],[Bloodstone-Warped Hides (Silverfed)]]</f>
        <v>5.2389705882352942E-2</v>
      </c>
      <c r="E4">
        <f>Table16784[[#Totals],[Hard Wood Logs]]/Table16784[[#Totals],[Bloodstone-Warped Hides (Silverfed)]]</f>
        <v>1.3786764705882353E-2</v>
      </c>
      <c r="F4">
        <f>Table16784[[#Totals],[Thick Leather Sections]]/Table16784[[#Totals],[Bloodstone-Warped Hides (Silverfed)]]</f>
        <v>0.49080882352941174</v>
      </c>
      <c r="G4">
        <f>Table16784[[#Totals],[Hardened Leather Sections]]/Table16784[[#Totals],[Bloodstone-Warped Hides (Silverfed)]]</f>
        <v>0.5845588235294118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C73-549D-48E9-BC9A-B9258BD5715C}">
  <dimension ref="A1:F4"/>
  <sheetViews>
    <sheetView workbookViewId="0">
      <selection activeCell="B43" sqref="A1:XFD1048576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</cols>
  <sheetData>
    <row r="1" spans="1:6" x14ac:dyDescent="0.25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0</v>
      </c>
    </row>
    <row r="2" spans="1:6" x14ac:dyDescent="0.25">
      <c r="A2">
        <v>426</v>
      </c>
      <c r="B2">
        <v>74</v>
      </c>
      <c r="C2">
        <v>402</v>
      </c>
      <c r="D2">
        <v>212</v>
      </c>
      <c r="E2">
        <v>43</v>
      </c>
      <c r="F2">
        <v>126</v>
      </c>
    </row>
    <row r="3" spans="1:6" x14ac:dyDescent="0.25">
      <c r="A3">
        <f>SUBTOTAL(109,A2:A2)</f>
        <v>426</v>
      </c>
      <c r="B3">
        <f>SUBTOTAL(109,B2:B2)</f>
        <v>74</v>
      </c>
      <c r="C3">
        <f t="shared" ref="C3:F3" si="0">SUBTOTAL(109,C2:C2)</f>
        <v>402</v>
      </c>
      <c r="D3">
        <f t="shared" si="0"/>
        <v>212</v>
      </c>
      <c r="E3">
        <f t="shared" si="0"/>
        <v>43</v>
      </c>
      <c r="F3">
        <f t="shared" si="0"/>
        <v>126</v>
      </c>
    </row>
    <row r="4" spans="1:6" x14ac:dyDescent="0.25">
      <c r="A4">
        <f>Table1678414[[#Totals],[Unstable Metal Chunks (Copperfed)]]/Table1678414[[#Totals],[Unstable Metal Chunks (Copperfed)]]</f>
        <v>1</v>
      </c>
      <c r="B4">
        <f>Table1678414[[#Totals],[Copper Ore]]/Table1678414[[#Totals],[Unstable Metal Chunks (Copperfed)]]</f>
        <v>0.17370892018779344</v>
      </c>
      <c r="C4">
        <f>Table1678414[[#Totals],[Iron Ore]]/Table1678414[[#Totals],[Unstable Metal Chunks (Copperfed)]]</f>
        <v>0.94366197183098588</v>
      </c>
      <c r="D4">
        <f>Table1678414[[#Totals],[Platinum Ore]]/Table1678414[[#Totals],[Unstable Metal Chunks (Copperfed)]]</f>
        <v>0.49765258215962443</v>
      </c>
      <c r="E4">
        <f>Table1678414[[#Totals],[Mithril Ore]]/Table1678414[[#Totals],[Unstable Metal Chunks (Copperfed)]]</f>
        <v>0.10093896713615023</v>
      </c>
      <c r="F4">
        <f>Table1678414[[#Totals],[Orichalcum Ore]]/Table1678414[[#Totals],[Unstable Metal Chunks (Copperfed)]]</f>
        <v>0.29577464788732394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039B-3C36-4A08-94BD-647B1301CE1A}">
  <dimension ref="A1:F4"/>
  <sheetViews>
    <sheetView tabSelected="1" workbookViewId="0">
      <selection activeCell="A20" sqref="A20"/>
    </sheetView>
  </sheetViews>
  <sheetFormatPr defaultRowHeight="15" x14ac:dyDescent="0.25"/>
  <cols>
    <col min="1" max="1" width="77.28515625" customWidth="1"/>
    <col min="2" max="2" width="62.140625" customWidth="1"/>
    <col min="3" max="3" width="34.5703125" customWidth="1"/>
    <col min="4" max="4" width="32" customWidth="1"/>
    <col min="5" max="5" width="26.7109375" customWidth="1"/>
    <col min="6" max="6" width="29.140625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2</v>
      </c>
      <c r="F1" t="s">
        <v>0</v>
      </c>
    </row>
    <row r="2" spans="1:6" x14ac:dyDescent="0.25">
      <c r="A2">
        <v>22</v>
      </c>
      <c r="B2">
        <v>1</v>
      </c>
      <c r="C2">
        <v>1</v>
      </c>
      <c r="D2">
        <v>2</v>
      </c>
      <c r="E2">
        <v>86</v>
      </c>
      <c r="F2">
        <v>6</v>
      </c>
    </row>
    <row r="3" spans="1:6" x14ac:dyDescent="0.25">
      <c r="A3">
        <f>SUBTOTAL(109,A2:A2)</f>
        <v>22</v>
      </c>
      <c r="B3">
        <f>SUBTOTAL(109,B2:B2)</f>
        <v>1</v>
      </c>
      <c r="C3">
        <f t="shared" ref="C3:F3" si="0">SUBTOTAL(109,C2:C2)</f>
        <v>1</v>
      </c>
      <c r="D3">
        <f t="shared" si="0"/>
        <v>2</v>
      </c>
      <c r="E3">
        <f t="shared" si="0"/>
        <v>86</v>
      </c>
      <c r="F3">
        <f t="shared" si="0"/>
        <v>6</v>
      </c>
    </row>
    <row r="4" spans="1:6" x14ac:dyDescent="0.25">
      <c r="A4">
        <f>Table167841415[[#Totals],[Salvageable Fused Metal Scraps (Copperfed)]]/Table167841415[[#Totals],[Salvageable Fused Metal Scraps (Copperfed)]]</f>
        <v>1</v>
      </c>
      <c r="B4">
        <f>Table167841415[[#Totals],[Molten Core]]/Table167841415[[#Totals],[Salvageable Fused Metal Scraps (Copperfed)]]</f>
        <v>4.5454545454545456E-2</v>
      </c>
      <c r="C4">
        <f>Table167841415[[#Totals],[Molten Lodestone]]/Table167841415[[#Totals],[Salvageable Fused Metal Scraps (Copperfed)]]</f>
        <v>4.5454545454545456E-2</v>
      </c>
      <c r="D4">
        <f>Table167841415[[#Totals],[Glacial Core]]/Table167841415[[#Totals],[Salvageable Fused Metal Scraps (Copperfed)]]</f>
        <v>9.0909090909090912E-2</v>
      </c>
      <c r="E4">
        <f>Table167841415[[#Totals],[Mithril Ore]]/Table167841415[[#Totals],[Salvageable Fused Metal Scraps (Copperfed)]]</f>
        <v>3.9090909090909092</v>
      </c>
      <c r="F4">
        <f>Table167841415[[#Totals],[Orichalcum Ore]]/Table167841415[[#Totals],[Salvageable Fused Metal Scraps (Copperfed)]]</f>
        <v>0.27272727272727271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Valuable Metal Scrap (Copperfed</vt:lpstr>
      <vt:lpstr>Salvageable Intact Forged Scrap</vt:lpstr>
      <vt:lpstr>Lump of Raw Ambrite (Copperfed)</vt:lpstr>
      <vt:lpstr>Glob of Ectoplasm (Silverfed)</vt:lpstr>
      <vt:lpstr>Reclaimed Wood Chunk (Copperfed</vt:lpstr>
      <vt:lpstr>Discarded Garments (Copperfed)</vt:lpstr>
      <vt:lpstr>Bloodstone-Warped Hides (Silver</vt:lpstr>
      <vt:lpstr>Unstable Metal Chunks (Copperfe</vt:lpstr>
      <vt:lpstr>Sheet6</vt:lpstr>
      <vt:lpstr>Hard Leather Straps (Silverfed)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2019-09-23T16:57:58Z</dcterms:created>
  <dcterms:modified xsi:type="dcterms:W3CDTF">2019-09-25T20:40:37Z</dcterms:modified>
</cp:coreProperties>
</file>