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e\Documents\GitHub\GW2Tradz\GW2Tradz\GW2Tradz\"/>
    </mc:Choice>
  </mc:AlternateContent>
  <xr:revisionPtr revIDLastSave="0" documentId="13_ncr:1_{DB05404D-B061-4A30-9F05-15E14E8EB3EB}" xr6:coauthVersionLast="45" xr6:coauthVersionMax="45" xr10:uidLastSave="{00000000-0000-0000-0000-000000000000}"/>
  <bookViews>
    <workbookView xWindow="-120" yWindow="-120" windowWidth="38640" windowHeight="21240" tabRatio="1000" activeTab="1" xr2:uid="{00000000-000D-0000-FFFF-FFFF00000000}"/>
  </bookViews>
  <sheets>
    <sheet name="Valuable Metal Scrap (Copperfed" sheetId="1" r:id="rId1"/>
    <sheet name="Salvageable Intact Forged Scrap" sheetId="2" r:id="rId2"/>
    <sheet name="s" sheetId="14" r:id="rId3"/>
    <sheet name="Lump of Raw Ambrite (Copperfed)" sheetId="3" r:id="rId4"/>
    <sheet name="Glob of Ectoplasm (Silverfed)" sheetId="4" r:id="rId5"/>
    <sheet name="Reclaimed Wood Chunk (Copperfed" sheetId="5" r:id="rId6"/>
    <sheet name="Discarded Garments (Copperfed)" sheetId="6" r:id="rId7"/>
    <sheet name="Bloodstone-Warped Hides (Silver" sheetId="7" r:id="rId8"/>
    <sheet name="Unstable Metal Chunks (Copperfe" sheetId="10" r:id="rId9"/>
    <sheet name="Salvageable Fused Metal Scraps " sheetId="11" r:id="rId10"/>
    <sheet name="Salvageable Metal Scraps (Coppe" sheetId="12" r:id="rId11"/>
    <sheet name="Hard Leather Straps (Silverfed)" sheetId="9" r:id="rId12"/>
    <sheet name="Hard Leather Straps (Copperfed)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4" l="1"/>
  <c r="D10" i="14" s="1"/>
  <c r="C9" i="14"/>
  <c r="C10" i="14" s="1"/>
  <c r="B9" i="14"/>
  <c r="B10" i="14" s="1"/>
  <c r="A9" i="14"/>
  <c r="A10" i="14" s="1"/>
  <c r="C3" i="13" l="1"/>
  <c r="B3" i="13"/>
  <c r="A3" i="13"/>
  <c r="A4" i="13" s="1"/>
  <c r="A5" i="11"/>
  <c r="B5" i="11"/>
  <c r="C5" i="11"/>
  <c r="D5" i="11"/>
  <c r="E5" i="11"/>
  <c r="F5" i="11"/>
  <c r="G5" i="11"/>
  <c r="A6" i="10"/>
  <c r="B6" i="10"/>
  <c r="C6" i="10"/>
  <c r="D6" i="10"/>
  <c r="E6" i="10"/>
  <c r="F6" i="10"/>
  <c r="A4" i="7"/>
  <c r="B4" i="7"/>
  <c r="C4" i="7"/>
  <c r="D4" i="7"/>
  <c r="E4" i="7"/>
  <c r="F4" i="7"/>
  <c r="G4" i="7"/>
  <c r="B4" i="13" l="1"/>
  <c r="C4" i="13"/>
  <c r="A6" i="12"/>
  <c r="B6" i="12"/>
  <c r="C6" i="12"/>
  <c r="E6" i="11" l="1"/>
  <c r="D6" i="11"/>
  <c r="A6" i="11"/>
  <c r="A7" i="5"/>
  <c r="B7" i="5"/>
  <c r="C7" i="5"/>
  <c r="D7" i="5"/>
  <c r="E7" i="5"/>
  <c r="F7" i="5"/>
  <c r="G7" i="5"/>
  <c r="A9" i="2"/>
  <c r="B9" i="2"/>
  <c r="C9" i="2"/>
  <c r="D9" i="2"/>
  <c r="F7" i="10"/>
  <c r="A4" i="3"/>
  <c r="B4" i="3"/>
  <c r="A5" i="9"/>
  <c r="B5" i="9"/>
  <c r="C5" i="9"/>
  <c r="A8" i="4"/>
  <c r="B8" i="4"/>
  <c r="C3" i="6"/>
  <c r="B3" i="6"/>
  <c r="A3" i="6"/>
  <c r="B4" i="6" s="1"/>
  <c r="B5" i="7" l="1"/>
  <c r="C5" i="7"/>
  <c r="E5" i="7"/>
  <c r="D5" i="7"/>
  <c r="C7" i="12"/>
  <c r="A7" i="12"/>
  <c r="C6" i="9"/>
  <c r="B7" i="12"/>
  <c r="B6" i="11"/>
  <c r="C6" i="11"/>
  <c r="F6" i="11"/>
  <c r="G6" i="11"/>
  <c r="D7" i="10"/>
  <c r="C7" i="10"/>
  <c r="E7" i="10"/>
  <c r="A7" i="10"/>
  <c r="B7" i="10"/>
  <c r="B6" i="9"/>
  <c r="A6" i="9"/>
  <c r="F5" i="7"/>
  <c r="G5" i="7"/>
  <c r="A5" i="7"/>
  <c r="C4" i="6"/>
  <c r="A4" i="6"/>
  <c r="G8" i="5"/>
  <c r="F8" i="5"/>
  <c r="D8" i="5"/>
  <c r="E8" i="5"/>
  <c r="C8" i="5"/>
  <c r="B8" i="5"/>
  <c r="A8" i="5"/>
  <c r="B9" i="4"/>
  <c r="A9" i="4"/>
  <c r="A5" i="3"/>
  <c r="A11" i="1"/>
  <c r="A12" i="1" s="1"/>
  <c r="B11" i="1"/>
  <c r="C11" i="1"/>
  <c r="A10" i="2"/>
  <c r="C12" i="1" l="1"/>
  <c r="B12" i="1"/>
  <c r="D10" i="2"/>
  <c r="B5" i="3"/>
  <c r="B10" i="2"/>
  <c r="C10" i="2"/>
</calcChain>
</file>

<file path=xl/sharedStrings.xml><?xml version="1.0" encoding="utf-8"?>
<sst xmlns="http://schemas.openxmlformats.org/spreadsheetml/2006/main" count="54" uniqueCount="39">
  <si>
    <t>Orichalcum Ore</t>
  </si>
  <si>
    <t>Valuable Metal Scrap (Copperfed)</t>
  </si>
  <si>
    <t>Mithril Ore</t>
  </si>
  <si>
    <t>Slivers of Twisting Forgemetal</t>
  </si>
  <si>
    <t>Salvageable Intact Forged Scrap (Copperfed)</t>
  </si>
  <si>
    <t>Pieces of Ambrite</t>
  </si>
  <si>
    <t>Lump of Raw Ambrite (Copperfed)</t>
  </si>
  <si>
    <t>Glob of Ectoplasm (Silverfed)</t>
  </si>
  <si>
    <t>Pile of Crystalline Dust</t>
  </si>
  <si>
    <t>Reclaimed Wood Chunk (Copperfed)</t>
  </si>
  <si>
    <t>Green Wood Log</t>
  </si>
  <si>
    <t>Soft Wood Logs</t>
  </si>
  <si>
    <t>Hard Wood Logs</t>
  </si>
  <si>
    <t>Seasoned Wood Logs</t>
  </si>
  <si>
    <t xml:space="preserve">Elder Wood Logs </t>
  </si>
  <si>
    <t>Ancient Wood Logs</t>
  </si>
  <si>
    <t>Discarded Garments (Copperfed)</t>
  </si>
  <si>
    <t>Silk Scraps</t>
  </si>
  <si>
    <t>Gossamer Scraps</t>
  </si>
  <si>
    <t>Bloodstone-Warped Hides (Silverfed)</t>
  </si>
  <si>
    <t>Thick Leather Sections</t>
  </si>
  <si>
    <t>Hardened Leather Sections</t>
  </si>
  <si>
    <t>Thin Leather Sections</t>
  </si>
  <si>
    <t>Rugged Leather Sections</t>
  </si>
  <si>
    <t>Hard Leather Straps (Silverfed)</t>
  </si>
  <si>
    <t>Unstable Metal Chunks (Copperfed)</t>
  </si>
  <si>
    <t>Copper Ore</t>
  </si>
  <si>
    <t>Iron Ore</t>
  </si>
  <si>
    <t>Platinum Ore</t>
  </si>
  <si>
    <t>Salvageable Fused Metal Scraps (Copperfed)</t>
  </si>
  <si>
    <t>Molten Core</t>
  </si>
  <si>
    <t>Molten Lodestone</t>
  </si>
  <si>
    <t>Glacial Core</t>
  </si>
  <si>
    <t>Salvageable Metal Scraps (Copperfed)</t>
  </si>
  <si>
    <t>Coarse Leather Sections</t>
  </si>
  <si>
    <t>Glacial Lodestone</t>
  </si>
  <si>
    <t>Rawhide Leather Sections</t>
  </si>
  <si>
    <t>Hard Leather Straps (Copperfed)</t>
  </si>
  <si>
    <t>Salvageable Aetherized Metal Scrap (Copperfed)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</si>
</sst>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Count="1">
  <autoFilter ref="A1:C10" xr:uid="{00000000-0009-0000-0100-000001000000}"/>
  <tableColumns count="3">
    <tableColumn id="1" xr3:uid="{00000000-0010-0000-0000-000001000000}" name="Valuable Metal Scrap (Copperfed)" totalsRowFunction="custom">
      <totalsRowFormula>SUBTOTAL(109,A2:A10)</totalsRowFormula>
    </tableColumn>
    <tableColumn id="2" xr3:uid="{00000000-0010-0000-0000-000002000000}" name="Mithril Ore" totalsRowFunction="custom">
      <totalsRowFormula>SUBTOTAL(109,B2:B10)</totalsRowFormula>
    </tableColumn>
    <tableColumn id="3" xr3:uid="{00000000-0010-0000-0000-000003000000}" name="Orichalcum Ore" totalsRowFunction="custom">
      <totalsRowFormula>SUBTOTAL(109,C2:C10)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A1:D9" totalsRowCount="1">
  <autoFilter ref="A1:D8" xr:uid="{00000000-0009-0000-0100-000004000000}"/>
  <tableColumns count="4">
    <tableColumn id="1" xr3:uid="{00000000-0010-0000-0100-000001000000}" name="Salvageable Intact Forged Scrap (Copperfed)" totalsRowFunction="custom">
      <totalsRowFormula>SUBTOTAL(109,A2:A8)</totalsRowFormula>
    </tableColumn>
    <tableColumn id="2" xr3:uid="{00000000-0010-0000-0100-000002000000}" name="Mithril Ore" totalsRowFunction="custom">
      <totalsRowFormula>SUBTOTAL(109,B2:B8)</totalsRowFormula>
    </tableColumn>
    <tableColumn id="3" xr3:uid="{00000000-0010-0000-0100-000003000000}" name="Orichalcum Ore" totalsRowFunction="custom">
      <totalsRowFormula>SUBTOTAL(109,C2:C8)</totalsRowFormula>
    </tableColumn>
    <tableColumn id="4" xr3:uid="{00000000-0010-0000-0100-000004000000}" name="Slivers of Twisting Forgemetal" totalsRowFunction="custom">
      <totalsRowFormula>SUBTOTAL(109,D2:D8)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F380B5-C9F7-4E43-9178-E6C8E703B27E}" name="Table1511" displayName="Table1511" ref="A1:D9" totalsRowCount="1">
  <autoFilter ref="A1:D8" xr:uid="{1DCA64DF-36A2-4776-9848-2BF207CB0D4A}"/>
  <tableColumns count="4">
    <tableColumn id="1" xr3:uid="{C8920653-4432-44AA-B867-97D18BF9907E}" name="Salvageable Aetherized Metal Scrap (Copperfed)" totalsRowFunction="custom">
      <totalsRowFormula>SUBTOTAL(109,A2:A8)</totalsRowFormula>
    </tableColumn>
    <tableColumn id="2" xr3:uid="{37C89639-242E-4183-8E73-B9A8AB1B9CA5}" name="Mithril Ore" totalsRowFunction="custom">
      <totalsRowFormula>SUBTOTAL(109,B2:B8)</totalsRowFormula>
    </tableColumn>
    <tableColumn id="3" xr3:uid="{EBA472C3-2636-479C-A1F4-F326E0D2D2E6}" name="Orichalcum Ore" totalsRowFunction="custom">
      <totalsRowFormula>SUBTOTAL(109,C2:C8)</totalsRowFormula>
    </tableColumn>
    <tableColumn id="4" xr3:uid="{79C33FB6-8130-425D-BF1A-2FBB66B67620}" name="Slivers of Twisting Forgemetal" totalsRowFunction="custom">
      <totalsRowFormula>SUBTOTAL(109,D2:D8)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6" displayName="Table16" ref="A1:B4" totalsRowCount="1">
  <autoFilter ref="A1:B3" xr:uid="{00000000-0009-0000-0100-000005000000}"/>
  <tableColumns count="2">
    <tableColumn id="1" xr3:uid="{00000000-0010-0000-0200-000001000000}" name="Lump of Raw Ambrite (Copperfed)" totalsRowFunction="custom">
      <totalsRowFormula>SUBTOTAL(109,A2:A3)</totalsRowFormula>
    </tableColumn>
    <tableColumn id="2" xr3:uid="{00000000-0010-0000-0200-000002000000}" name="Pieces of Ambrite" totalsRowFunction="custom">
      <totalsRowFormula>SUBTOTAL(109,B2:B3)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67" displayName="Table167" ref="A1:B8" totalsRowCount="1">
  <autoFilter ref="A1:B7" xr:uid="{00000000-0009-0000-0100-000006000000}"/>
  <tableColumns count="2">
    <tableColumn id="1" xr3:uid="{00000000-0010-0000-0300-000001000000}" name="Glob of Ectoplasm (Silverfed)" totalsRowFunction="custom">
      <totalsRowFormula>SUBTOTAL(109,A2:A7)</totalsRowFormula>
    </tableColumn>
    <tableColumn id="2" xr3:uid="{00000000-0010-0000-0300-000002000000}" name="Pile of Crystalline Dust" totalsRowFunction="custom">
      <totalsRowFormula>SUBTOTAL(109,B2:B7)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1678" displayName="Table1678" ref="A1:G7" totalsRowCount="1">
  <autoFilter ref="A1:G6" xr:uid="{00000000-0009-0000-0100-000007000000}"/>
  <tableColumns count="7">
    <tableColumn id="1" xr3:uid="{00000000-0010-0000-0400-000001000000}" name="Reclaimed Wood Chunk (Copperfed)" totalsRowFunction="custom">
      <totalsRowFormula>SUBTOTAL(109,A2:A6)</totalsRowFormula>
    </tableColumn>
    <tableColumn id="2" xr3:uid="{00000000-0010-0000-0400-000002000000}" name="Green Wood Log" totalsRowFunction="custom">
      <totalsRowFormula>SUBTOTAL(109,B2:B6)</totalsRowFormula>
    </tableColumn>
    <tableColumn id="4" xr3:uid="{00000000-0010-0000-0400-000004000000}" name="Soft Wood Logs" totalsRowFunction="custom">
      <totalsRowFormula>SUBTOTAL(109,C2:C6)</totalsRowFormula>
    </tableColumn>
    <tableColumn id="5" xr3:uid="{00000000-0010-0000-0400-000005000000}" name="Seasoned Wood Logs" totalsRowFunction="custom">
      <totalsRowFormula>SUBTOTAL(109,D2:D6)</totalsRowFormula>
    </tableColumn>
    <tableColumn id="6" xr3:uid="{00000000-0010-0000-0400-000006000000}" name="Hard Wood Logs" totalsRowFunction="custom">
      <totalsRowFormula>SUBTOTAL(109,E2:E6)</totalsRowFormula>
    </tableColumn>
    <tableColumn id="7" xr3:uid="{00000000-0010-0000-0400-000007000000}" name="Elder Wood Logs " totalsRowFunction="custom">
      <totalsRowFormula>SUBTOTAL(109,F2:F6)</totalsRowFormula>
    </tableColumn>
    <tableColumn id="8" xr3:uid="{00000000-0010-0000-0400-000008000000}" name="Ancient Wood Logs" totalsRowFunction="custom">
      <totalsRowFormula>SUBTOTAL(109,G2:G6)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207A3-E09A-411C-A707-91A061A3D0E8}" name="Table16783" displayName="Table16783" ref="A1:C3" totalsRowCount="1">
  <autoFilter ref="A1:C2" xr:uid="{956112EF-C722-411C-A2E0-E9E17536B520}"/>
  <tableColumns count="3">
    <tableColumn id="1" xr3:uid="{2CB7CD62-B8E9-4462-A279-BD99DE5BBDDB}" name="Discarded Garments (Copperfed)" totalsRowFunction="custom">
      <totalsRowFormula>SUBTOTAL(109,A2:A2)</totalsRowFormula>
    </tableColumn>
    <tableColumn id="2" xr3:uid="{F71A24D6-BD0D-48C6-9D23-4A6E0D89E0AA}" name="Silk Scraps" totalsRowFunction="custom">
      <totalsRowFormula>SUBTOTAL(109,B2:B2)</totalsRowFormula>
    </tableColumn>
    <tableColumn id="4" xr3:uid="{387C295B-A831-4516-B387-6B801B21C517}" name="Gossamer Scraps" totalsRowFunction="custom">
      <totalsRowFormula>SUBTOTAL(109,C2:C2)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83A40A-984F-4C8C-B5BD-CEDCA44A00C1}" name="Table16784" displayName="Table16784" ref="A1:G4" totalsRowCount="1">
  <autoFilter ref="A1:G3" xr:uid="{25A4AE94-A8F7-4B52-994F-DE080FA22BF0}"/>
  <tableColumns count="7">
    <tableColumn id="1" xr3:uid="{C9ADA6AC-04B8-418E-8FE6-FC3F390007F7}" name="Bloodstone-Warped Hides (Silverfed)" totalsRowFunction="custom">
      <totalsRowFormula>SUBTOTAL(109,A2:A3)</totalsRowFormula>
    </tableColumn>
    <tableColumn id="2" xr3:uid="{197B031B-E04A-4D3A-964A-24491C36C27D}" name="Rawhide Leather Sections" totalsRowFunction="custom">
      <totalsRowFormula>SUBTOTAL(109,B2:B3)</totalsRowFormula>
    </tableColumn>
    <tableColumn id="3" xr3:uid="{85DBBF6B-7DBD-4ED0-A92A-18C784047461}" name="Coarse Leather Sections" totalsRowFunction="custom">
      <totalsRowFormula>SUBTOTAL(109,C2:C3)</totalsRowFormula>
    </tableColumn>
    <tableColumn id="4" xr3:uid="{EB728ABA-20A8-45CC-B029-FADB42BA26B9}" name="Thin Leather Sections" totalsRowFunction="custom">
      <totalsRowFormula>SUBTOTAL(109,D2:D3)</totalsRowFormula>
    </tableColumn>
    <tableColumn id="5" xr3:uid="{602D6133-C0B4-4E0B-8CCC-39EA2C037EEB}" name="Rugged Leather Sections" totalsRowFunction="custom">
      <totalsRowFormula>SUBTOTAL(109,E2:E3)</totalsRowFormula>
    </tableColumn>
    <tableColumn id="7" xr3:uid="{9D638586-026B-44D1-8B34-C0C3D43CAD18}" name="Thick Leather Sections" totalsRowFunction="custom">
      <totalsRowFormula>SUBTOTAL(109,F2:F3)</totalsRowFormula>
    </tableColumn>
    <tableColumn id="8" xr3:uid="{8CF9AEA9-3895-4903-8246-88658B570EA4}" name="Hardened Leather Sections" totalsRowFunction="custom">
      <totalsRowFormula>SUBTOTAL(109,G2:G3)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A2CE26-8E50-4E72-9C9C-77AF18B12840}" name="Table1678414" displayName="Table1678414" ref="A1:F6" totalsRowCount="1">
  <autoFilter ref="A1:F5" xr:uid="{161BA580-722A-410D-8E2D-E64F92884D13}"/>
  <tableColumns count="6">
    <tableColumn id="1" xr3:uid="{6C2025F3-98C0-40DF-AF82-32553C5F93DE}" name="Unstable Metal Chunks (Copperfed)" totalsRowFunction="custom">
      <totalsRowFormula>SUBTOTAL(109,A2:A5)</totalsRowFormula>
    </tableColumn>
    <tableColumn id="2" xr3:uid="{80F128D0-8E55-4315-89EA-72129B453E33}" name="Copper Ore" totalsRowFunction="custom">
      <totalsRowFormula>SUBTOTAL(109,B2:B5)</totalsRowFormula>
    </tableColumn>
    <tableColumn id="4" xr3:uid="{68879772-4267-45A2-B3E5-F3965BE06DBE}" name="Iron Ore" totalsRowFunction="custom">
      <totalsRowFormula>SUBTOTAL(109,C2:C5)</totalsRowFormula>
    </tableColumn>
    <tableColumn id="5" xr3:uid="{4BFE3333-64CA-45C6-BD5C-ED96D1041663}" name="Platinum Ore" totalsRowFunction="custom">
      <totalsRowFormula>SUBTOTAL(109,D2:D5)</totalsRowFormula>
    </tableColumn>
    <tableColumn id="6" xr3:uid="{7AEC54C7-90D4-4B3E-9B16-536F9AD35119}" name="Mithril Ore" totalsRowFunction="custom">
      <totalsRowFormula>SUBTOTAL(109,E2:E5)</totalsRowFormula>
    </tableColumn>
    <tableColumn id="7" xr3:uid="{0C6CECE8-CF3F-4FD2-BCB2-8948DCAAE7D6}" name="Orichalcum Ore" totalsRowFunction="custom">
      <totalsRowFormula>SUBTOTAL(109,F2:F5)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E988A0-C50E-4CC4-88CD-D3F5FB332B81}" name="Table167841415" displayName="Table167841415" ref="A1:G5" totalsRowCount="1">
  <autoFilter ref="A1:G4" xr:uid="{7CCC29B3-4E29-4434-9033-BB5CD6A1C02E}"/>
  <tableColumns count="7">
    <tableColumn id="1" xr3:uid="{21B805E5-8EF4-4B33-B45E-03CB622F6AD3}" name="Salvageable Fused Metal Scraps (Copperfed)" totalsRowFunction="custom">
      <totalsRowFormula>SUBTOTAL(109,A2:A4)</totalsRowFormula>
    </tableColumn>
    <tableColumn id="2" xr3:uid="{28F7B35D-F3F2-4F5D-A14A-5C0A1E59AB96}" name="Molten Core" totalsRowFunction="custom">
      <totalsRowFormula>SUBTOTAL(109,B2:B4)</totalsRowFormula>
    </tableColumn>
    <tableColumn id="4" xr3:uid="{62CCA669-CBD2-4DE6-84EC-17BB481C9C91}" name="Molten Lodestone" totalsRowFunction="custom">
      <totalsRowFormula>SUBTOTAL(109,C2:C4)</totalsRowFormula>
    </tableColumn>
    <tableColumn id="5" xr3:uid="{9556E610-E477-4966-A066-9B2695745F6E}" name="Glacial Core" totalsRowFunction="custom">
      <totalsRowFormula>SUBTOTAL(109,D2:D4)</totalsRowFormula>
    </tableColumn>
    <tableColumn id="3" xr3:uid="{80E8700E-CFC1-4F90-8331-94C026EE1108}" name="Glacial Lodestone" totalsRowFunction="custom">
      <totalsRowFormula>SUBTOTAL(109,E2:E4)</totalsRowFormula>
    </tableColumn>
    <tableColumn id="6" xr3:uid="{F1F3AD18-1C24-4218-9CCF-1CD3124E3CB8}" name="Mithril Ore" totalsRowFunction="custom">
      <totalsRowFormula>SUBTOTAL(109,F2:F4)</totalsRowFormula>
    </tableColumn>
    <tableColumn id="7" xr3:uid="{5C8FFD83-4405-4639-8D5C-AA0C78802CFF}" name="Orichalcum Ore" totalsRowFunction="custom">
      <totalsRowFormula>SUBTOTAL(109,G2:G4)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5E7FB19-106A-4512-B469-28100BDD1999}" name="Table16784141516" displayName="Table16784141516" ref="A1:C6" totalsRowCount="1">
  <autoFilter ref="A1:C5" xr:uid="{E1E674C0-644D-4043-A0DA-8F6C9A034074}"/>
  <tableColumns count="3">
    <tableColumn id="1" xr3:uid="{D0F91126-0432-42C1-98B7-5CF135044FD4}" name="Salvageable Metal Scraps (Copperfed)" totalsRowFunction="custom">
      <totalsRowFormula>SUBTOTAL(109,A2:A5)</totalsRowFormula>
    </tableColumn>
    <tableColumn id="6" xr3:uid="{905B65C4-0EA7-4FDB-8C52-E325EC4F221A}" name="Mithril Ore" totalsRowFunction="custom">
      <totalsRowFormula>SUBTOTAL(109,B2:B5)</totalsRowFormula>
    </tableColumn>
    <tableColumn id="7" xr3:uid="{A4C94530-5721-4643-A7CE-B63AEB5E922C}" name="Platinum Ore" totalsRowFunction="custom">
      <totalsRowFormula>SUBTOTAL(109,C2:C5)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6DD24B-6473-49CB-BC2B-2C5E70B741F9}" name="Table167849" displayName="Table167849" ref="A1:C5" totalsRowCount="1">
  <autoFilter ref="A1:C4" xr:uid="{435B9412-207A-46D7-85DB-63D3D0B190BE}"/>
  <tableColumns count="3">
    <tableColumn id="1" xr3:uid="{C5B20C03-6A20-46E2-9028-19F64A37B316}" name="Hard Leather Straps (Silverfed)" totalsRowFunction="custom">
      <totalsRowFormula>SUBTOTAL(109,A2:A4)</totalsRowFormula>
    </tableColumn>
    <tableColumn id="2" xr3:uid="{C9486A08-89B2-4526-8B62-626FA437DDFD}" name="Thick Leather Sections" totalsRowFunction="custom">
      <totalsRowFormula>SUBTOTAL(109,B2:B4)</totalsRowFormula>
    </tableColumn>
    <tableColumn id="4" xr3:uid="{A990BAC9-4FF6-4D60-8E56-7D2131F5A3D5}" name="Hardened Leather Sections" totalsRowFunction="custom">
      <totalsRowFormula>SUBTOTAL(109,C2:C4)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A9E304-F35F-471C-81FA-4EDF4763158A}" name="Table16784910" displayName="Table16784910" ref="A1:C3" totalsRowCount="1">
  <autoFilter ref="A1:C2" xr:uid="{05916349-3643-410E-BD0E-4C40DC3B4DFA}"/>
  <tableColumns count="3">
    <tableColumn id="1" xr3:uid="{ADEB15FC-94A1-4239-BC86-6ECC003D7362}" name="Hard Leather Straps (Copperfed)" totalsRowFunction="custom">
      <totalsRowFormula>SUBTOTAL(109,A2:A2)</totalsRowFormula>
    </tableColumn>
    <tableColumn id="2" xr3:uid="{7AF832BF-E0F7-4846-8C80-D93AA4FB2B45}" name="Thick Leather Sections" totalsRowFunction="custom">
      <totalsRowFormula>SUBTOTAL(109,B2:B2)</totalsRowFormula>
    </tableColumn>
    <tableColumn id="4" xr3:uid="{6500B408-9154-4D77-96E6-F1AFCC233706}" name="Hardened Leather Sections" totalsRowFunction="custom">
      <totalsRowFormula>SUBTOTAL(109,C2:C2)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0" sqref="A10:XFD10"/>
    </sheetView>
  </sheetViews>
  <sheetFormatPr defaultRowHeight="15" x14ac:dyDescent="0.25"/>
  <cols>
    <col min="1" max="1" width="67.28515625" customWidth="1"/>
    <col min="2" max="2" width="37.5703125" customWidth="1"/>
    <col min="3" max="3" width="116.28515625" customWidth="1"/>
    <col min="4" max="4" width="9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6149</v>
      </c>
      <c r="B2">
        <v>7443</v>
      </c>
      <c r="C2">
        <v>1272</v>
      </c>
    </row>
    <row r="3" spans="1:3" x14ac:dyDescent="0.25">
      <c r="A3">
        <v>245</v>
      </c>
      <c r="B3">
        <v>279</v>
      </c>
      <c r="C3">
        <v>59</v>
      </c>
    </row>
    <row r="4" spans="1:3" x14ac:dyDescent="0.25">
      <c r="A4">
        <v>954</v>
      </c>
      <c r="B4">
        <v>1117</v>
      </c>
      <c r="C4">
        <v>217</v>
      </c>
    </row>
    <row r="5" spans="1:3" x14ac:dyDescent="0.25">
      <c r="A5">
        <v>1474</v>
      </c>
      <c r="B5">
        <v>1766</v>
      </c>
      <c r="C5">
        <v>316</v>
      </c>
    </row>
    <row r="6" spans="1:3" x14ac:dyDescent="0.25">
      <c r="A6">
        <v>3243</v>
      </c>
      <c r="B6">
        <v>3914</v>
      </c>
      <c r="C6">
        <v>662</v>
      </c>
    </row>
    <row r="7" spans="1:3" x14ac:dyDescent="0.25">
      <c r="A7">
        <v>3676</v>
      </c>
      <c r="B7">
        <v>4450</v>
      </c>
      <c r="C7">
        <v>745</v>
      </c>
    </row>
    <row r="8" spans="1:3" x14ac:dyDescent="0.25">
      <c r="A8">
        <v>7242</v>
      </c>
      <c r="B8">
        <v>8773</v>
      </c>
      <c r="C8">
        <v>1528</v>
      </c>
    </row>
    <row r="9" spans="1:3" x14ac:dyDescent="0.25">
      <c r="A9">
        <v>2687</v>
      </c>
      <c r="B9">
        <v>3223</v>
      </c>
      <c r="C9">
        <v>598</v>
      </c>
    </row>
    <row r="10" spans="1:3" x14ac:dyDescent="0.25">
      <c r="A10">
        <v>6209</v>
      </c>
      <c r="B10">
        <v>7350</v>
      </c>
      <c r="C10">
        <v>1359</v>
      </c>
    </row>
    <row r="11" spans="1:3" x14ac:dyDescent="0.25">
      <c r="A11">
        <f>SUBTOTAL(109,A2:A10)</f>
        <v>31879</v>
      </c>
      <c r="B11">
        <f>SUBTOTAL(109,B2:B10)</f>
        <v>38315</v>
      </c>
      <c r="C11">
        <f>SUBTOTAL(109,C2:C10)</f>
        <v>6756</v>
      </c>
    </row>
    <row r="12" spans="1:3" x14ac:dyDescent="0.25">
      <c r="A12">
        <f>Table1[[#Totals],[Valuable Metal Scrap (Copperfed)]]/Table1[[#Totals],[Valuable Metal Scrap (Copperfed)]]</f>
        <v>1</v>
      </c>
      <c r="B12">
        <f>Table1[[#Totals],[Mithril Ore]]/Table1[[#Totals],[Valuable Metal Scrap (Copperfed)]]</f>
        <v>1.2018883904764892</v>
      </c>
      <c r="C12">
        <f>Table1[[#Totals],[Orichalcum Ore]]/Table1[[#Totals],[Valuable Metal Scrap (Copperfed)]]</f>
        <v>0.2119263464976944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7" sqref="A1:XFD1048576"/>
    </sheetView>
  </sheetViews>
  <sheetFormatPr defaultRowHeight="15" x14ac:dyDescent="0.25"/>
  <cols>
    <col min="1" max="1" width="43.7109375" customWidth="1"/>
    <col min="2" max="2" width="57.42578125" customWidth="1"/>
    <col min="3" max="3" width="64.85546875" customWidth="1"/>
    <col min="4" max="4" width="23" customWidth="1"/>
  </cols>
  <sheetData>
    <row r="1" spans="1:4" x14ac:dyDescent="0.25">
      <c r="A1" t="s">
        <v>4</v>
      </c>
      <c r="B1" t="s">
        <v>2</v>
      </c>
      <c r="C1" t="s">
        <v>0</v>
      </c>
      <c r="D1" t="s">
        <v>3</v>
      </c>
    </row>
    <row r="2" spans="1:4" x14ac:dyDescent="0.25">
      <c r="A2">
        <v>223</v>
      </c>
      <c r="B2">
        <v>982</v>
      </c>
      <c r="C2">
        <v>57</v>
      </c>
      <c r="D2">
        <v>59</v>
      </c>
    </row>
    <row r="3" spans="1:4" x14ac:dyDescent="0.25">
      <c r="A3">
        <v>518</v>
      </c>
      <c r="B3">
        <v>2169</v>
      </c>
      <c r="C3">
        <v>150</v>
      </c>
      <c r="D3">
        <v>148</v>
      </c>
    </row>
    <row r="4" spans="1:4" x14ac:dyDescent="0.25">
      <c r="A4">
        <v>346</v>
      </c>
      <c r="B4">
        <v>1503</v>
      </c>
      <c r="C4">
        <v>117</v>
      </c>
      <c r="D4">
        <v>79</v>
      </c>
    </row>
    <row r="5" spans="1:4" x14ac:dyDescent="0.25">
      <c r="A5">
        <v>1482</v>
      </c>
      <c r="B5">
        <v>6188</v>
      </c>
      <c r="C5">
        <v>438</v>
      </c>
      <c r="D5">
        <v>394</v>
      </c>
    </row>
    <row r="6" spans="1:4" x14ac:dyDescent="0.25">
      <c r="A6">
        <v>322</v>
      </c>
      <c r="B6">
        <v>1355</v>
      </c>
      <c r="C6">
        <v>117</v>
      </c>
      <c r="D6">
        <v>75</v>
      </c>
    </row>
    <row r="7" spans="1:4" x14ac:dyDescent="0.25">
      <c r="A7">
        <v>28</v>
      </c>
      <c r="B7">
        <v>137</v>
      </c>
      <c r="C7">
        <v>9</v>
      </c>
      <c r="D7">
        <v>2</v>
      </c>
    </row>
    <row r="8" spans="1:4" x14ac:dyDescent="0.25">
      <c r="A8">
        <v>491</v>
      </c>
      <c r="B8">
        <v>2061</v>
      </c>
      <c r="C8">
        <v>147</v>
      </c>
      <c r="D8">
        <v>118</v>
      </c>
    </row>
    <row r="9" spans="1:4" x14ac:dyDescent="0.25">
      <c r="A9">
        <f>SUBTOTAL(109,A2:A8)</f>
        <v>3410</v>
      </c>
      <c r="B9">
        <f>SUBTOTAL(109,B2:B8)</f>
        <v>14395</v>
      </c>
      <c r="C9">
        <f>SUBTOTAL(109,C2:C8)</f>
        <v>1035</v>
      </c>
      <c r="D9">
        <f>SUBTOTAL(109,D2:D8)</f>
        <v>875</v>
      </c>
    </row>
    <row r="10" spans="1:4" x14ac:dyDescent="0.25">
      <c r="A10">
        <f>Table15[[#Totals],[Salvageable Intact Forged Scrap (Copperfed)]]/Table15[[#Totals],[Salvageable Intact Forged Scrap (Copperfed)]]</f>
        <v>1</v>
      </c>
      <c r="B10">
        <f>Table15[[#Totals],[Mithril Ore]]/Table15[[#Totals],[Salvageable Intact Forged Scrap (Copperfed)]]</f>
        <v>4.2214076246334313</v>
      </c>
      <c r="C10">
        <f>Table15[[#Totals],[Orichalcum Ore]]/Table15[[#Totals],[Salvageable Intact Forged Scrap (Copperfed)]]</f>
        <v>0.30351906158357772</v>
      </c>
      <c r="D10">
        <f>Table15[[#Totals],[Slivers of Twisting Forgemetal]]/Table15[[#Totals],[Salvageable Intact Forged Scrap (Copperfed)]]</f>
        <v>0.25659824046920821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3BF8-91B7-43D8-94EE-9FAD88BBDB34}">
  <dimension ref="A1:D10"/>
  <sheetViews>
    <sheetView workbookViewId="0"/>
  </sheetViews>
  <sheetFormatPr defaultRowHeight="15" x14ac:dyDescent="0.25"/>
  <cols>
    <col min="1" max="1" width="43.7109375" customWidth="1"/>
    <col min="2" max="2" width="57.42578125" customWidth="1"/>
    <col min="3" max="3" width="64.85546875" customWidth="1"/>
    <col min="4" max="4" width="23" customWidth="1"/>
  </cols>
  <sheetData>
    <row r="1" spans="1:4" x14ac:dyDescent="0.25">
      <c r="A1" t="s">
        <v>38</v>
      </c>
      <c r="B1" t="s">
        <v>2</v>
      </c>
      <c r="C1" t="s">
        <v>0</v>
      </c>
      <c r="D1" t="s">
        <v>3</v>
      </c>
    </row>
    <row r="2" spans="1:4" x14ac:dyDescent="0.25">
      <c r="A2">
        <v>223</v>
      </c>
      <c r="B2">
        <v>982</v>
      </c>
      <c r="C2">
        <v>57</v>
      </c>
      <c r="D2">
        <v>59</v>
      </c>
    </row>
    <row r="3" spans="1:4" x14ac:dyDescent="0.25">
      <c r="A3">
        <v>518</v>
      </c>
      <c r="B3">
        <v>2169</v>
      </c>
      <c r="C3">
        <v>150</v>
      </c>
      <c r="D3">
        <v>148</v>
      </c>
    </row>
    <row r="4" spans="1:4" x14ac:dyDescent="0.25">
      <c r="A4">
        <v>346</v>
      </c>
      <c r="B4">
        <v>1503</v>
      </c>
      <c r="C4">
        <v>117</v>
      </c>
      <c r="D4">
        <v>79</v>
      </c>
    </row>
    <row r="5" spans="1:4" x14ac:dyDescent="0.25">
      <c r="A5">
        <v>1482</v>
      </c>
      <c r="B5">
        <v>6188</v>
      </c>
      <c r="C5">
        <v>438</v>
      </c>
      <c r="D5">
        <v>394</v>
      </c>
    </row>
    <row r="6" spans="1:4" x14ac:dyDescent="0.25">
      <c r="A6">
        <v>322</v>
      </c>
      <c r="B6">
        <v>1355</v>
      </c>
      <c r="C6">
        <v>117</v>
      </c>
      <c r="D6">
        <v>75</v>
      </c>
    </row>
    <row r="7" spans="1:4" x14ac:dyDescent="0.25">
      <c r="A7">
        <v>28</v>
      </c>
      <c r="B7">
        <v>137</v>
      </c>
      <c r="C7">
        <v>9</v>
      </c>
      <c r="D7">
        <v>2</v>
      </c>
    </row>
    <row r="8" spans="1:4" x14ac:dyDescent="0.25">
      <c r="A8">
        <v>491</v>
      </c>
      <c r="B8">
        <v>2061</v>
      </c>
      <c r="C8">
        <v>147</v>
      </c>
      <c r="D8">
        <v>118</v>
      </c>
    </row>
    <row r="9" spans="1:4" x14ac:dyDescent="0.25">
      <c r="A9">
        <f>SUBTOTAL(109,A2:A8)</f>
        <v>3410</v>
      </c>
      <c r="B9">
        <f>SUBTOTAL(109,B2:B8)</f>
        <v>14395</v>
      </c>
      <c r="C9">
        <f>SUBTOTAL(109,C2:C8)</f>
        <v>1035</v>
      </c>
      <c r="D9">
        <f>SUBTOTAL(109,D2:D8)</f>
        <v>875</v>
      </c>
    </row>
    <row r="10" spans="1:4" x14ac:dyDescent="0.25">
      <c r="A10">
        <f>Table1511[[#Totals],[Salvageable Aetherized Metal Scrap (Copperfed)]]/Table1511[[#Totals],[Salvageable Aetherized Metal Scrap (Copperfed)]]</f>
        <v>1</v>
      </c>
      <c r="B10">
        <f>Table1511[[#Totals],[Mithril Ore]]/Table1511[[#Totals],[Salvageable Aetherized Metal Scrap (Copperfed)]]</f>
        <v>4.2214076246334313</v>
      </c>
      <c r="C10">
        <f>Table1511[[#Totals],[Orichalcum Ore]]/Table1511[[#Totals],[Salvageable Aetherized Metal Scrap (Copperfed)]]</f>
        <v>0.30351906158357772</v>
      </c>
      <c r="D10">
        <f>Table1511[[#Totals],[Slivers of Twisting Forgemetal]]/Table1511[[#Totals],[Salvageable Aetherized Metal Scrap (Copperfed)]]</f>
        <v>0.25659824046920821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77.28515625" customWidth="1"/>
    <col min="2" max="2" width="62.140625" customWidth="1"/>
  </cols>
  <sheetData>
    <row r="1" spans="1:2" x14ac:dyDescent="0.25">
      <c r="A1" t="s">
        <v>6</v>
      </c>
      <c r="B1" t="s">
        <v>5</v>
      </c>
    </row>
    <row r="2" spans="1:2" x14ac:dyDescent="0.25">
      <c r="A2">
        <v>500</v>
      </c>
      <c r="B2">
        <v>986</v>
      </c>
    </row>
    <row r="3" spans="1:2" x14ac:dyDescent="0.25">
      <c r="A3">
        <v>4500</v>
      </c>
      <c r="B3">
        <v>8959</v>
      </c>
    </row>
    <row r="4" spans="1:2" x14ac:dyDescent="0.25">
      <c r="A4">
        <f>SUBTOTAL(109,A2:A3)</f>
        <v>5000</v>
      </c>
      <c r="B4">
        <f>SUBTOTAL(109,B2:B3)</f>
        <v>9945</v>
      </c>
    </row>
    <row r="5" spans="1:2" x14ac:dyDescent="0.25">
      <c r="A5">
        <f>Table16[[#Totals],[Lump of Raw Ambrite (Copperfed)]]/Table16[[#Totals],[Lump of Raw Ambrite (Copperfed)]]</f>
        <v>1</v>
      </c>
      <c r="B5">
        <f>Table16[[#Totals],[Pieces of Ambrite]]/Table16[[#Totals],[Lump of Raw Ambrite (Copperfed)]]</f>
        <v>1.9890000000000001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28" sqref="B28"/>
    </sheetView>
  </sheetViews>
  <sheetFormatPr defaultRowHeight="15" x14ac:dyDescent="0.25"/>
  <cols>
    <col min="1" max="1" width="77.28515625" customWidth="1"/>
    <col min="2" max="2" width="62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500</v>
      </c>
      <c r="B2">
        <v>919</v>
      </c>
    </row>
    <row r="3" spans="1:2" x14ac:dyDescent="0.25">
      <c r="A3">
        <v>500</v>
      </c>
      <c r="B3">
        <v>967</v>
      </c>
    </row>
    <row r="4" spans="1:2" x14ac:dyDescent="0.25">
      <c r="A4">
        <v>147</v>
      </c>
      <c r="B4">
        <v>264</v>
      </c>
    </row>
    <row r="5" spans="1:2" x14ac:dyDescent="0.25">
      <c r="A5">
        <v>3500</v>
      </c>
      <c r="B5">
        <v>6464</v>
      </c>
    </row>
    <row r="6" spans="1:2" x14ac:dyDescent="0.25">
      <c r="A6">
        <v>1000</v>
      </c>
      <c r="B6">
        <v>1878</v>
      </c>
    </row>
    <row r="7" spans="1:2" x14ac:dyDescent="0.25">
      <c r="A7">
        <v>500</v>
      </c>
      <c r="B7">
        <v>949</v>
      </c>
    </row>
    <row r="8" spans="1:2" x14ac:dyDescent="0.25">
      <c r="A8">
        <f>SUBTOTAL(109,A2:A7)</f>
        <v>6147</v>
      </c>
      <c r="B8">
        <f>SUBTOTAL(109,B2:B7)</f>
        <v>11441</v>
      </c>
    </row>
    <row r="9" spans="1:2" x14ac:dyDescent="0.25">
      <c r="A9">
        <f>Table167[[#Totals],[Glob of Ectoplasm (Silverfed)]]/Table167[[#Totals],[Glob of Ectoplasm (Silverfed)]]</f>
        <v>1</v>
      </c>
      <c r="B9">
        <f>Table167[[#Totals],[Pile of Crystalline Dust]]/Table167[[#Totals],[Glob of Ectoplasm (Silverfed)]]</f>
        <v>1.861233121848056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G4" sqref="G4"/>
    </sheetView>
  </sheetViews>
  <sheetFormatPr defaultRowHeight="15" x14ac:dyDescent="0.25"/>
  <cols>
    <col min="1" max="1" width="77.28515625" customWidth="1"/>
    <col min="2" max="2" width="62.140625" customWidth="1"/>
    <col min="3" max="3" width="34.5703125" customWidth="1"/>
    <col min="4" max="4" width="32" customWidth="1"/>
    <col min="5" max="5" width="26.7109375" customWidth="1"/>
    <col min="6" max="6" width="29.140625" customWidth="1"/>
    <col min="7" max="7" width="39.57031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</row>
    <row r="2" spans="1:7" x14ac:dyDescent="0.25">
      <c r="A2">
        <v>74</v>
      </c>
      <c r="B2">
        <v>12</v>
      </c>
      <c r="C2">
        <v>41</v>
      </c>
      <c r="D2">
        <v>35</v>
      </c>
      <c r="E2">
        <v>46</v>
      </c>
      <c r="F2">
        <v>9</v>
      </c>
      <c r="G2">
        <v>21</v>
      </c>
    </row>
    <row r="3" spans="1:7" x14ac:dyDescent="0.25">
      <c r="A3">
        <v>74</v>
      </c>
      <c r="B3">
        <v>7</v>
      </c>
      <c r="C3">
        <v>36</v>
      </c>
      <c r="D3">
        <v>32</v>
      </c>
      <c r="E3">
        <v>32</v>
      </c>
      <c r="F3">
        <v>12</v>
      </c>
      <c r="G3">
        <v>31</v>
      </c>
    </row>
    <row r="4" spans="1:7" x14ac:dyDescent="0.25">
      <c r="A4">
        <v>42</v>
      </c>
      <c r="B4">
        <v>9</v>
      </c>
      <c r="C4">
        <v>15</v>
      </c>
      <c r="D4">
        <v>15</v>
      </c>
      <c r="E4">
        <v>32</v>
      </c>
      <c r="F4">
        <v>8</v>
      </c>
      <c r="G4">
        <v>10</v>
      </c>
    </row>
    <row r="5" spans="1:7" x14ac:dyDescent="0.25">
      <c r="A5">
        <v>39</v>
      </c>
      <c r="B5">
        <v>4</v>
      </c>
      <c r="C5">
        <v>12</v>
      </c>
      <c r="D5">
        <v>16</v>
      </c>
      <c r="E5">
        <v>26</v>
      </c>
      <c r="F5">
        <v>3</v>
      </c>
      <c r="G5">
        <v>19</v>
      </c>
    </row>
    <row r="6" spans="1:7" x14ac:dyDescent="0.25">
      <c r="A6">
        <v>22</v>
      </c>
      <c r="B6">
        <v>1</v>
      </c>
      <c r="C6">
        <v>12</v>
      </c>
      <c r="D6">
        <v>9</v>
      </c>
      <c r="E6">
        <v>15</v>
      </c>
      <c r="F6">
        <v>0</v>
      </c>
      <c r="G6">
        <v>4</v>
      </c>
    </row>
    <row r="7" spans="1:7" x14ac:dyDescent="0.25">
      <c r="A7">
        <f t="shared" ref="A7:G7" si="0">SUBTOTAL(109,A2:A6)</f>
        <v>251</v>
      </c>
      <c r="B7">
        <f t="shared" si="0"/>
        <v>33</v>
      </c>
      <c r="C7">
        <f t="shared" si="0"/>
        <v>116</v>
      </c>
      <c r="D7">
        <f t="shared" si="0"/>
        <v>107</v>
      </c>
      <c r="E7">
        <f t="shared" si="0"/>
        <v>151</v>
      </c>
      <c r="F7">
        <f t="shared" si="0"/>
        <v>32</v>
      </c>
      <c r="G7">
        <f t="shared" si="0"/>
        <v>85</v>
      </c>
    </row>
    <row r="8" spans="1:7" x14ac:dyDescent="0.25">
      <c r="A8">
        <f>Table1678[[#Totals],[Reclaimed Wood Chunk (Copperfed)]]/Table1678[[#Totals],[Reclaimed Wood Chunk (Copperfed)]]</f>
        <v>1</v>
      </c>
      <c r="B8">
        <f>Table1678[[#Totals],[Green Wood Log]]/Table1678[[#Totals],[Reclaimed Wood Chunk (Copperfed)]]</f>
        <v>0.13147410358565736</v>
      </c>
      <c r="C8">
        <f>Table1678[[#Totals],[Soft Wood Logs]]/Table1678[[#Totals],[Reclaimed Wood Chunk (Copperfed)]]</f>
        <v>0.46215139442231074</v>
      </c>
      <c r="D8">
        <f>Table1678[[#Totals],[Seasoned Wood Logs]]/Table1678[[#Totals],[Reclaimed Wood Chunk (Copperfed)]]</f>
        <v>0.42629482071713148</v>
      </c>
      <c r="E8">
        <f>Table1678[[#Totals],[Hard Wood Logs]]/Table1678[[#Totals],[Reclaimed Wood Chunk (Copperfed)]]</f>
        <v>0.60159362549800799</v>
      </c>
      <c r="F8">
        <f>Table1678[[#Totals],[Elder Wood Logs ]]/Table1678[[#Totals],[Reclaimed Wood Chunk (Copperfed)]]</f>
        <v>0.12749003984063745</v>
      </c>
      <c r="G8">
        <f>Table1678[[#Totals],[Ancient Wood Logs]]/Table1678[[#Totals],[Reclaimed Wood Chunk (Copperfed)]]</f>
        <v>0.3386454183266932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A669-CD5A-41EF-92A4-0FB02C8F503F}">
  <dimension ref="A1:C4"/>
  <sheetViews>
    <sheetView workbookViewId="0"/>
  </sheetViews>
  <sheetFormatPr defaultRowHeight="15" x14ac:dyDescent="0.25"/>
  <cols>
    <col min="1" max="1" width="77.28515625" customWidth="1"/>
    <col min="2" max="2" width="62.140625" customWidth="1"/>
    <col min="3" max="3" width="34.57031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5030</v>
      </c>
      <c r="B2">
        <v>8027</v>
      </c>
      <c r="C2">
        <v>465</v>
      </c>
    </row>
    <row r="3" spans="1:3" x14ac:dyDescent="0.25">
      <c r="A3">
        <f>SUBTOTAL(109,A2:A2)</f>
        <v>5030</v>
      </c>
      <c r="B3">
        <f>SUBTOTAL(109,B2:B2)</f>
        <v>8027</v>
      </c>
      <c r="C3">
        <f t="shared" ref="C3" si="0">SUBTOTAL(109,C2:C2)</f>
        <v>465</v>
      </c>
    </row>
    <row r="4" spans="1:3" x14ac:dyDescent="0.25">
      <c r="A4">
        <f>Table16783[[#Totals],[Discarded Garments (Copperfed)]]/Table16783[[#Totals],[Discarded Garments (Copperfed)]]</f>
        <v>1</v>
      </c>
      <c r="B4">
        <f>Table16783[[#Totals],[Silk Scraps]]/Table16783[[#Totals],[Discarded Garments (Copperfed)]]</f>
        <v>1.5958250497017892</v>
      </c>
      <c r="C4">
        <f>Table16783[[#Totals],[Gossamer Scraps]]/Table16783[[#Totals],[Discarded Garments (Copperfed)]]</f>
        <v>9.2445328031809146E-2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E2BB-4C54-418B-A23E-EC9B0B3C4D5D}">
  <dimension ref="A1:G5"/>
  <sheetViews>
    <sheetView workbookViewId="0">
      <selection activeCell="A26" sqref="A25:A26"/>
    </sheetView>
  </sheetViews>
  <sheetFormatPr defaultRowHeight="15" x14ac:dyDescent="0.25"/>
  <cols>
    <col min="1" max="1" width="77.28515625" customWidth="1"/>
    <col min="2" max="3" width="62.140625" customWidth="1"/>
    <col min="4" max="4" width="34.5703125" customWidth="1"/>
    <col min="5" max="5" width="32" customWidth="1"/>
    <col min="6" max="6" width="29.140625" customWidth="1"/>
    <col min="7" max="7" width="39.5703125" customWidth="1"/>
  </cols>
  <sheetData>
    <row r="1" spans="1:7" x14ac:dyDescent="0.25">
      <c r="A1" t="s">
        <v>19</v>
      </c>
      <c r="B1" t="s">
        <v>36</v>
      </c>
      <c r="C1" t="s">
        <v>34</v>
      </c>
      <c r="D1" t="s">
        <v>22</v>
      </c>
      <c r="E1" t="s">
        <v>23</v>
      </c>
      <c r="F1" t="s">
        <v>20</v>
      </c>
      <c r="G1" t="s">
        <v>21</v>
      </c>
    </row>
    <row r="2" spans="1:7" x14ac:dyDescent="0.25">
      <c r="A2">
        <v>672</v>
      </c>
      <c r="B2">
        <v>37</v>
      </c>
      <c r="C2">
        <v>36</v>
      </c>
      <c r="D2">
        <v>39</v>
      </c>
      <c r="E2">
        <v>44</v>
      </c>
      <c r="F2">
        <v>320</v>
      </c>
      <c r="G2">
        <v>368</v>
      </c>
    </row>
    <row r="3" spans="1:7" x14ac:dyDescent="0.25">
      <c r="A3">
        <v>1088</v>
      </c>
      <c r="B3">
        <v>44</v>
      </c>
      <c r="C3">
        <v>51</v>
      </c>
      <c r="D3">
        <v>57</v>
      </c>
      <c r="E3">
        <v>15</v>
      </c>
      <c r="F3">
        <v>534</v>
      </c>
      <c r="G3">
        <v>636</v>
      </c>
    </row>
    <row r="4" spans="1:7" x14ac:dyDescent="0.25">
      <c r="A4">
        <f t="shared" ref="A4:G4" si="0">SUBTOTAL(109,A2:A3)</f>
        <v>1760</v>
      </c>
      <c r="B4">
        <f t="shared" si="0"/>
        <v>81</v>
      </c>
      <c r="C4">
        <f t="shared" si="0"/>
        <v>87</v>
      </c>
      <c r="D4">
        <f t="shared" si="0"/>
        <v>96</v>
      </c>
      <c r="E4">
        <f t="shared" si="0"/>
        <v>59</v>
      </c>
      <c r="F4">
        <f t="shared" si="0"/>
        <v>854</v>
      </c>
      <c r="G4">
        <f t="shared" si="0"/>
        <v>1004</v>
      </c>
    </row>
    <row r="5" spans="1:7" x14ac:dyDescent="0.25">
      <c r="A5">
        <f>Table16784[[#Totals],[Bloodstone-Warped Hides (Silverfed)]]/Table16784[[#Totals],[Bloodstone-Warped Hides (Silverfed)]]</f>
        <v>1</v>
      </c>
      <c r="B5">
        <f>Table16784[[#Totals],[Rawhide Leather Sections]]/Table16784[[#Totals],[Bloodstone-Warped Hides (Silverfed)]]</f>
        <v>4.6022727272727271E-2</v>
      </c>
      <c r="C5">
        <f>Table16784[[#Totals],[Coarse Leather Sections]]/Table16784[[#Totals],[Bloodstone-Warped Hides (Silverfed)]]</f>
        <v>4.9431818181818181E-2</v>
      </c>
      <c r="D5">
        <f>Table16784[[#Totals],[Thin Leather Sections]]/Table16784[[#Totals],[Bloodstone-Warped Hides (Silverfed)]]</f>
        <v>5.4545454545454543E-2</v>
      </c>
      <c r="E5">
        <f>Table16784[[#Totals],[Rugged Leather Sections]]/Table16784[[#Totals],[Bloodstone-Warped Hides (Silverfed)]]</f>
        <v>3.3522727272727273E-2</v>
      </c>
      <c r="F5">
        <f>Table16784[[#Totals],[Thick Leather Sections]]/Table16784[[#Totals],[Bloodstone-Warped Hides (Silverfed)]]</f>
        <v>0.48522727272727273</v>
      </c>
      <c r="G5">
        <f>Table16784[[#Totals],[Hardened Leather Sections]]/Table16784[[#Totals],[Bloodstone-Warped Hides (Silverfed)]]</f>
        <v>0.57045454545454544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4C73-549D-48E9-BC9A-B9258BD5715C}">
  <dimension ref="A1:F7"/>
  <sheetViews>
    <sheetView workbookViewId="0">
      <selection activeCell="E45" sqref="E45"/>
    </sheetView>
  </sheetViews>
  <sheetFormatPr defaultRowHeight="15" x14ac:dyDescent="0.25"/>
  <cols>
    <col min="1" max="1" width="77.28515625" customWidth="1"/>
    <col min="2" max="2" width="62.140625" customWidth="1"/>
    <col min="3" max="3" width="34.5703125" customWidth="1"/>
    <col min="4" max="4" width="32" customWidth="1"/>
    <col min="5" max="5" width="26.7109375" customWidth="1"/>
    <col min="6" max="6" width="29.1406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</v>
      </c>
      <c r="F1" t="s">
        <v>0</v>
      </c>
    </row>
    <row r="2" spans="1:6" x14ac:dyDescent="0.25">
      <c r="A2">
        <v>1250</v>
      </c>
      <c r="B2">
        <v>233</v>
      </c>
      <c r="C2">
        <v>1172</v>
      </c>
      <c r="D2">
        <v>619</v>
      </c>
      <c r="E2">
        <v>191</v>
      </c>
      <c r="F2">
        <v>410</v>
      </c>
    </row>
    <row r="3" spans="1:6" x14ac:dyDescent="0.25">
      <c r="A3">
        <v>2810</v>
      </c>
      <c r="B3">
        <v>433</v>
      </c>
      <c r="C3">
        <v>2638</v>
      </c>
      <c r="D3">
        <v>1309</v>
      </c>
      <c r="E3">
        <v>454</v>
      </c>
      <c r="F3">
        <v>885</v>
      </c>
    </row>
    <row r="4" spans="1:6" x14ac:dyDescent="0.25">
      <c r="A4">
        <v>761</v>
      </c>
      <c r="B4">
        <v>114</v>
      </c>
      <c r="C4">
        <v>760</v>
      </c>
      <c r="D4">
        <v>326</v>
      </c>
      <c r="E4">
        <v>124</v>
      </c>
      <c r="F4">
        <v>240</v>
      </c>
    </row>
    <row r="5" spans="1:6" x14ac:dyDescent="0.25">
      <c r="A5">
        <v>426</v>
      </c>
      <c r="B5">
        <v>74</v>
      </c>
      <c r="C5">
        <v>402</v>
      </c>
      <c r="D5">
        <v>212</v>
      </c>
      <c r="E5">
        <v>43</v>
      </c>
      <c r="F5">
        <v>126</v>
      </c>
    </row>
    <row r="6" spans="1:6" x14ac:dyDescent="0.25">
      <c r="A6">
        <f t="shared" ref="A6:F6" si="0">SUBTOTAL(109,A2:A5)</f>
        <v>5247</v>
      </c>
      <c r="B6">
        <f t="shared" si="0"/>
        <v>854</v>
      </c>
      <c r="C6">
        <f t="shared" si="0"/>
        <v>4972</v>
      </c>
      <c r="D6">
        <f t="shared" si="0"/>
        <v>2466</v>
      </c>
      <c r="E6">
        <f t="shared" si="0"/>
        <v>812</v>
      </c>
      <c r="F6">
        <f t="shared" si="0"/>
        <v>1661</v>
      </c>
    </row>
    <row r="7" spans="1:6" x14ac:dyDescent="0.25">
      <c r="A7">
        <f>Table1678414[[#Totals],[Unstable Metal Chunks (Copperfed)]]/Table1678414[[#Totals],[Unstable Metal Chunks (Copperfed)]]</f>
        <v>1</v>
      </c>
      <c r="B7">
        <f>Table1678414[[#Totals],[Copper Ore]]/Table1678414[[#Totals],[Unstable Metal Chunks (Copperfed)]]</f>
        <v>0.16275967219363446</v>
      </c>
      <c r="C7">
        <f>Table1678414[[#Totals],[Iron Ore]]/Table1678414[[#Totals],[Unstable Metal Chunks (Copperfed)]]</f>
        <v>0.94758909853249473</v>
      </c>
      <c r="D7">
        <f>Table1678414[[#Totals],[Platinum Ore]]/Table1678414[[#Totals],[Unstable Metal Chunks (Copperfed)]]</f>
        <v>0.46998284734133788</v>
      </c>
      <c r="E7">
        <f>Table1678414[[#Totals],[Mithril Ore]]/Table1678414[[#Totals],[Unstable Metal Chunks (Copperfed)]]</f>
        <v>0.15475509815132457</v>
      </c>
      <c r="F7">
        <f>Table1678414[[#Totals],[Orichalcum Ore]]/Table1678414[[#Totals],[Unstable Metal Chunks (Copperfed)]]</f>
        <v>0.31656184486373168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039B-3C36-4A08-94BD-647B1301CE1A}">
  <dimension ref="A1:G6"/>
  <sheetViews>
    <sheetView workbookViewId="0">
      <selection activeCell="C3" sqref="C3"/>
    </sheetView>
  </sheetViews>
  <sheetFormatPr defaultRowHeight="15" x14ac:dyDescent="0.25"/>
  <cols>
    <col min="1" max="1" width="77.28515625" customWidth="1"/>
    <col min="2" max="2" width="62.140625" customWidth="1"/>
    <col min="3" max="3" width="34.5703125" customWidth="1"/>
    <col min="4" max="5" width="32" customWidth="1"/>
    <col min="6" max="6" width="26.7109375" customWidth="1"/>
    <col min="7" max="7" width="29.140625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35</v>
      </c>
      <c r="F1" t="s">
        <v>2</v>
      </c>
      <c r="G1" t="s">
        <v>0</v>
      </c>
    </row>
    <row r="2" spans="1:7" x14ac:dyDescent="0.25">
      <c r="A2">
        <v>349</v>
      </c>
      <c r="B2">
        <v>21</v>
      </c>
      <c r="C2">
        <v>3</v>
      </c>
      <c r="D2">
        <v>19</v>
      </c>
      <c r="E2">
        <v>6</v>
      </c>
      <c r="F2">
        <v>1454</v>
      </c>
      <c r="G2">
        <v>90</v>
      </c>
    </row>
    <row r="3" spans="1:7" x14ac:dyDescent="0.25">
      <c r="A3">
        <v>85</v>
      </c>
      <c r="B3">
        <v>3</v>
      </c>
      <c r="C3">
        <v>0</v>
      </c>
      <c r="D3">
        <v>5</v>
      </c>
      <c r="E3">
        <v>3</v>
      </c>
      <c r="F3">
        <v>359</v>
      </c>
      <c r="G3">
        <v>24</v>
      </c>
    </row>
    <row r="4" spans="1:7" x14ac:dyDescent="0.25">
      <c r="A4">
        <v>22</v>
      </c>
      <c r="B4">
        <v>1</v>
      </c>
      <c r="C4">
        <v>1</v>
      </c>
      <c r="D4">
        <v>2</v>
      </c>
      <c r="E4">
        <v>0</v>
      </c>
      <c r="F4">
        <v>86</v>
      </c>
      <c r="G4">
        <v>6</v>
      </c>
    </row>
    <row r="5" spans="1:7" x14ac:dyDescent="0.25">
      <c r="A5">
        <f t="shared" ref="A5:G5" si="0">SUBTOTAL(109,A2:A4)</f>
        <v>456</v>
      </c>
      <c r="B5">
        <f t="shared" si="0"/>
        <v>25</v>
      </c>
      <c r="C5">
        <f t="shared" si="0"/>
        <v>4</v>
      </c>
      <c r="D5">
        <f t="shared" si="0"/>
        <v>26</v>
      </c>
      <c r="E5">
        <f t="shared" si="0"/>
        <v>9</v>
      </c>
      <c r="F5">
        <f t="shared" si="0"/>
        <v>1899</v>
      </c>
      <c r="G5">
        <f t="shared" si="0"/>
        <v>120</v>
      </c>
    </row>
    <row r="6" spans="1:7" x14ac:dyDescent="0.25">
      <c r="A6">
        <f>Table167841415[[#Totals],[Salvageable Fused Metal Scraps (Copperfed)]]/Table167841415[[#Totals],[Salvageable Fused Metal Scraps (Copperfed)]]</f>
        <v>1</v>
      </c>
      <c r="B6">
        <f>Table167841415[[#Totals],[Molten Core]]/Table167841415[[#Totals],[Salvageable Fused Metal Scraps (Copperfed)]]</f>
        <v>5.4824561403508769E-2</v>
      </c>
      <c r="C6">
        <f>Table167841415[[#Totals],[Molten Lodestone]]/Table167841415[[#Totals],[Salvageable Fused Metal Scraps (Copperfed)]]</f>
        <v>8.771929824561403E-3</v>
      </c>
      <c r="D6">
        <f>Table167841415[[#Totals],[Glacial Core]]/Table167841415[[#Totals],[Salvageable Fused Metal Scraps (Copperfed)]]</f>
        <v>5.701754385964912E-2</v>
      </c>
      <c r="E6">
        <f>Table167841415[[#Totals],[Glacial Lodestone]]/Table167841415[[#Totals],[Salvageable Fused Metal Scraps (Copperfed)]]</f>
        <v>1.9736842105263157E-2</v>
      </c>
      <c r="F6">
        <f>Table167841415[[#Totals],[Mithril Ore]]/Table167841415[[#Totals],[Salvageable Fused Metal Scraps (Copperfed)]]</f>
        <v>4.1644736842105265</v>
      </c>
      <c r="G6">
        <f>Table167841415[[#Totals],[Orichalcum Ore]]/Table167841415[[#Totals],[Salvageable Fused Metal Scraps (Copperfed)]]</f>
        <v>0.26315789473684209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87D4-1F44-4781-96D3-48B6972FA2CE}">
  <dimension ref="A1:C7"/>
  <sheetViews>
    <sheetView workbookViewId="0">
      <selection activeCell="C4" sqref="C4"/>
    </sheetView>
  </sheetViews>
  <sheetFormatPr defaultRowHeight="15" x14ac:dyDescent="0.25"/>
  <cols>
    <col min="1" max="1" width="77.28515625" customWidth="1"/>
    <col min="2" max="2" width="26.7109375" customWidth="1"/>
    <col min="3" max="3" width="29.140625" customWidth="1"/>
  </cols>
  <sheetData>
    <row r="1" spans="1:3" x14ac:dyDescent="0.25">
      <c r="A1" t="s">
        <v>33</v>
      </c>
      <c r="B1" t="s">
        <v>2</v>
      </c>
      <c r="C1" t="s">
        <v>28</v>
      </c>
    </row>
    <row r="2" spans="1:3" x14ac:dyDescent="0.25">
      <c r="A2">
        <v>328</v>
      </c>
      <c r="B2">
        <v>369</v>
      </c>
      <c r="C2">
        <v>169</v>
      </c>
    </row>
    <row r="3" spans="1:3" x14ac:dyDescent="0.25">
      <c r="A3">
        <v>408</v>
      </c>
      <c r="B3">
        <v>492</v>
      </c>
      <c r="C3">
        <v>176</v>
      </c>
    </row>
    <row r="4" spans="1:3" x14ac:dyDescent="0.25">
      <c r="A4">
        <v>59</v>
      </c>
      <c r="B4">
        <v>65</v>
      </c>
      <c r="C4">
        <v>33</v>
      </c>
    </row>
    <row r="5" spans="1:3" x14ac:dyDescent="0.25">
      <c r="A5">
        <v>102</v>
      </c>
      <c r="B5">
        <v>115</v>
      </c>
      <c r="C5">
        <v>58</v>
      </c>
    </row>
    <row r="6" spans="1:3" x14ac:dyDescent="0.25">
      <c r="A6">
        <f>SUBTOTAL(109,A2:A5)</f>
        <v>897</v>
      </c>
      <c r="B6">
        <f>SUBTOTAL(109,B2:B5)</f>
        <v>1041</v>
      </c>
      <c r="C6">
        <f>SUBTOTAL(109,C2:C5)</f>
        <v>436</v>
      </c>
    </row>
    <row r="7" spans="1:3" x14ac:dyDescent="0.25">
      <c r="A7">
        <f>Table16784141516[[#Totals],[Salvageable Metal Scraps (Copperfed)]]/Table16784141516[[#Totals],[Salvageable Metal Scraps (Copperfed)]]</f>
        <v>1</v>
      </c>
      <c r="B7">
        <f>Table16784141516[[#Totals],[Mithril Ore]]/Table16784141516[[#Totals],[Salvageable Metal Scraps (Copperfed)]]</f>
        <v>1.1605351170568561</v>
      </c>
      <c r="C7">
        <f>Table16784141516[[#Totals],[Platinum Ore]]/Table16784141516[[#Totals],[Salvageable Metal Scraps (Copperfed)]]</f>
        <v>0.48606465997770343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2860-57B6-4373-880B-086D8C6F9373}">
  <dimension ref="A1:C6"/>
  <sheetViews>
    <sheetView workbookViewId="0">
      <selection activeCell="B6" sqref="B6"/>
    </sheetView>
  </sheetViews>
  <sheetFormatPr defaultRowHeight="15" x14ac:dyDescent="0.25"/>
  <cols>
    <col min="1" max="1" width="77.28515625" customWidth="1"/>
    <col min="2" max="2" width="62.140625" customWidth="1"/>
    <col min="3" max="3" width="34.5703125" customWidth="1"/>
  </cols>
  <sheetData>
    <row r="1" spans="1:3" x14ac:dyDescent="0.25">
      <c r="A1" t="s">
        <v>24</v>
      </c>
      <c r="B1" t="s">
        <v>20</v>
      </c>
      <c r="C1" t="s">
        <v>21</v>
      </c>
    </row>
    <row r="2" spans="1:3" x14ac:dyDescent="0.25">
      <c r="A2">
        <v>1165</v>
      </c>
      <c r="B2">
        <v>1463</v>
      </c>
      <c r="C2">
        <v>113</v>
      </c>
    </row>
    <row r="3" spans="1:3" x14ac:dyDescent="0.25">
      <c r="A3">
        <v>3800</v>
      </c>
      <c r="B3">
        <v>4776</v>
      </c>
      <c r="C3">
        <v>367</v>
      </c>
    </row>
    <row r="4" spans="1:3" x14ac:dyDescent="0.25">
      <c r="A4">
        <v>1592</v>
      </c>
      <c r="B4">
        <v>2030</v>
      </c>
      <c r="C4">
        <v>148</v>
      </c>
    </row>
    <row r="5" spans="1:3" x14ac:dyDescent="0.25">
      <c r="A5">
        <f>SUBTOTAL(109,A2:A4)</f>
        <v>6557</v>
      </c>
      <c r="B5">
        <f>SUBTOTAL(109,B2:B4)</f>
        <v>8269</v>
      </c>
      <c r="C5">
        <f>SUBTOTAL(109,C2:C4)</f>
        <v>628</v>
      </c>
    </row>
    <row r="6" spans="1:3" x14ac:dyDescent="0.25">
      <c r="A6">
        <f>Table167849[[#Totals],[Hard Leather Straps (Silverfed)]]/Table167849[[#Totals],[Hard Leather Straps (Silverfed)]]</f>
        <v>1</v>
      </c>
      <c r="B6">
        <f>Table167849[[#Totals],[Thick Leather Sections]]/Table167849[[#Totals],[Hard Leather Straps (Silverfed)]]</f>
        <v>1.2610950129632454</v>
      </c>
      <c r="C6">
        <f>Table167849[[#Totals],[Hardened Leather Sections]]/Table167849[[#Totals],[Hard Leather Straps (Silverfed)]]</f>
        <v>9.5775507091657774E-2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8851-65C4-4571-BF3E-34CCB99B2EA2}">
  <dimension ref="A1:C4"/>
  <sheetViews>
    <sheetView workbookViewId="0">
      <selection activeCell="C3" sqref="C3"/>
    </sheetView>
  </sheetViews>
  <sheetFormatPr defaultRowHeight="15" x14ac:dyDescent="0.25"/>
  <cols>
    <col min="1" max="1" width="77.28515625" customWidth="1"/>
    <col min="2" max="2" width="62.140625" customWidth="1"/>
    <col min="3" max="3" width="34.5703125" customWidth="1"/>
  </cols>
  <sheetData>
    <row r="1" spans="1:3" x14ac:dyDescent="0.25">
      <c r="A1" t="s">
        <v>37</v>
      </c>
      <c r="B1" t="s">
        <v>20</v>
      </c>
      <c r="C1" t="s">
        <v>21</v>
      </c>
    </row>
    <row r="2" spans="1:3" x14ac:dyDescent="0.25">
      <c r="A2">
        <v>1256</v>
      </c>
      <c r="B2">
        <v>1683</v>
      </c>
      <c r="C2">
        <v>105</v>
      </c>
    </row>
    <row r="3" spans="1:3" x14ac:dyDescent="0.25">
      <c r="A3">
        <f>SUBTOTAL(109,A2:A2)</f>
        <v>1256</v>
      </c>
      <c r="B3">
        <f>SUBTOTAL(109,B2:B2)</f>
        <v>1683</v>
      </c>
      <c r="C3">
        <f>SUBTOTAL(109,C2:C2)</f>
        <v>105</v>
      </c>
    </row>
    <row r="4" spans="1:3" x14ac:dyDescent="0.25">
      <c r="A4">
        <f>Table16784910[[#Totals],[Hard Leather Straps (Copperfed)]]/Table16784910[[#Totals],[Hard Leather Straps (Copperfed)]]</f>
        <v>1</v>
      </c>
      <c r="B4">
        <f>Table16784910[[#Totals],[Thick Leather Sections]]/Table16784910[[#Totals],[Hard Leather Straps (Copperfed)]]</f>
        <v>1.3399681528662419</v>
      </c>
      <c r="C4">
        <f>Table16784910[[#Totals],[Hardened Leather Sections]]/Table16784910[[#Totals],[Hard Leather Straps (Copperfed)]]</f>
        <v>8.3598726114649677E-2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Valuable Metal Scrap (Copperfed</vt:lpstr>
      <vt:lpstr>Salvageable Intact Forged Scrap</vt:lpstr>
      <vt:lpstr>s</vt:lpstr>
      <vt:lpstr>Lump of Raw Ambrite (Copperfed)</vt:lpstr>
      <vt:lpstr>Glob of Ectoplasm (Silverfed)</vt:lpstr>
      <vt:lpstr>Reclaimed Wood Chunk (Copperfed</vt:lpstr>
      <vt:lpstr>Discarded Garments (Copperfed)</vt:lpstr>
      <vt:lpstr>Bloodstone-Warped Hides (Silver</vt:lpstr>
      <vt:lpstr>Unstable Metal Chunks (Copperfe</vt:lpstr>
      <vt:lpstr>Salvageable Fused Metal Scraps </vt:lpstr>
      <vt:lpstr>Salvageable Metal Scraps (Coppe</vt:lpstr>
      <vt:lpstr>Hard Leather Straps (Silverfed)</vt:lpstr>
      <vt:lpstr>Hard Leather Straps (Copperfed)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2019-09-23T16:57:58Z</dcterms:created>
  <dcterms:modified xsi:type="dcterms:W3CDTF">2019-10-14T19:02:05Z</dcterms:modified>
</cp:coreProperties>
</file>