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UDGETOF\Current Staff Temp Files\Kristine\Monte Carlo\Examples\"/>
    </mc:Choice>
  </mc:AlternateContent>
  <xr:revisionPtr revIDLastSave="0" documentId="13_ncr:1_{8BA0FBB0-C60B-463B-B63B-2DD2A03EF8C4}" xr6:coauthVersionLast="41" xr6:coauthVersionMax="45" xr10:uidLastSave="{00000000-0000-0000-0000-000000000000}"/>
  <bookViews>
    <workbookView xWindow="-120" yWindow="-120" windowWidth="21840" windowHeight="13140" tabRatio="682" activeTab="1" xr2:uid="{00000000-000D-0000-FFFF-FFFF00000000}"/>
  </bookViews>
  <sheets>
    <sheet name="New Analysis" sheetId="5" r:id="rId1"/>
    <sheet name="Monte_Carlo_Summary_Table" sheetId="1" r:id="rId2"/>
    <sheet name="Traditional Analysis" sheetId="3" r:id="rId3"/>
  </sheets>
  <definedNames>
    <definedName name="_xlnm.Print_Area" localSheetId="0">'New Analysis'!$B$2:$E$14,'New Analysis'!$F$16:$I$26,'New Analysis'!$J$29:$Q$40</definedName>
    <definedName name="_xlnm.Print_Area" localSheetId="2">'Traditional Analysis'!$B$2:$F$14,'Traditional Analysis'!$G$16:$J$26,'Traditional Analysis'!$K$29:$R$40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5" l="1"/>
  <c r="F5" i="5"/>
  <c r="G9" i="5"/>
  <c r="D5" i="5"/>
  <c r="G5" i="5"/>
  <c r="D7" i="5"/>
  <c r="D11" i="5"/>
  <c r="D4" i="5"/>
  <c r="F11" i="5"/>
  <c r="F4" i="5"/>
  <c r="D6" i="5" l="1"/>
  <c r="J40" i="5"/>
  <c r="Q39" i="5"/>
  <c r="M39" i="5"/>
  <c r="L39" i="5"/>
  <c r="Q38" i="5"/>
  <c r="N38" i="5"/>
  <c r="Q37" i="5"/>
  <c r="N37" i="5"/>
  <c r="Q36" i="5"/>
  <c r="N36" i="5"/>
  <c r="Q35" i="5"/>
  <c r="P35" i="5"/>
  <c r="O35" i="5"/>
  <c r="N35" i="5"/>
  <c r="Q34" i="5"/>
  <c r="P34" i="5"/>
  <c r="O34" i="5"/>
  <c r="N34" i="5"/>
  <c r="Q33" i="5"/>
  <c r="N33" i="5"/>
  <c r="Q32" i="5"/>
  <c r="P32" i="5"/>
  <c r="O32" i="5"/>
  <c r="N32" i="5"/>
  <c r="F26" i="5"/>
  <c r="I25" i="5"/>
  <c r="I24" i="5"/>
  <c r="I23" i="5"/>
  <c r="H23" i="5"/>
  <c r="M22" i="5"/>
  <c r="M25" i="5" s="1"/>
  <c r="K22" i="5"/>
  <c r="I22" i="5"/>
  <c r="K21" i="5"/>
  <c r="I21" i="5"/>
  <c r="K20" i="5"/>
  <c r="I20" i="5"/>
  <c r="K19" i="5"/>
  <c r="I19" i="5"/>
  <c r="K18" i="5"/>
  <c r="I18" i="5"/>
  <c r="B14" i="5"/>
  <c r="B13" i="5"/>
  <c r="E12" i="5"/>
  <c r="E10" i="5"/>
  <c r="E8" i="5"/>
  <c r="E6" i="5"/>
  <c r="L17" i="5" l="1"/>
  <c r="J22" i="5"/>
  <c r="J18" i="5"/>
  <c r="J21" i="5"/>
  <c r="J19" i="5"/>
  <c r="J20" i="5"/>
  <c r="L18" i="5"/>
  <c r="L22" i="5"/>
  <c r="L21" i="5"/>
  <c r="H24" i="5"/>
  <c r="N39" i="5"/>
  <c r="K23" i="5"/>
  <c r="L19" i="5"/>
  <c r="H25" i="5"/>
  <c r="D8" i="5"/>
  <c r="D10" i="5" s="1"/>
  <c r="D12" i="5" s="1"/>
  <c r="L20" i="5"/>
  <c r="L23" i="5" s="1"/>
  <c r="J23" i="5" l="1"/>
  <c r="K11" i="1" l="1"/>
  <c r="K5" i="1"/>
  <c r="F6" i="3"/>
  <c r="E6" i="3"/>
  <c r="D6" i="3"/>
  <c r="K40" i="3"/>
  <c r="R39" i="3"/>
  <c r="N39" i="3"/>
  <c r="M39" i="3"/>
  <c r="R38" i="3"/>
  <c r="O38" i="3"/>
  <c r="R37" i="3"/>
  <c r="O37" i="3"/>
  <c r="R36" i="3"/>
  <c r="O36" i="3"/>
  <c r="R35" i="3"/>
  <c r="Q35" i="3"/>
  <c r="P35" i="3"/>
  <c r="O35" i="3"/>
  <c r="R34" i="3"/>
  <c r="Q34" i="3"/>
  <c r="P34" i="3"/>
  <c r="O34" i="3"/>
  <c r="R33" i="3"/>
  <c r="O33" i="3"/>
  <c r="R32" i="3"/>
  <c r="Q32" i="3"/>
  <c r="P32" i="3"/>
  <c r="O32" i="3"/>
  <c r="G26" i="3"/>
  <c r="J25" i="3"/>
  <c r="J24" i="3"/>
  <c r="J23" i="3"/>
  <c r="I23" i="3"/>
  <c r="N22" i="3"/>
  <c r="N25" i="3" s="1"/>
  <c r="L22" i="3"/>
  <c r="J22" i="3"/>
  <c r="L21" i="3"/>
  <c r="J21" i="3"/>
  <c r="L20" i="3"/>
  <c r="J20" i="3"/>
  <c r="L19" i="3"/>
  <c r="J19" i="3"/>
  <c r="L18" i="3"/>
  <c r="J18" i="3"/>
  <c r="B14" i="3"/>
  <c r="B13" i="3"/>
  <c r="F12" i="3"/>
  <c r="F10" i="3"/>
  <c r="F8" i="3"/>
  <c r="F5" i="3"/>
  <c r="F4" i="3"/>
  <c r="I24" i="3" l="1"/>
  <c r="O39" i="3"/>
  <c r="L23" i="3"/>
  <c r="E8" i="3"/>
  <c r="E10" i="3" s="1"/>
  <c r="E12" i="3" s="1"/>
  <c r="K20" i="3"/>
  <c r="M22" i="3"/>
  <c r="M21" i="3"/>
  <c r="M20" i="3"/>
  <c r="M19" i="3"/>
  <c r="M18" i="3"/>
  <c r="M17" i="3"/>
  <c r="K22" i="3"/>
  <c r="K21" i="3"/>
  <c r="K19" i="3"/>
  <c r="K18" i="3"/>
  <c r="I25" i="3"/>
  <c r="D4" i="3"/>
  <c r="K23" i="3" l="1"/>
  <c r="D8" i="3"/>
  <c r="D10" i="3" s="1"/>
  <c r="D12" i="3" s="1"/>
  <c r="M23" i="3"/>
</calcChain>
</file>

<file path=xl/sharedStrings.xml><?xml version="1.0" encoding="utf-8"?>
<sst xmlns="http://schemas.openxmlformats.org/spreadsheetml/2006/main" count="204" uniqueCount="73">
  <si>
    <t>Undocumented Immigrants in CO below 133% FPL</t>
  </si>
  <si>
    <t>Uninsured Rate</t>
  </si>
  <si>
    <t>Tests Per Person</t>
  </si>
  <si>
    <t>Per Service Testing Cost</t>
  </si>
  <si>
    <t>Eligible Population</t>
  </si>
  <si>
    <t>Cost of Testing</t>
  </si>
  <si>
    <t>count</t>
  </si>
  <si>
    <t>mean</t>
  </si>
  <si>
    <t>std</t>
  </si>
  <si>
    <t>min</t>
  </si>
  <si>
    <t>max</t>
  </si>
  <si>
    <t>Table 2.1, Expanding Emergency Services to Include COVID Services for Non-Citizens</t>
  </si>
  <si>
    <t>Row</t>
  </si>
  <si>
    <t>Item</t>
  </si>
  <si>
    <t>Lower Estimate</t>
  </si>
  <si>
    <t>Upper Estimate</t>
  </si>
  <si>
    <t>Source</t>
  </si>
  <si>
    <t>A</t>
  </si>
  <si>
    <t>Estimated Number of Undocumented Immigrants Newly Eligible for COVID Services</t>
  </si>
  <si>
    <t>B</t>
  </si>
  <si>
    <t>C</t>
  </si>
  <si>
    <t>Newly Eligible for COVID Treatment Population</t>
  </si>
  <si>
    <t>D</t>
  </si>
  <si>
    <t>Estimated Utilization of Testing Services (Percent)</t>
  </si>
  <si>
    <t>Currently Testing 0.02% of the Population. Capacity Expected to Rise</t>
  </si>
  <si>
    <t>E</t>
  </si>
  <si>
    <t>Estimated Utilization of Testing Services (Distinct Clients)</t>
  </si>
  <si>
    <t>F</t>
  </si>
  <si>
    <t>Assumed Average</t>
  </si>
  <si>
    <t>G</t>
  </si>
  <si>
    <t>Estimated Utilization of Testing Services (Distinct Testing)</t>
  </si>
  <si>
    <t>H</t>
  </si>
  <si>
    <t>Medicare Administrative Contractor (MAC) COVID-19 Test Pricing March 12, 2020 (Average of two costs)</t>
  </si>
  <si>
    <t>I</t>
  </si>
  <si>
    <t>Estimated Cost of Testing</t>
  </si>
  <si>
    <t>2019 Colorado Pop</t>
  </si>
  <si>
    <t>Table 2.2, Colorado Undocumented Immigrants Eligible for COVID Treatments</t>
  </si>
  <si>
    <t>MPI plus yearly growth</t>
  </si>
  <si>
    <t>Pew</t>
  </si>
  <si>
    <t>Pew plus yearly growth</t>
  </si>
  <si>
    <t>Estimate</t>
  </si>
  <si>
    <t>Below 50% of the poverty level</t>
  </si>
  <si>
    <t>2016 Colorado Pop</t>
  </si>
  <si>
    <t>50-99% of the poverty level</t>
  </si>
  <si>
    <t>100-149% of the poverty level</t>
  </si>
  <si>
    <t>150-199% of the poverty level</t>
  </si>
  <si>
    <t>2016 to 2019 Colorado Pop Growth Rate</t>
  </si>
  <si>
    <t>At or above 200% of the poverty level</t>
  </si>
  <si>
    <t>Estimated Number of Undocumented Immigrants Under 133% FPL</t>
  </si>
  <si>
    <t>Estimated Uninsured Percent of Total Under 133% FPL</t>
  </si>
  <si>
    <t>Annual Growth Rate</t>
  </si>
  <si>
    <t>Table 2.3, Uninsured Rate by FPL (Total Colorado Population)</t>
  </si>
  <si>
    <t>% Uninsured</t>
  </si>
  <si>
    <t>% on Public Insurance</t>
  </si>
  <si>
    <t>% Uninsured or on Public Insurance</t>
  </si>
  <si>
    <t>Total Uninsured</t>
  </si>
  <si>
    <t>Total on Public Insurance</t>
  </si>
  <si>
    <t>201-300% of the poverty level</t>
  </si>
  <si>
    <t>301-400% of the poverty level</t>
  </si>
  <si>
    <t>At or above 400% of the poverty level</t>
  </si>
  <si>
    <t>-</t>
  </si>
  <si>
    <t>Potential Variation Reduction</t>
  </si>
  <si>
    <t>Utilization of Testing Services (% of Population)</t>
  </si>
  <si>
    <t>Testing Utilization (Distinct Clients)</t>
  </si>
  <si>
    <t>Testing Utilization (Distinct Tests)</t>
  </si>
  <si>
    <t xml:space="preserve">Cost of Testing Original Analysis </t>
  </si>
  <si>
    <t>Average of estimate from MPI and PEW</t>
  </si>
  <si>
    <t>Uninsured or publically insured rate for citizens below 133% FPL x 1.60 due to decreased access to insurnace</t>
  </si>
  <si>
    <t>Likely Estimate</t>
  </si>
  <si>
    <t>Add Convidence</t>
  </si>
  <si>
    <t>Assumed some people will need multiple tests in a year</t>
  </si>
  <si>
    <t>Currently Testing 0.02% of the Population. Capacity Expected to Rise. Worldwide high testing rate is 5.50%</t>
  </si>
  <si>
    <t>Most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</si>
</sst>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_(#,##0_);\(#,##0\)"/>
    <numFmt numFmtId="165" formatCode="_(#,##0.0_);\(#,##0.0\)"/>
    <numFmt numFmtId="166" formatCode="_(#,##0.00_);\(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</cellStyleXfs>
  <cellXfs count="156">
    <xf numFmtId="0" fontId="0" fillId="0" borderId="0" xfId="0"/>
    <xf numFmtId="3" fontId="0" fillId="0" borderId="0" xfId="0" applyNumberFormat="1"/>
    <xf numFmtId="9" fontId="0" fillId="0" borderId="0" xfId="0" applyNumberFormat="1"/>
    <xf numFmtId="6" fontId="0" fillId="0" borderId="0" xfId="0" applyNumberFormat="1"/>
    <xf numFmtId="10" fontId="0" fillId="0" borderId="0" xfId="0" applyNumberFormat="1"/>
    <xf numFmtId="9" fontId="14" fillId="0" borderId="0" xfId="0" applyNumberFormat="1" applyFont="1"/>
    <xf numFmtId="3" fontId="14" fillId="0" borderId="0" xfId="0" applyNumberFormat="1" applyFont="1"/>
    <xf numFmtId="0" fontId="14" fillId="0" borderId="0" xfId="0" applyFont="1"/>
    <xf numFmtId="6" fontId="14" fillId="0" borderId="0" xfId="0" applyNumberFormat="1" applyFont="1"/>
    <xf numFmtId="9" fontId="18" fillId="0" borderId="0" xfId="0" applyNumberFormat="1" applyFont="1"/>
    <xf numFmtId="3" fontId="18" fillId="0" borderId="0" xfId="0" applyNumberFormat="1" applyFont="1"/>
    <xf numFmtId="0" fontId="18" fillId="0" borderId="0" xfId="0" applyFont="1"/>
    <xf numFmtId="6" fontId="18" fillId="0" borderId="0" xfId="0" applyNumberFormat="1" applyFont="1"/>
    <xf numFmtId="9" fontId="19" fillId="0" borderId="0" xfId="0" applyNumberFormat="1" applyFont="1"/>
    <xf numFmtId="3" fontId="19" fillId="0" borderId="0" xfId="0" applyNumberFormat="1" applyFont="1"/>
    <xf numFmtId="0" fontId="19" fillId="0" borderId="0" xfId="0" applyFont="1"/>
    <xf numFmtId="6" fontId="19" fillId="0" borderId="0" xfId="0" applyNumberFormat="1" applyFont="1"/>
    <xf numFmtId="9" fontId="20" fillId="0" borderId="0" xfId="0" applyNumberFormat="1" applyFont="1"/>
    <xf numFmtId="3" fontId="20" fillId="0" borderId="0" xfId="0" applyNumberFormat="1" applyFont="1"/>
    <xf numFmtId="0" fontId="20" fillId="0" borderId="0" xfId="0" applyFont="1"/>
    <xf numFmtId="6" fontId="20" fillId="0" borderId="0" xfId="0" applyNumberFormat="1" applyFont="1"/>
    <xf numFmtId="9" fontId="21" fillId="0" borderId="0" xfId="0" applyNumberFormat="1" applyFont="1"/>
    <xf numFmtId="3" fontId="21" fillId="0" borderId="0" xfId="0" applyNumberFormat="1" applyFont="1"/>
    <xf numFmtId="0" fontId="21" fillId="0" borderId="0" xfId="0" applyFont="1"/>
    <xf numFmtId="6" fontId="21" fillId="0" borderId="0" xfId="0" applyNumberFormat="1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14" xfId="0" applyFont="1" applyBorder="1" applyAlignment="1">
      <alignment horizontal="center"/>
    </xf>
    <xf numFmtId="0" fontId="22" fillId="0" borderId="15" xfId="0" applyFont="1" applyBorder="1"/>
    <xf numFmtId="164" fontId="22" fillId="0" borderId="15" xfId="0" applyNumberFormat="1" applyFont="1" applyBorder="1"/>
    <xf numFmtId="0" fontId="22" fillId="0" borderId="16" xfId="0" applyFont="1" applyBorder="1"/>
    <xf numFmtId="0" fontId="22" fillId="0" borderId="17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21" xfId="0" applyFont="1" applyBorder="1" applyAlignment="1">
      <alignment horizontal="center"/>
    </xf>
    <xf numFmtId="0" fontId="22" fillId="0" borderId="22" xfId="0" applyFont="1" applyBorder="1"/>
    <xf numFmtId="164" fontId="22" fillId="0" borderId="22" xfId="0" applyNumberFormat="1" applyFont="1" applyBorder="1"/>
    <xf numFmtId="164" fontId="22" fillId="0" borderId="23" xfId="0" applyNumberFormat="1" applyFont="1" applyBorder="1"/>
    <xf numFmtId="0" fontId="22" fillId="0" borderId="24" xfId="0" applyFont="1" applyBorder="1"/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vertical="center"/>
    </xf>
    <xf numFmtId="0" fontId="22" fillId="0" borderId="28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29" xfId="0" applyFont="1" applyBorder="1" applyAlignment="1">
      <alignment horizontal="center"/>
    </xf>
    <xf numFmtId="0" fontId="22" fillId="0" borderId="30" xfId="0" applyFont="1" applyBorder="1"/>
    <xf numFmtId="164" fontId="22" fillId="0" borderId="30" xfId="0" applyNumberFormat="1" applyFont="1" applyBorder="1"/>
    <xf numFmtId="164" fontId="22" fillId="0" borderId="31" xfId="0" applyNumberFormat="1" applyFont="1" applyBorder="1"/>
    <xf numFmtId="0" fontId="22" fillId="0" borderId="32" xfId="0" applyFont="1" applyBorder="1"/>
    <xf numFmtId="0" fontId="22" fillId="0" borderId="29" xfId="0" applyFont="1" applyBorder="1" applyAlignment="1">
      <alignment horizontal="center" vertical="center"/>
    </xf>
    <xf numFmtId="165" fontId="22" fillId="0" borderId="30" xfId="0" applyNumberFormat="1" applyFont="1" applyBorder="1"/>
    <xf numFmtId="165" fontId="22" fillId="0" borderId="31" xfId="0" applyNumberFormat="1" applyFont="1" applyBorder="1"/>
    <xf numFmtId="0" fontId="22" fillId="0" borderId="18" xfId="0" applyFont="1" applyBorder="1" applyAlignment="1">
      <alignment vertical="center"/>
    </xf>
    <xf numFmtId="7" fontId="22" fillId="0" borderId="18" xfId="43" applyNumberFormat="1" applyFont="1" applyBorder="1" applyAlignment="1">
      <alignment vertical="center"/>
    </xf>
    <xf numFmtId="7" fontId="22" fillId="0" borderId="19" xfId="43" applyNumberFormat="1" applyFont="1" applyBorder="1" applyAlignment="1">
      <alignment vertical="center"/>
    </xf>
    <xf numFmtId="0" fontId="22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horizontal="center"/>
    </xf>
    <xf numFmtId="0" fontId="23" fillId="0" borderId="22" xfId="0" applyFont="1" applyBorder="1"/>
    <xf numFmtId="5" fontId="23" fillId="0" borderId="22" xfId="43" applyFont="1" applyBorder="1"/>
    <xf numFmtId="5" fontId="23" fillId="0" borderId="23" xfId="43" applyFont="1" applyBorder="1"/>
    <xf numFmtId="0" fontId="23" fillId="0" borderId="24" xfId="0" applyFont="1" applyBorder="1"/>
    <xf numFmtId="0" fontId="23" fillId="0" borderId="0" xfId="0" applyFont="1"/>
    <xf numFmtId="0" fontId="22" fillId="0" borderId="17" xfId="0" applyFont="1" applyBorder="1" applyAlignment="1">
      <alignment horizontal="center"/>
    </xf>
    <xf numFmtId="0" fontId="22" fillId="0" borderId="18" xfId="0" applyFont="1" applyBorder="1"/>
    <xf numFmtId="0" fontId="22" fillId="0" borderId="20" xfId="0" applyFont="1" applyBorder="1"/>
    <xf numFmtId="0" fontId="23" fillId="0" borderId="33" xfId="0" applyFont="1" applyBorder="1" applyAlignment="1">
      <alignment horizontal="center"/>
    </xf>
    <xf numFmtId="0" fontId="23" fillId="0" borderId="34" xfId="0" applyFont="1" applyBorder="1"/>
    <xf numFmtId="0" fontId="23" fillId="0" borderId="35" xfId="0" applyFont="1" applyBorder="1"/>
    <xf numFmtId="0" fontId="22" fillId="0" borderId="0" xfId="0" applyFont="1" applyAlignment="1">
      <alignment horizontal="left" wrapText="1"/>
    </xf>
    <xf numFmtId="3" fontId="22" fillId="0" borderId="0" xfId="0" applyNumberFormat="1" applyFont="1"/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164" fontId="22" fillId="0" borderId="0" xfId="0" applyNumberFormat="1" applyFont="1"/>
    <xf numFmtId="3" fontId="22" fillId="0" borderId="15" xfId="0" applyNumberFormat="1" applyFont="1" applyBorder="1"/>
    <xf numFmtId="3" fontId="22" fillId="0" borderId="30" xfId="0" applyNumberFormat="1" applyFont="1" applyBorder="1"/>
    <xf numFmtId="3" fontId="22" fillId="0" borderId="18" xfId="0" applyNumberFormat="1" applyFont="1" applyBorder="1"/>
    <xf numFmtId="10" fontId="22" fillId="0" borderId="0" xfId="42" applyNumberFormat="1" applyFont="1"/>
    <xf numFmtId="0" fontId="22" fillId="0" borderId="25" xfId="0" applyFont="1" applyBorder="1" applyAlignment="1">
      <alignment horizontal="center"/>
    </xf>
    <xf numFmtId="0" fontId="22" fillId="0" borderId="26" xfId="0" applyFont="1" applyBorder="1"/>
    <xf numFmtId="164" fontId="22" fillId="0" borderId="26" xfId="0" applyNumberFormat="1" applyFont="1" applyBorder="1"/>
    <xf numFmtId="0" fontId="22" fillId="0" borderId="28" xfId="0" applyFont="1" applyBorder="1"/>
    <xf numFmtId="10" fontId="22" fillId="0" borderId="18" xfId="0" applyNumberFormat="1" applyFont="1" applyBorder="1"/>
    <xf numFmtId="164" fontId="23" fillId="0" borderId="34" xfId="0" applyNumberFormat="1" applyFont="1" applyBorder="1"/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10" fontId="22" fillId="0" borderId="15" xfId="42" applyNumberFormat="1" applyFont="1" applyBorder="1"/>
    <xf numFmtId="10" fontId="22" fillId="0" borderId="30" xfId="42" applyNumberFormat="1" applyFont="1" applyBorder="1"/>
    <xf numFmtId="0" fontId="22" fillId="0" borderId="37" xfId="0" applyFont="1" applyBorder="1" applyAlignment="1">
      <alignment horizontal="center"/>
    </xf>
    <xf numFmtId="0" fontId="22" fillId="0" borderId="38" xfId="0" applyFont="1" applyBorder="1"/>
    <xf numFmtId="10" fontId="22" fillId="0" borderId="38" xfId="42" applyNumberFormat="1" applyFont="1" applyBorder="1"/>
    <xf numFmtId="164" fontId="22" fillId="0" borderId="38" xfId="0" applyNumberFormat="1" applyFont="1" applyBorder="1"/>
    <xf numFmtId="0" fontId="22" fillId="0" borderId="39" xfId="0" applyFont="1" applyBorder="1"/>
    <xf numFmtId="0" fontId="22" fillId="0" borderId="21" xfId="0" applyFont="1" applyBorder="1"/>
    <xf numFmtId="10" fontId="22" fillId="0" borderId="22" xfId="42" applyNumberFormat="1" applyFont="1" applyBorder="1"/>
    <xf numFmtId="0" fontId="22" fillId="0" borderId="25" xfId="0" applyFont="1" applyBorder="1"/>
    <xf numFmtId="10" fontId="22" fillId="0" borderId="26" xfId="42" applyNumberFormat="1" applyFont="1" applyBorder="1"/>
    <xf numFmtId="0" fontId="22" fillId="0" borderId="29" xfId="0" applyFont="1" applyBorder="1"/>
    <xf numFmtId="0" fontId="22" fillId="0" borderId="17" xfId="0" applyFont="1" applyBorder="1"/>
    <xf numFmtId="10" fontId="22" fillId="0" borderId="18" xfId="42" applyNumberFormat="1" applyFont="1" applyBorder="1"/>
    <xf numFmtId="9" fontId="22" fillId="0" borderId="26" xfId="42" applyFont="1" applyBorder="1"/>
    <xf numFmtId="0" fontId="22" fillId="0" borderId="15" xfId="0" applyFont="1" applyBorder="1" applyAlignment="1">
      <alignment horizontal="left" vertical="center"/>
    </xf>
    <xf numFmtId="164" fontId="22" fillId="0" borderId="15" xfId="0" applyNumberFormat="1" applyFont="1" applyBorder="1" applyAlignment="1">
      <alignment horizontal="right" vertical="center" wrapText="1"/>
    </xf>
    <xf numFmtId="164" fontId="22" fillId="0" borderId="15" xfId="43" applyNumberFormat="1" applyFont="1" applyBorder="1" applyAlignment="1">
      <alignment horizontal="right" vertical="center" wrapText="1"/>
    </xf>
    <xf numFmtId="0" fontId="22" fillId="0" borderId="16" xfId="0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9" fontId="22" fillId="0" borderId="18" xfId="42" applyFont="1" applyBorder="1" applyAlignment="1">
      <alignment horizontal="right" vertical="center" wrapText="1"/>
    </xf>
    <xf numFmtId="0" fontId="22" fillId="0" borderId="20" xfId="0" applyFont="1" applyBorder="1" applyAlignment="1">
      <alignment horizontal="left" vertical="center"/>
    </xf>
    <xf numFmtId="10" fontId="22" fillId="0" borderId="26" xfId="42" applyNumberFormat="1" applyFont="1" applyFill="1" applyBorder="1" applyAlignment="1">
      <alignment vertical="center"/>
    </xf>
    <xf numFmtId="10" fontId="22" fillId="0" borderId="27" xfId="42" applyNumberFormat="1" applyFont="1" applyFill="1" applyBorder="1" applyAlignment="1">
      <alignment vertical="center"/>
    </xf>
    <xf numFmtId="7" fontId="22" fillId="0" borderId="0" xfId="0" applyNumberFormat="1" applyFont="1"/>
    <xf numFmtId="0" fontId="22" fillId="0" borderId="14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3" fontId="16" fillId="0" borderId="0" xfId="0" applyNumberFormat="1" applyFont="1"/>
    <xf numFmtId="6" fontId="16" fillId="0" borderId="0" xfId="0" applyNumberFormat="1" applyFont="1"/>
    <xf numFmtId="6" fontId="24" fillId="0" borderId="0" xfId="0" applyNumberFormat="1" applyFont="1"/>
    <xf numFmtId="6" fontId="25" fillId="0" borderId="0" xfId="0" applyNumberFormat="1" applyFont="1"/>
    <xf numFmtId="6" fontId="26" fillId="0" borderId="0" xfId="0" applyNumberFormat="1" applyFont="1"/>
    <xf numFmtId="6" fontId="27" fillId="0" borderId="0" xfId="0" applyNumberFormat="1" applyFont="1"/>
    <xf numFmtId="6" fontId="28" fillId="0" borderId="0" xfId="0" applyNumberFormat="1" applyFont="1"/>
    <xf numFmtId="0" fontId="16" fillId="0" borderId="0" xfId="0" applyFont="1"/>
    <xf numFmtId="5" fontId="16" fillId="0" borderId="0" xfId="0" applyNumberFormat="1" applyFont="1"/>
    <xf numFmtId="0" fontId="22" fillId="0" borderId="20" xfId="0" applyFont="1" applyBorder="1" applyAlignment="1">
      <alignment horizontal="left" vertical="center" wrapText="1"/>
    </xf>
    <xf numFmtId="166" fontId="22" fillId="0" borderId="30" xfId="0" applyNumberFormat="1" applyFont="1" applyBorder="1"/>
    <xf numFmtId="0" fontId="22" fillId="0" borderId="37" xfId="0" applyFont="1" applyBorder="1" applyAlignment="1">
      <alignment horizontal="left" wrapText="1"/>
    </xf>
    <xf numFmtId="0" fontId="22" fillId="0" borderId="38" xfId="0" applyFont="1" applyBorder="1" applyAlignment="1">
      <alignment horizontal="left" wrapText="1"/>
    </xf>
    <xf numFmtId="0" fontId="22" fillId="0" borderId="39" xfId="0" applyFont="1" applyBorder="1" applyAlignment="1">
      <alignment horizontal="left" wrapText="1"/>
    </xf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2" fillId="0" borderId="25" xfId="0" applyFont="1" applyBorder="1" applyAlignment="1">
      <alignment horizontal="left" wrapText="1"/>
    </xf>
    <xf numFmtId="0" fontId="22" fillId="0" borderId="26" xfId="0" applyFont="1" applyBorder="1" applyAlignment="1">
      <alignment horizontal="left" wrapText="1"/>
    </xf>
    <xf numFmtId="0" fontId="22" fillId="0" borderId="28" xfId="0" applyFont="1" applyBorder="1" applyAlignment="1">
      <alignment horizontal="left" wrapText="1"/>
    </xf>
    <xf numFmtId="0" fontId="22" fillId="0" borderId="33" xfId="0" applyFont="1" applyBorder="1" applyAlignment="1">
      <alignment horizontal="left" wrapText="1"/>
    </xf>
    <xf numFmtId="0" fontId="22" fillId="0" borderId="34" xfId="0" applyFont="1" applyBorder="1" applyAlignment="1">
      <alignment horizontal="left" wrapText="1"/>
    </xf>
    <xf numFmtId="0" fontId="22" fillId="0" borderId="35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3" fillId="0" borderId="12" xfId="0" applyFont="1" applyBorder="1" applyAlignment="1">
      <alignment horizontal="center"/>
    </xf>
    <xf numFmtId="0" fontId="22" fillId="0" borderId="27" xfId="0" applyFont="1" applyBorder="1" applyAlignment="1">
      <alignment horizontal="left" wrapText="1"/>
    </xf>
    <xf numFmtId="0" fontId="22" fillId="0" borderId="36" xfId="0" applyFont="1" applyBorder="1" applyAlignment="1">
      <alignment horizontal="left" wrapText="1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9" fontId="23" fillId="0" borderId="0" xfId="42" applyFont="1" applyAlignment="1">
      <alignment horizontal="center" vertical="center"/>
    </xf>
    <xf numFmtId="10" fontId="22" fillId="0" borderId="0" xfId="42" applyNumberFormat="1" applyFont="1" applyAlignment="1">
      <alignment horizontal="center" vertical="center" wrapText="1"/>
    </xf>
    <xf numFmtId="10" fontId="22" fillId="0" borderId="0" xfId="42" applyNumberFormat="1" applyFont="1" applyAlignment="1">
      <alignment horizontal="center" vertical="center"/>
    </xf>
    <xf numFmtId="7" fontId="22" fillId="0" borderId="0" xfId="44" applyNumberFormat="1" applyFont="1" applyAlignment="1">
      <alignment horizontal="center" vertical="center" wrapText="1"/>
    </xf>
    <xf numFmtId="7" fontId="22" fillId="0" borderId="0" xfId="44" applyNumberFormat="1" applyFont="1" applyAlignment="1">
      <alignment horizontal="center" vertical="center"/>
    </xf>
    <xf numFmtId="7" fontId="0" fillId="0" borderId="0" xfId="0" applyNumberFormat="1"/>
    <xf numFmtId="0" fontId="23" fillId="0" borderId="0" xfId="0" applyFont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4" builtinId="4" customBuiltin="1"/>
    <cellStyle name="Currency 2" xfId="43" xr:uid="{0A3FC6BC-70F9-4AEC-A709-44630DEF0883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510540</xdr:colOff>
      <xdr:row>26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5A569A-87B8-40C9-AB87-BF9E6EF7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756660" cy="2689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792480</xdr:colOff>
      <xdr:row>23</xdr:row>
      <xdr:rowOff>7620</xdr:rowOff>
    </xdr:from>
    <xdr:to>
      <xdr:col>2</xdr:col>
      <xdr:colOff>752476</xdr:colOff>
      <xdr:row>24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1F0807-1CF7-4BBC-B9EB-B15404B6A2C1}"/>
            </a:ext>
          </a:extLst>
        </xdr:cNvPr>
        <xdr:cNvSpPr txBox="1"/>
      </xdr:nvSpPr>
      <xdr:spPr>
        <a:xfrm>
          <a:off x="792480" y="4960620"/>
          <a:ext cx="2055496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5%        </a:t>
          </a:r>
          <a:r>
            <a:rPr lang="en-US" sz="1100">
              <a:solidFill>
                <a:schemeClr val="accent2"/>
              </a:solidFill>
            </a:rPr>
            <a:t>25%</a:t>
          </a:r>
          <a:r>
            <a:rPr lang="en-US" sz="1100"/>
            <a:t>    </a:t>
          </a:r>
          <a:r>
            <a:rPr lang="en-US" sz="1100">
              <a:solidFill>
                <a:schemeClr val="accent4"/>
              </a:solidFill>
            </a:rPr>
            <a:t>50%</a:t>
          </a:r>
          <a:r>
            <a:rPr lang="en-US" sz="1100"/>
            <a:t>   </a:t>
          </a:r>
          <a:r>
            <a:rPr lang="en-US" sz="1100">
              <a:solidFill>
                <a:schemeClr val="accent5"/>
              </a:solidFill>
            </a:rPr>
            <a:t>75%</a:t>
          </a:r>
          <a:r>
            <a:rPr lang="en-US" sz="1100"/>
            <a:t>      </a:t>
          </a:r>
          <a:r>
            <a:rPr lang="en-US" sz="1100">
              <a:solidFill>
                <a:schemeClr val="accent6"/>
              </a:solidFill>
            </a:rPr>
            <a:t>95%</a:t>
          </a:r>
        </a:p>
      </xdr:txBody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8</xdr:col>
      <xdr:colOff>807720</xdr:colOff>
      <xdr:row>37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A5A86B-A2E7-4A21-83B9-DC0B5DDE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5669280"/>
          <a:ext cx="621792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FBD4-4E1E-42B8-8FAE-2428EDC92A36}">
  <sheetPr>
    <pageSetUpPr fitToPage="1"/>
  </sheetPr>
  <dimension ref="A1:Q41"/>
  <sheetViews>
    <sheetView view="pageBreakPreview" zoomScale="70" zoomScaleNormal="70" zoomScaleSheetLayoutView="70" workbookViewId="0">
      <selection activeCell="G10" sqref="G10"/>
    </sheetView>
  </sheetViews>
  <sheetFormatPr defaultRowHeight="15" x14ac:dyDescent="0.25"/>
  <cols>
    <col min="2" max="2" width="5.140625" bestFit="1" customWidth="1"/>
    <col min="3" max="3" width="84.28515625" bestFit="1" customWidth="1"/>
    <col min="4" max="4" width="14.28515625" bestFit="1" customWidth="1"/>
    <col min="5" max="5" width="55.28515625" bestFit="1" customWidth="1"/>
    <col min="6" max="6" width="9.7109375" bestFit="1" customWidth="1"/>
    <col min="7" max="7" width="94.140625" bestFit="1" customWidth="1"/>
    <col min="8" max="8" width="9.7109375" bestFit="1" customWidth="1"/>
    <col min="9" max="9" width="51" bestFit="1" customWidth="1"/>
    <col min="10" max="10" width="11.140625" bestFit="1" customWidth="1"/>
    <col min="11" max="11" width="36.140625" bestFit="1" customWidth="1"/>
    <col min="12" max="16" width="11.28515625" customWidth="1"/>
    <col min="17" max="17" width="45.140625" bestFit="1" customWidth="1"/>
  </cols>
  <sheetData>
    <row r="1" spans="1:17" ht="16.5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6.5" thickBot="1" x14ac:dyDescent="0.3">
      <c r="A2" s="26"/>
      <c r="B2" s="133" t="s">
        <v>11</v>
      </c>
      <c r="C2" s="134"/>
      <c r="D2" s="134"/>
      <c r="E2" s="135"/>
      <c r="H2" s="27"/>
      <c r="I2" s="26"/>
      <c r="J2" s="26"/>
      <c r="K2" s="26"/>
      <c r="L2" s="26"/>
      <c r="M2" s="26"/>
      <c r="N2" s="26"/>
      <c r="O2" s="26"/>
      <c r="P2" s="26"/>
      <c r="Q2" s="26"/>
    </row>
    <row r="3" spans="1:17" s="27" customFormat="1" ht="32.25" thickBot="1" x14ac:dyDescent="0.3">
      <c r="B3" s="28" t="s">
        <v>12</v>
      </c>
      <c r="C3" s="29" t="s">
        <v>13</v>
      </c>
      <c r="D3" s="30" t="s">
        <v>68</v>
      </c>
      <c r="E3" s="32" t="s">
        <v>16</v>
      </c>
      <c r="F3" s="155" t="s">
        <v>72</v>
      </c>
      <c r="G3" s="147" t="s">
        <v>69</v>
      </c>
      <c r="H3" s="33"/>
    </row>
    <row r="4" spans="1:17" s="27" customFormat="1" ht="15.75" x14ac:dyDescent="0.25">
      <c r="B4" s="117" t="s">
        <v>17</v>
      </c>
      <c r="C4" s="107" t="s">
        <v>0</v>
      </c>
      <c r="D4" s="108">
        <f>F4</f>
        <v>68541</v>
      </c>
      <c r="E4" s="110" t="s">
        <v>66</v>
      </c>
      <c r="F4" s="148">
        <f>AVERAGE(61184,75898)</f>
        <v>68541</v>
      </c>
      <c r="G4" s="148"/>
      <c r="H4" s="33"/>
    </row>
    <row r="5" spans="1:17" s="27" customFormat="1" ht="32.25" thickBot="1" x14ac:dyDescent="0.3">
      <c r="B5" s="38" t="s">
        <v>19</v>
      </c>
      <c r="C5" s="111" t="s">
        <v>1</v>
      </c>
      <c r="D5" s="112">
        <f>G5</f>
        <v>0.89600000000000013</v>
      </c>
      <c r="E5" s="128" t="s">
        <v>67</v>
      </c>
      <c r="F5" s="149">
        <f>0.56*1.27</f>
        <v>0.71120000000000005</v>
      </c>
      <c r="G5" s="149">
        <f>0.56*1.6</f>
        <v>0.89600000000000013</v>
      </c>
      <c r="H5" s="33"/>
    </row>
    <row r="6" spans="1:17" s="26" customFormat="1" ht="17.25" thickTop="1" thickBot="1" x14ac:dyDescent="0.3">
      <c r="B6" s="40" t="s">
        <v>20</v>
      </c>
      <c r="C6" s="41" t="s">
        <v>21</v>
      </c>
      <c r="D6" s="42">
        <f>D4*D5</f>
        <v>61412.736000000012</v>
      </c>
      <c r="E6" s="44" t="str">
        <f>"Row "&amp;B4&amp;" x Row "&amp;B5</f>
        <v>Row A x Row B</v>
      </c>
      <c r="F6" s="146"/>
      <c r="G6" s="146"/>
    </row>
    <row r="7" spans="1:17" s="39" customFormat="1" ht="32.25" thickTop="1" x14ac:dyDescent="0.25">
      <c r="B7" s="45" t="s">
        <v>22</v>
      </c>
      <c r="C7" s="46" t="s">
        <v>23</v>
      </c>
      <c r="D7" s="114">
        <f>F7</f>
        <v>5.5E-2</v>
      </c>
      <c r="E7" s="47" t="s">
        <v>71</v>
      </c>
      <c r="F7" s="150">
        <v>5.5E-2</v>
      </c>
      <c r="G7" s="151"/>
      <c r="H7" s="48"/>
    </row>
    <row r="8" spans="1:17" s="26" customFormat="1" ht="15.75" x14ac:dyDescent="0.25">
      <c r="B8" s="49" t="s">
        <v>25</v>
      </c>
      <c r="C8" s="50" t="s">
        <v>26</v>
      </c>
      <c r="D8" s="51">
        <f>ROUND(D6*D7,0)</f>
        <v>3378</v>
      </c>
      <c r="E8" s="53" t="str">
        <f>"Row "&amp;$B$6&amp;" x Row "&amp;B7</f>
        <v>Row C x Row D</v>
      </c>
      <c r="F8" s="146"/>
      <c r="G8" s="146"/>
    </row>
    <row r="9" spans="1:17" s="26" customFormat="1" ht="15.75" x14ac:dyDescent="0.25">
      <c r="B9" s="54" t="s">
        <v>27</v>
      </c>
      <c r="C9" s="50" t="s">
        <v>2</v>
      </c>
      <c r="D9" s="129">
        <f>G9</f>
        <v>1.1499999999999999</v>
      </c>
      <c r="E9" s="53" t="s">
        <v>70</v>
      </c>
      <c r="F9" s="146">
        <v>1</v>
      </c>
      <c r="G9" s="146">
        <f>Monte_Carlo_Summary_Table!E8</f>
        <v>1.1499999999999999</v>
      </c>
    </row>
    <row r="10" spans="1:17" s="26" customFormat="1" ht="15.75" x14ac:dyDescent="0.25">
      <c r="B10" s="49" t="s">
        <v>29</v>
      </c>
      <c r="C10" s="50" t="s">
        <v>30</v>
      </c>
      <c r="D10" s="51">
        <f>ROUND(D8*D9,0)</f>
        <v>3885</v>
      </c>
      <c r="E10" s="53" t="str">
        <f>"Row "&amp;B8&amp;" x Row "&amp;B9</f>
        <v>Row E x Row F</v>
      </c>
      <c r="F10" s="146"/>
      <c r="G10" s="146"/>
    </row>
    <row r="11" spans="1:17" s="26" customFormat="1" ht="32.25" thickBot="1" x14ac:dyDescent="0.3">
      <c r="B11" s="38" t="s">
        <v>31</v>
      </c>
      <c r="C11" s="57" t="s">
        <v>3</v>
      </c>
      <c r="D11" s="58">
        <f>F11</f>
        <v>43.5</v>
      </c>
      <c r="E11" s="60" t="s">
        <v>32</v>
      </c>
      <c r="F11" s="152">
        <f>AVERAGE(36,51)</f>
        <v>43.5</v>
      </c>
      <c r="G11" s="153"/>
      <c r="H11" s="48"/>
    </row>
    <row r="12" spans="1:17" s="26" customFormat="1" ht="17.25" thickTop="1" thickBot="1" x14ac:dyDescent="0.3">
      <c r="B12" s="61" t="s">
        <v>33</v>
      </c>
      <c r="C12" s="62" t="s">
        <v>34</v>
      </c>
      <c r="D12" s="63">
        <f>ROUND(D10*D11,0)</f>
        <v>168998</v>
      </c>
      <c r="E12" s="65" t="str">
        <f>"Row "&amp;B10&amp;" x Row "&amp;B11</f>
        <v>Row G x Row H</v>
      </c>
      <c r="F12" s="66"/>
      <c r="G12" s="66"/>
      <c r="H12" s="66"/>
    </row>
    <row r="13" spans="1:17" s="26" customFormat="1" ht="30" customHeight="1" thickTop="1" x14ac:dyDescent="0.25">
      <c r="B13" s="136" t="str">
        <f>CHAR(185)&amp;"Colorado Health Access Surevy: Colorado’s Eligible but Not Enrolled Population Holding Steady, Adult EBNE Data Tables"&amp;CHAR(10)&amp;"https://www.coloradohealthinstitute.org/research/colorados-eligible-not-enrolled-population-holding-steady"</f>
        <v>¹Colorado Health Access Surevy: Colorado’s Eligible but Not Enrolled Population Holding Steady, Adult EBNE Data Tables
https://www.coloradohealthinstitute.org/research/colorados-eligible-not-enrolled-population-holding-steady</v>
      </c>
      <c r="C13" s="137"/>
      <c r="D13" s="137"/>
      <c r="E13" s="138"/>
      <c r="F13" s="73"/>
      <c r="G13" s="73"/>
      <c r="H13" s="73"/>
    </row>
    <row r="14" spans="1:17" s="26" customFormat="1" ht="30.95" customHeight="1" thickBot="1" x14ac:dyDescent="0.3">
      <c r="B14" s="139" t="str">
        <f>CHAR(178)&amp;"PubMed Central, Influenza Update, Aug 2011"&amp;CHAR(10)&amp;"https://www.ncbi.nlm.nih.gov/pmc/articles/PMC3278149/"</f>
        <v>²PubMed Central, Influenza Update, Aug 2011
https://www.ncbi.nlm.nih.gov/pmc/articles/PMC3278149/</v>
      </c>
      <c r="C14" s="140"/>
      <c r="D14" s="140"/>
      <c r="E14" s="141"/>
      <c r="F14" s="73"/>
      <c r="G14" s="73"/>
      <c r="H14" s="73"/>
    </row>
    <row r="15" spans="1:17" s="26" customFormat="1" ht="16.5" thickBot="1" x14ac:dyDescent="0.3">
      <c r="M15" s="26" t="s">
        <v>35</v>
      </c>
    </row>
    <row r="16" spans="1:17" s="26" customFormat="1" ht="16.5" thickBot="1" x14ac:dyDescent="0.3">
      <c r="F16" s="133" t="s">
        <v>36</v>
      </c>
      <c r="G16" s="134"/>
      <c r="H16" s="134"/>
      <c r="I16" s="135"/>
      <c r="J16" s="26" t="s">
        <v>37</v>
      </c>
      <c r="K16" s="26" t="s">
        <v>38</v>
      </c>
      <c r="L16" s="26" t="s">
        <v>39</v>
      </c>
      <c r="M16" s="74">
        <v>5758736</v>
      </c>
    </row>
    <row r="17" spans="6:17" s="26" customFormat="1" ht="16.5" thickBot="1" x14ac:dyDescent="0.3">
      <c r="F17" s="75" t="s">
        <v>12</v>
      </c>
      <c r="G17" s="76" t="s">
        <v>13</v>
      </c>
      <c r="H17" s="76" t="s">
        <v>40</v>
      </c>
      <c r="I17" s="77" t="s">
        <v>16</v>
      </c>
      <c r="K17" s="74">
        <v>190000</v>
      </c>
      <c r="L17" s="78">
        <f t="shared" ref="L17:L22" si="0">K17*(1+($M$25*4))</f>
        <v>199959.59501164072</v>
      </c>
    </row>
    <row r="18" spans="6:17" s="26" customFormat="1" ht="15.75" x14ac:dyDescent="0.25">
      <c r="F18" s="34" t="s">
        <v>17</v>
      </c>
      <c r="G18" s="35" t="s">
        <v>41</v>
      </c>
      <c r="H18" s="79">
        <v>15000</v>
      </c>
      <c r="I18" s="37" t="str">
        <f>"MPI"&amp;CHAR(185)</f>
        <v>MPI¹</v>
      </c>
      <c r="J18" s="26">
        <f>H18*(1+($M$25*4))</f>
        <v>15786.283816708479</v>
      </c>
      <c r="K18" s="78">
        <f>H18/SUM($H$18:$H$22)*$K$17</f>
        <v>17701.863354037265</v>
      </c>
      <c r="L18" s="78">
        <f t="shared" si="0"/>
        <v>18629.775932761557</v>
      </c>
      <c r="M18" s="26" t="s">
        <v>42</v>
      </c>
    </row>
    <row r="19" spans="6:17" s="26" customFormat="1" ht="15.75" x14ac:dyDescent="0.25">
      <c r="F19" s="49" t="s">
        <v>19</v>
      </c>
      <c r="G19" s="50" t="s">
        <v>43</v>
      </c>
      <c r="H19" s="80">
        <v>28000</v>
      </c>
      <c r="I19" s="53" t="str">
        <f t="shared" ref="I19:I22" si="1">"MPI"&amp;CHAR(185)</f>
        <v>MPI¹</v>
      </c>
      <c r="J19" s="26">
        <f>H19*(1+($M$25*4))</f>
        <v>29467.729791189158</v>
      </c>
      <c r="K19" s="78">
        <f>H19/SUM($H$18:$H$22)*$K$17</f>
        <v>33043.478260869568</v>
      </c>
      <c r="L19" s="78">
        <f t="shared" si="0"/>
        <v>34775.581741154914</v>
      </c>
      <c r="M19" s="74">
        <v>5540900</v>
      </c>
    </row>
    <row r="20" spans="6:17" s="26" customFormat="1" ht="15.75" x14ac:dyDescent="0.25">
      <c r="F20" s="49" t="s">
        <v>20</v>
      </c>
      <c r="G20" s="50" t="s">
        <v>44</v>
      </c>
      <c r="H20" s="80">
        <v>27000</v>
      </c>
      <c r="I20" s="53" t="str">
        <f t="shared" si="1"/>
        <v>MPI¹</v>
      </c>
      <c r="J20" s="26">
        <f>H20*(1+($M$25*4))</f>
        <v>28415.31087007526</v>
      </c>
      <c r="K20" s="78">
        <f>H20/SUM($H$18:$H$22)*$K$17</f>
        <v>31863.354037267083</v>
      </c>
      <c r="L20" s="78">
        <f t="shared" si="0"/>
        <v>33533.596678970811</v>
      </c>
    </row>
    <row r="21" spans="6:17" s="26" customFormat="1" ht="15.75" x14ac:dyDescent="0.25">
      <c r="F21" s="49" t="s">
        <v>22</v>
      </c>
      <c r="G21" s="50" t="s">
        <v>45</v>
      </c>
      <c r="H21" s="80">
        <v>27000</v>
      </c>
      <c r="I21" s="53" t="str">
        <f t="shared" si="1"/>
        <v>MPI¹</v>
      </c>
      <c r="J21" s="26">
        <f>H21*(1+($M$25*4))</f>
        <v>28415.31087007526</v>
      </c>
      <c r="K21" s="78">
        <f>H21/SUM($H$18:$H$22)*$K$17</f>
        <v>31863.354037267083</v>
      </c>
      <c r="L21" s="78">
        <f t="shared" si="0"/>
        <v>33533.596678970811</v>
      </c>
      <c r="M21" s="26" t="s">
        <v>46</v>
      </c>
    </row>
    <row r="22" spans="6:17" s="26" customFormat="1" ht="16.5" thickBot="1" x14ac:dyDescent="0.3">
      <c r="F22" s="67" t="s">
        <v>25</v>
      </c>
      <c r="G22" s="68" t="s">
        <v>47</v>
      </c>
      <c r="H22" s="81">
        <v>64000</v>
      </c>
      <c r="I22" s="69" t="str">
        <f t="shared" si="1"/>
        <v>MPI¹</v>
      </c>
      <c r="J22" s="26">
        <f>H22*(1+($M$25*4))</f>
        <v>67354.810951289503</v>
      </c>
      <c r="K22" s="78">
        <f>H22/SUM($H$18:$H$22)*$K$17</f>
        <v>75527.950310558997</v>
      </c>
      <c r="L22" s="78">
        <f t="shared" si="0"/>
        <v>79487.04397978264</v>
      </c>
      <c r="M22" s="82">
        <f>(M16-M19)/M19</f>
        <v>3.9314190835423847E-2</v>
      </c>
    </row>
    <row r="23" spans="6:17" s="26" customFormat="1" ht="16.5" thickTop="1" x14ac:dyDescent="0.25">
      <c r="F23" s="83" t="s">
        <v>27</v>
      </c>
      <c r="G23" s="84" t="s">
        <v>48</v>
      </c>
      <c r="H23" s="85">
        <f>ROUND(SUM(H18:H19)+(H20*33/49),0)</f>
        <v>61184</v>
      </c>
      <c r="I23" s="86" t="str">
        <f>"Row "&amp;F18&amp;" + Row "&amp;F19&amp;" + (Row "&amp;F20&amp;" x 33/49)"</f>
        <v>Row A + Row B + (Row C x 33/49)</v>
      </c>
      <c r="J23" s="78">
        <f>ROUND(SUM(J18:J19)+(J20*33/49),0)</f>
        <v>64391</v>
      </c>
      <c r="K23" s="78">
        <f>ROUND(SUM(K18:K19)+(K20*33/49),0)</f>
        <v>72204</v>
      </c>
      <c r="L23" s="78">
        <f>ROUND(SUM(L18:L19)+(L20*33/49),0)</f>
        <v>75989</v>
      </c>
    </row>
    <row r="24" spans="6:17" s="26" customFormat="1" ht="16.5" thickBot="1" x14ac:dyDescent="0.3">
      <c r="F24" s="67" t="s">
        <v>29</v>
      </c>
      <c r="G24" s="68" t="s">
        <v>49</v>
      </c>
      <c r="H24" s="87">
        <f>(N32*SUM(O32:P32)/SUM(O32:P34))+(N33*SUM(O33:P33)/SUM(O32:P34))+(N34*SUM(O34:P34)/SUM(O32:P34))</f>
        <v>0.70930149949280907</v>
      </c>
      <c r="I24" s="69" t="str">
        <f>LEFT(J29,9)&amp;" Column "&amp;N30&amp;" Weighted Average Rows "&amp;J32&amp;" - "&amp;J34</f>
        <v>Table 2.3 Column E Weighted Average Rows A - C</v>
      </c>
      <c r="M24" s="26" t="s">
        <v>50</v>
      </c>
    </row>
    <row r="25" spans="6:17" s="26" customFormat="1" ht="17.25" thickTop="1" thickBot="1" x14ac:dyDescent="0.3">
      <c r="F25" s="70" t="s">
        <v>31</v>
      </c>
      <c r="G25" s="71" t="s">
        <v>18</v>
      </c>
      <c r="H25" s="88">
        <f>ROUND(H23*H24,0)</f>
        <v>43398</v>
      </c>
      <c r="I25" s="72" t="str">
        <f>"Row "&amp;F23&amp;" x Row "&amp;F24</f>
        <v>Row F x Row G</v>
      </c>
      <c r="M25" s="82">
        <f>M22/3</f>
        <v>1.3104730278474615E-2</v>
      </c>
    </row>
    <row r="26" spans="6:17" s="26" customFormat="1" ht="30" customHeight="1" thickBot="1" x14ac:dyDescent="0.3">
      <c r="F26" s="139" t="str">
        <f>CHAR(185)&amp;" Data from the Migration Policy Institute (MPI): Profile on the Unauthorized Populaiton"&amp;CHAR(10)&amp;"https://www.migrationpolicy.org/data/unauthorized-immigrant-population/state/CO"</f>
        <v>¹ Data from the Migration Policy Institute (MPI): Profile on the Unauthorized Populaiton
https://www.migrationpolicy.org/data/unauthorized-immigrant-population/state/CO</v>
      </c>
      <c r="G26" s="140"/>
      <c r="H26" s="140"/>
      <c r="I26" s="141"/>
    </row>
    <row r="27" spans="6:17" s="26" customFormat="1" ht="15.75" x14ac:dyDescent="0.25"/>
    <row r="28" spans="6:17" s="26" customFormat="1" ht="16.5" thickBot="1" x14ac:dyDescent="0.3"/>
    <row r="29" spans="6:17" s="26" customFormat="1" ht="16.5" thickBot="1" x14ac:dyDescent="0.3">
      <c r="J29" s="133" t="s">
        <v>51</v>
      </c>
      <c r="K29" s="134"/>
      <c r="L29" s="134"/>
      <c r="M29" s="134"/>
      <c r="N29" s="134"/>
      <c r="O29" s="134"/>
      <c r="P29" s="134"/>
      <c r="Q29" s="135"/>
    </row>
    <row r="30" spans="6:17" s="26" customFormat="1" ht="16.5" thickBot="1" x14ac:dyDescent="0.3">
      <c r="J30" s="75" t="s">
        <v>17</v>
      </c>
      <c r="K30" s="76" t="s">
        <v>19</v>
      </c>
      <c r="L30" s="76" t="s">
        <v>20</v>
      </c>
      <c r="M30" s="76" t="s">
        <v>22</v>
      </c>
      <c r="N30" s="76" t="s">
        <v>25</v>
      </c>
      <c r="O30" s="76" t="s">
        <v>27</v>
      </c>
      <c r="P30" s="76" t="s">
        <v>29</v>
      </c>
      <c r="Q30" s="77" t="s">
        <v>31</v>
      </c>
    </row>
    <row r="31" spans="6:17" s="26" customFormat="1" ht="79.5" thickBot="1" x14ac:dyDescent="0.3">
      <c r="J31" s="89" t="s">
        <v>12</v>
      </c>
      <c r="K31" s="90" t="s">
        <v>13</v>
      </c>
      <c r="L31" s="90" t="s">
        <v>52</v>
      </c>
      <c r="M31" s="90" t="s">
        <v>53</v>
      </c>
      <c r="N31" s="90" t="s">
        <v>54</v>
      </c>
      <c r="O31" s="90" t="s">
        <v>55</v>
      </c>
      <c r="P31" s="90" t="s">
        <v>56</v>
      </c>
      <c r="Q31" s="91" t="s">
        <v>16</v>
      </c>
    </row>
    <row r="32" spans="6:17" s="26" customFormat="1" ht="15.75" x14ac:dyDescent="0.25">
      <c r="J32" s="34" t="s">
        <v>17</v>
      </c>
      <c r="K32" s="35" t="s">
        <v>41</v>
      </c>
      <c r="L32" s="92">
        <v>8.2256436872004984E-2</v>
      </c>
      <c r="M32" s="92">
        <v>0.6405215449759829</v>
      </c>
      <c r="N32" s="92">
        <f>SUM(L32:M32)</f>
        <v>0.72277798184798792</v>
      </c>
      <c r="O32" s="36">
        <f>58478.7608/2</f>
        <v>29239.380399999998</v>
      </c>
      <c r="P32" s="36">
        <f>455367.478100001/2</f>
        <v>227683.7390500005</v>
      </c>
      <c r="Q32" s="37" t="str">
        <f>"CHAS. Assumed Same as 0-100% FPL Data"&amp;CHAR(185)</f>
        <v>CHAS. Assumed Same as 0-100% FPL Data¹</v>
      </c>
    </row>
    <row r="33" spans="1:17" s="26" customFormat="1" ht="15.75" x14ac:dyDescent="0.25">
      <c r="J33" s="49" t="s">
        <v>19</v>
      </c>
      <c r="K33" s="50" t="s">
        <v>43</v>
      </c>
      <c r="L33" s="93">
        <v>8.2256436872004984E-2</v>
      </c>
      <c r="M33" s="93">
        <v>0.6405215449759829</v>
      </c>
      <c r="N33" s="93">
        <f t="shared" ref="N33:N39" si="2">SUM(L33:M33)</f>
        <v>0.72277798184798792</v>
      </c>
      <c r="O33" s="51">
        <v>58478.760799999996</v>
      </c>
      <c r="P33" s="51">
        <v>455367.47810000082</v>
      </c>
      <c r="Q33" s="53" t="str">
        <f>"CHAS. Assumed Same as 0-100% FPL Data"&amp;CHAR(185)</f>
        <v>CHAS. Assumed Same as 0-100% FPL Data¹</v>
      </c>
    </row>
    <row r="34" spans="1:17" s="26" customFormat="1" ht="16.5" thickBot="1" x14ac:dyDescent="0.3">
      <c r="J34" s="94" t="s">
        <v>20</v>
      </c>
      <c r="K34" s="95" t="s">
        <v>44</v>
      </c>
      <c r="L34" s="96">
        <v>8.1245491223729704E-2</v>
      </c>
      <c r="M34" s="96">
        <v>0.59200481695736362</v>
      </c>
      <c r="N34" s="96">
        <f t="shared" si="2"/>
        <v>0.67325030818109333</v>
      </c>
      <c r="O34" s="97">
        <f>69539.9015/2</f>
        <v>34769.950750000004</v>
      </c>
      <c r="P34" s="97">
        <f>506710.662200001/2</f>
        <v>253355.33110000051</v>
      </c>
      <c r="Q34" s="98" t="str">
        <f>"CHAS. Assumed Same as 101-200% FPL Data"&amp;CHAR(185)</f>
        <v>CHAS. Assumed Same as 101-200% FPL Data¹</v>
      </c>
    </row>
    <row r="35" spans="1:17" s="26" customFormat="1" ht="16.5" hidden="1" thickBot="1" x14ac:dyDescent="0.3">
      <c r="J35" s="99" t="s">
        <v>22</v>
      </c>
      <c r="K35" s="41" t="s">
        <v>45</v>
      </c>
      <c r="L35" s="100">
        <v>8.1245491223729704E-2</v>
      </c>
      <c r="M35" s="100">
        <v>0.59200481695736362</v>
      </c>
      <c r="N35" s="100">
        <f t="shared" si="2"/>
        <v>0.67325030818109333</v>
      </c>
      <c r="O35" s="41">
        <f>69539.9015/2</f>
        <v>34769.950750000004</v>
      </c>
      <c r="P35" s="41">
        <f>506710.662200001/2</f>
        <v>253355.33110000051</v>
      </c>
      <c r="Q35" s="44" t="str">
        <f>"CHAS. Assumed Same as 101-200% FPL Data"&amp;CHAR(178)</f>
        <v>CHAS. Assumed Same as 101-200% FPL Data²</v>
      </c>
    </row>
    <row r="36" spans="1:17" s="26" customFormat="1" ht="15.75" hidden="1" x14ac:dyDescent="0.25">
      <c r="J36" s="101" t="s">
        <v>25</v>
      </c>
      <c r="K36" s="84" t="s">
        <v>57</v>
      </c>
      <c r="L36" s="102">
        <v>0.11758717041390004</v>
      </c>
      <c r="M36" s="102">
        <v>0.37996050948579879</v>
      </c>
      <c r="N36" s="102">
        <f t="shared" si="2"/>
        <v>0.49754767989969884</v>
      </c>
      <c r="O36" s="84">
        <v>86614.80869999998</v>
      </c>
      <c r="P36" s="84">
        <v>279879.23109999998</v>
      </c>
      <c r="Q36" s="86" t="str">
        <f>"CHAS"&amp;CHAR(178)</f>
        <v>CHAS²</v>
      </c>
    </row>
    <row r="37" spans="1:17" s="26" customFormat="1" ht="15.75" hidden="1" x14ac:dyDescent="0.25">
      <c r="J37" s="103" t="s">
        <v>27</v>
      </c>
      <c r="K37" s="50" t="s">
        <v>58</v>
      </c>
      <c r="L37" s="93">
        <v>6.1794249962701261E-2</v>
      </c>
      <c r="M37" s="93">
        <v>0.24159355240435687</v>
      </c>
      <c r="N37" s="93">
        <f t="shared" si="2"/>
        <v>0.30338780236705815</v>
      </c>
      <c r="O37" s="50">
        <v>39780.494499999993</v>
      </c>
      <c r="P37" s="50">
        <v>155527.59339999995</v>
      </c>
      <c r="Q37" s="53" t="str">
        <f t="shared" ref="Q37:Q38" si="3">"CHAS"&amp;CHAR(178)</f>
        <v>CHAS²</v>
      </c>
    </row>
    <row r="38" spans="1:17" s="26" customFormat="1" ht="16.5" hidden="1" thickBot="1" x14ac:dyDescent="0.3">
      <c r="J38" s="104" t="s">
        <v>29</v>
      </c>
      <c r="K38" s="68" t="s">
        <v>59</v>
      </c>
      <c r="L38" s="105">
        <v>4.0983365868251881E-2</v>
      </c>
      <c r="M38" s="105">
        <v>0.180611889011005</v>
      </c>
      <c r="N38" s="105">
        <f t="shared" si="2"/>
        <v>0.22159525487925688</v>
      </c>
      <c r="O38" s="68">
        <v>106197.79129999997</v>
      </c>
      <c r="P38" s="68">
        <v>468008.99069999903</v>
      </c>
      <c r="Q38" s="69" t="str">
        <f t="shared" si="3"/>
        <v>CHAS²</v>
      </c>
    </row>
    <row r="39" spans="1:17" s="26" customFormat="1" ht="15.75" hidden="1" x14ac:dyDescent="0.25">
      <c r="J39" s="101" t="s">
        <v>31</v>
      </c>
      <c r="K39" s="84" t="s">
        <v>47</v>
      </c>
      <c r="L39" s="106">
        <f>(L36*O36/SUM(O36:O38))+(L37*O37/SUM(O36:O38))+(L38*O38/SUM(O36:O38))</f>
        <v>7.3068975085136378E-2</v>
      </c>
      <c r="M39" s="106">
        <f>(M36*P36/SUM(P36:P38))+(M37*P37/SUM(P36:P38))+(M38*P38/SUM(P36:P38))</f>
        <v>0.25286861605753852</v>
      </c>
      <c r="N39" s="106">
        <f t="shared" si="2"/>
        <v>0.3259375911426749</v>
      </c>
      <c r="O39" s="84" t="s">
        <v>60</v>
      </c>
      <c r="P39" s="84" t="s">
        <v>60</v>
      </c>
      <c r="Q39" s="86" t="str">
        <f>"Weighted Average Rows "&amp;J36&amp;" -"&amp;J38</f>
        <v>Weighted Average Rows E -G</v>
      </c>
    </row>
    <row r="40" spans="1:17" s="26" customFormat="1" ht="30" customHeight="1" thickBot="1" x14ac:dyDescent="0.3">
      <c r="A40"/>
      <c r="J40" s="130" t="str">
        <f>CHAR(185)&amp;"2019 Colorado Helath Access Survey Demographics Workbook"&amp;CHAR(10)&amp;"https://www.coloradohealthinstitute.org/research/CHAS"</f>
        <v>¹2019 Colorado Helath Access Survey Demographics Workbook
https://www.coloradohealthinstitute.org/research/CHAS</v>
      </c>
      <c r="K40" s="131"/>
      <c r="L40" s="131"/>
      <c r="M40" s="131"/>
      <c r="N40" s="131"/>
      <c r="O40" s="131"/>
      <c r="P40" s="131"/>
      <c r="Q40" s="132"/>
    </row>
    <row r="41" spans="1:17" s="26" customFormat="1" ht="15.75" x14ac:dyDescent="0.25"/>
  </sheetData>
  <mergeCells count="7">
    <mergeCell ref="J40:Q40"/>
    <mergeCell ref="B2:E2"/>
    <mergeCell ref="B13:E13"/>
    <mergeCell ref="B14:E14"/>
    <mergeCell ref="F16:I16"/>
    <mergeCell ref="F26:I26"/>
    <mergeCell ref="J29:Q29"/>
  </mergeCells>
  <pageMargins left="0.7" right="0.7" top="0.75" bottom="0.75" header="0.3" footer="0.3"/>
  <pageSetup scale="7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3" workbookViewId="0">
      <selection activeCell="F16" sqref="F16"/>
    </sheetView>
  </sheetViews>
  <sheetFormatPr defaultRowHeight="15" x14ac:dyDescent="0.25"/>
  <cols>
    <col min="1" max="11" width="15.7109375" customWidth="1"/>
    <col min="12" max="12" width="11.85546875" bestFit="1" customWidth="1"/>
  </cols>
  <sheetData>
    <row r="1" spans="1:12" ht="60" x14ac:dyDescent="0.25">
      <c r="B1" s="25" t="s">
        <v>0</v>
      </c>
      <c r="C1" s="25" t="s">
        <v>1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63</v>
      </c>
      <c r="I1" s="25" t="s">
        <v>64</v>
      </c>
      <c r="J1" s="118" t="s">
        <v>5</v>
      </c>
      <c r="K1" s="118" t="s">
        <v>65</v>
      </c>
    </row>
    <row r="2" spans="1:12" x14ac:dyDescent="0.25">
      <c r="A2" t="s">
        <v>6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19">
        <v>10000</v>
      </c>
      <c r="K2" s="126"/>
    </row>
    <row r="3" spans="1:12" x14ac:dyDescent="0.25">
      <c r="A3" t="s">
        <v>7</v>
      </c>
      <c r="B3" s="1">
        <v>68555</v>
      </c>
      <c r="C3" s="2">
        <v>0.76</v>
      </c>
      <c r="D3" s="2">
        <v>0.04</v>
      </c>
      <c r="E3">
        <v>1.17</v>
      </c>
      <c r="F3" s="3">
        <v>43</v>
      </c>
      <c r="G3" s="1">
        <v>52042</v>
      </c>
      <c r="H3" s="1">
        <v>1908</v>
      </c>
      <c r="I3" s="1">
        <v>2227</v>
      </c>
      <c r="J3" s="120">
        <v>96852</v>
      </c>
      <c r="K3" s="126"/>
    </row>
    <row r="4" spans="1:12" x14ac:dyDescent="0.25">
      <c r="A4" t="s">
        <v>8</v>
      </c>
      <c r="B4" s="1">
        <v>4242</v>
      </c>
      <c r="C4" s="2">
        <v>0.09</v>
      </c>
      <c r="D4" s="2">
        <v>0.01</v>
      </c>
      <c r="E4">
        <v>0.12</v>
      </c>
      <c r="F4" s="3">
        <v>4</v>
      </c>
      <c r="G4" s="1">
        <v>7147</v>
      </c>
      <c r="H4">
        <v>735</v>
      </c>
      <c r="I4">
        <v>888</v>
      </c>
      <c r="J4" s="120">
        <v>39963</v>
      </c>
      <c r="K4" s="126"/>
    </row>
    <row r="5" spans="1:12" x14ac:dyDescent="0.25">
      <c r="A5" t="s">
        <v>9</v>
      </c>
      <c r="B5" s="1">
        <v>61187</v>
      </c>
      <c r="C5" s="2">
        <v>0.56000000000000005</v>
      </c>
      <c r="D5" s="2">
        <v>0</v>
      </c>
      <c r="E5">
        <v>1</v>
      </c>
      <c r="F5" s="3">
        <v>36</v>
      </c>
      <c r="G5" s="1">
        <v>34980</v>
      </c>
      <c r="H5">
        <v>38</v>
      </c>
      <c r="I5">
        <v>49</v>
      </c>
      <c r="J5" s="120">
        <v>2404</v>
      </c>
      <c r="K5" s="127">
        <f>'Traditional Analysis'!D12</f>
        <v>252</v>
      </c>
    </row>
    <row r="6" spans="1:12" x14ac:dyDescent="0.25">
      <c r="A6" s="5">
        <v>0.05</v>
      </c>
      <c r="B6" s="6">
        <v>61960</v>
      </c>
      <c r="C6" s="5">
        <v>0.62</v>
      </c>
      <c r="D6" s="5">
        <v>0.01</v>
      </c>
      <c r="E6" s="7">
        <v>1.01</v>
      </c>
      <c r="F6" s="8">
        <v>37</v>
      </c>
      <c r="G6" s="6">
        <v>41281</v>
      </c>
      <c r="H6" s="7">
        <v>614</v>
      </c>
      <c r="I6" s="7">
        <v>709</v>
      </c>
      <c r="J6" s="121">
        <v>29978</v>
      </c>
      <c r="K6" s="126"/>
    </row>
    <row r="7" spans="1:12" x14ac:dyDescent="0.25">
      <c r="A7" s="9">
        <v>0.25</v>
      </c>
      <c r="B7" s="10">
        <v>64864</v>
      </c>
      <c r="C7" s="9">
        <v>0.69</v>
      </c>
      <c r="D7" s="9">
        <v>0.03</v>
      </c>
      <c r="E7" s="11">
        <v>1.07</v>
      </c>
      <c r="F7" s="12">
        <v>40</v>
      </c>
      <c r="G7" s="10">
        <v>46771</v>
      </c>
      <c r="H7" s="10">
        <v>1384</v>
      </c>
      <c r="I7" s="10">
        <v>1588</v>
      </c>
      <c r="J7" s="122">
        <v>68404</v>
      </c>
      <c r="K7" s="126"/>
    </row>
    <row r="8" spans="1:12" x14ac:dyDescent="0.25">
      <c r="A8" s="13">
        <v>0.5</v>
      </c>
      <c r="B8" s="14">
        <v>68498</v>
      </c>
      <c r="C8" s="13">
        <v>0.75</v>
      </c>
      <c r="D8" s="13">
        <v>0.04</v>
      </c>
      <c r="E8" s="15">
        <v>1.1499999999999999</v>
      </c>
      <c r="F8" s="16">
        <v>43</v>
      </c>
      <c r="G8" s="14">
        <v>51389</v>
      </c>
      <c r="H8" s="14">
        <v>1968</v>
      </c>
      <c r="I8" s="14">
        <v>2269</v>
      </c>
      <c r="J8" s="123">
        <v>97708</v>
      </c>
      <c r="K8" s="126"/>
    </row>
    <row r="9" spans="1:12" x14ac:dyDescent="0.25">
      <c r="A9" s="17">
        <v>0.75</v>
      </c>
      <c r="B9" s="18">
        <v>72266</v>
      </c>
      <c r="C9" s="17">
        <v>0.82</v>
      </c>
      <c r="D9" s="17">
        <v>0.05</v>
      </c>
      <c r="E9" s="19">
        <v>1.25</v>
      </c>
      <c r="F9" s="20">
        <v>47</v>
      </c>
      <c r="G9" s="18">
        <v>56984</v>
      </c>
      <c r="H9" s="18">
        <v>2447</v>
      </c>
      <c r="I9" s="18">
        <v>2855</v>
      </c>
      <c r="J9" s="124">
        <v>124267</v>
      </c>
      <c r="K9" s="126"/>
    </row>
    <row r="10" spans="1:12" x14ac:dyDescent="0.25">
      <c r="A10" s="21">
        <v>0.95</v>
      </c>
      <c r="B10" s="22">
        <v>75147</v>
      </c>
      <c r="C10" s="21">
        <v>0.92</v>
      </c>
      <c r="D10" s="21">
        <v>0.05</v>
      </c>
      <c r="E10" s="23">
        <v>1.39</v>
      </c>
      <c r="F10" s="24">
        <v>50</v>
      </c>
      <c r="G10" s="22">
        <v>64892</v>
      </c>
      <c r="H10" s="22">
        <v>3044</v>
      </c>
      <c r="I10" s="22">
        <v>3639</v>
      </c>
      <c r="J10" s="125">
        <v>162377</v>
      </c>
      <c r="K10" s="126"/>
      <c r="L10" s="154"/>
    </row>
    <row r="11" spans="1:12" x14ac:dyDescent="0.25">
      <c r="A11" t="s">
        <v>10</v>
      </c>
      <c r="B11" s="1">
        <v>75897</v>
      </c>
      <c r="C11" s="2">
        <v>1</v>
      </c>
      <c r="D11" s="2">
        <v>0.05</v>
      </c>
      <c r="E11">
        <v>1.5</v>
      </c>
      <c r="F11" s="3">
        <v>51</v>
      </c>
      <c r="G11" s="1">
        <v>74793</v>
      </c>
      <c r="H11" s="1">
        <v>3970</v>
      </c>
      <c r="I11" s="1">
        <v>5440</v>
      </c>
      <c r="J11" s="120">
        <v>250671</v>
      </c>
      <c r="K11" s="127">
        <f>'Traditional Analysis'!E12</f>
        <v>319311</v>
      </c>
    </row>
    <row r="29" spans="1:2" x14ac:dyDescent="0.25">
      <c r="A29" s="142" t="s">
        <v>61</v>
      </c>
      <c r="B29" s="142"/>
    </row>
    <row r="30" spans="1:2" ht="60" x14ac:dyDescent="0.25">
      <c r="A30" s="25" t="s">
        <v>62</v>
      </c>
      <c r="B30" s="4">
        <v>0.52139999999999997</v>
      </c>
    </row>
    <row r="31" spans="1:2" x14ac:dyDescent="0.25">
      <c r="A31" s="25" t="s">
        <v>1</v>
      </c>
      <c r="B31" s="4">
        <v>4.8800000000000003E-2</v>
      </c>
    </row>
    <row r="32" spans="1:2" ht="30" x14ac:dyDescent="0.25">
      <c r="A32" s="25" t="s">
        <v>3</v>
      </c>
      <c r="B32" s="4">
        <v>3.39E-2</v>
      </c>
    </row>
    <row r="33" spans="1:2" x14ac:dyDescent="0.25">
      <c r="A33" s="25" t="s">
        <v>2</v>
      </c>
      <c r="B33" s="4">
        <v>3.1300000000000001E-2</v>
      </c>
    </row>
    <row r="34" spans="1:2" ht="60" x14ac:dyDescent="0.25">
      <c r="A34" s="25" t="s">
        <v>0</v>
      </c>
      <c r="B34" s="4">
        <v>1.2999999999999999E-2</v>
      </c>
    </row>
  </sheetData>
  <mergeCells count="1">
    <mergeCell ref="A29:B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9CB-25FE-4EF4-A44E-62D249F97C22}">
  <sheetPr>
    <pageSetUpPr fitToPage="1"/>
  </sheetPr>
  <dimension ref="A1:R41"/>
  <sheetViews>
    <sheetView view="pageBreakPreview" zoomScale="70" zoomScaleNormal="70" zoomScaleSheetLayoutView="70" workbookViewId="0">
      <selection activeCell="B13" sqref="B13:F13"/>
    </sheetView>
  </sheetViews>
  <sheetFormatPr defaultRowHeight="15" x14ac:dyDescent="0.25"/>
  <cols>
    <col min="2" max="2" width="5.140625" bestFit="1" customWidth="1"/>
    <col min="3" max="3" width="84.28515625" bestFit="1" customWidth="1"/>
    <col min="4" max="4" width="14.28515625" bestFit="1" customWidth="1"/>
    <col min="5" max="5" width="14.28515625" customWidth="1"/>
    <col min="6" max="6" width="55.28515625" bestFit="1" customWidth="1"/>
    <col min="7" max="7" width="5.42578125" bestFit="1" customWidth="1"/>
    <col min="8" max="8" width="94" bestFit="1" customWidth="1"/>
    <col min="9" max="9" width="9.7109375" bestFit="1" customWidth="1"/>
    <col min="10" max="10" width="51" bestFit="1" customWidth="1"/>
    <col min="11" max="11" width="11.140625" bestFit="1" customWidth="1"/>
    <col min="12" max="12" width="36.140625" bestFit="1" customWidth="1"/>
    <col min="13" max="17" width="11.28515625" customWidth="1"/>
    <col min="18" max="18" width="45.140625" bestFit="1" customWidth="1"/>
  </cols>
  <sheetData>
    <row r="1" spans="1:18" ht="16.5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6.5" thickBot="1" x14ac:dyDescent="0.3">
      <c r="A2" s="26"/>
      <c r="B2" s="133" t="s">
        <v>11</v>
      </c>
      <c r="C2" s="134"/>
      <c r="D2" s="134"/>
      <c r="E2" s="143"/>
      <c r="F2" s="135"/>
      <c r="G2" s="27"/>
      <c r="H2" s="27"/>
      <c r="I2" s="27"/>
      <c r="J2" s="26"/>
      <c r="K2" s="26"/>
      <c r="L2" s="26"/>
      <c r="M2" s="26"/>
      <c r="N2" s="26"/>
      <c r="O2" s="26"/>
      <c r="P2" s="26"/>
      <c r="Q2" s="26"/>
      <c r="R2" s="26"/>
    </row>
    <row r="3" spans="1:18" s="27" customFormat="1" ht="32.25" thickBot="1" x14ac:dyDescent="0.3">
      <c r="B3" s="28" t="s">
        <v>12</v>
      </c>
      <c r="C3" s="29" t="s">
        <v>13</v>
      </c>
      <c r="D3" s="30" t="s">
        <v>14</v>
      </c>
      <c r="E3" s="31" t="s">
        <v>15</v>
      </c>
      <c r="F3" s="32" t="s">
        <v>16</v>
      </c>
      <c r="G3" s="33"/>
      <c r="H3" s="33"/>
      <c r="I3" s="33"/>
    </row>
    <row r="4" spans="1:18" s="27" customFormat="1" ht="15.75" x14ac:dyDescent="0.25">
      <c r="B4" s="117" t="s">
        <v>17</v>
      </c>
      <c r="C4" s="107" t="s">
        <v>0</v>
      </c>
      <c r="D4" s="108">
        <f>I23</f>
        <v>61184</v>
      </c>
      <c r="E4" s="109">
        <v>75898</v>
      </c>
      <c r="F4" s="110" t="str">
        <f>LEFT(G16,9)&amp;" Row "&amp;G25</f>
        <v>Table 2.2 Row H</v>
      </c>
      <c r="G4" s="33"/>
      <c r="H4" s="33"/>
      <c r="I4" s="33"/>
    </row>
    <row r="5" spans="1:18" s="27" customFormat="1" ht="16.5" thickBot="1" x14ac:dyDescent="0.3">
      <c r="B5" s="38" t="s">
        <v>19</v>
      </c>
      <c r="C5" s="111" t="s">
        <v>1</v>
      </c>
      <c r="D5" s="112">
        <v>0.56000000000000005</v>
      </c>
      <c r="E5" s="112">
        <v>1</v>
      </c>
      <c r="F5" s="113" t="str">
        <f>LEFT(G16,9)&amp;" Row "&amp;G25</f>
        <v>Table 2.2 Row H</v>
      </c>
      <c r="G5" s="33"/>
      <c r="H5" s="33"/>
      <c r="I5" s="33"/>
    </row>
    <row r="6" spans="1:18" s="26" customFormat="1" ht="17.25" thickTop="1" thickBot="1" x14ac:dyDescent="0.3">
      <c r="B6" s="40" t="s">
        <v>20</v>
      </c>
      <c r="C6" s="41" t="s">
        <v>21</v>
      </c>
      <c r="D6" s="42">
        <f>D4*D5</f>
        <v>34263.040000000001</v>
      </c>
      <c r="E6" s="43">
        <f>E4*E5</f>
        <v>75898</v>
      </c>
      <c r="F6" s="44" t="str">
        <f>"Row "&amp;B4&amp;" x Row "&amp;B5</f>
        <v>Row A x Row B</v>
      </c>
    </row>
    <row r="7" spans="1:18" s="39" customFormat="1" ht="32.25" thickTop="1" x14ac:dyDescent="0.25">
      <c r="B7" s="45" t="s">
        <v>22</v>
      </c>
      <c r="C7" s="46" t="s">
        <v>23</v>
      </c>
      <c r="D7" s="114">
        <v>2.0000000000000001E-4</v>
      </c>
      <c r="E7" s="115">
        <v>5.5E-2</v>
      </c>
      <c r="F7" s="47" t="s">
        <v>24</v>
      </c>
      <c r="G7" s="48"/>
      <c r="H7" s="48"/>
      <c r="I7" s="48"/>
    </row>
    <row r="8" spans="1:18" s="26" customFormat="1" ht="15.75" x14ac:dyDescent="0.25">
      <c r="B8" s="49" t="s">
        <v>25</v>
      </c>
      <c r="C8" s="50" t="s">
        <v>26</v>
      </c>
      <c r="D8" s="51">
        <f>ROUND(D6*D7,0)</f>
        <v>7</v>
      </c>
      <c r="E8" s="52">
        <f>ROUND(E6*E7,0)</f>
        <v>4174</v>
      </c>
      <c r="F8" s="53" t="str">
        <f>"Row "&amp;$B$6&amp;" x Row "&amp;B7</f>
        <v>Row C x Row D</v>
      </c>
    </row>
    <row r="9" spans="1:18" s="26" customFormat="1" ht="15.75" x14ac:dyDescent="0.25">
      <c r="B9" s="54" t="s">
        <v>27</v>
      </c>
      <c r="C9" s="50" t="s">
        <v>2</v>
      </c>
      <c r="D9" s="55">
        <v>1</v>
      </c>
      <c r="E9" s="56">
        <v>1.5</v>
      </c>
      <c r="F9" s="53" t="s">
        <v>28</v>
      </c>
    </row>
    <row r="10" spans="1:18" s="26" customFormat="1" ht="15.75" x14ac:dyDescent="0.25">
      <c r="B10" s="49" t="s">
        <v>29</v>
      </c>
      <c r="C10" s="50" t="s">
        <v>30</v>
      </c>
      <c r="D10" s="51">
        <f>ROUND(D8*D9,0)</f>
        <v>7</v>
      </c>
      <c r="E10" s="51">
        <f>ROUND(E8*E9,0)</f>
        <v>6261</v>
      </c>
      <c r="F10" s="53" t="str">
        <f>"Row "&amp;B8&amp;" x Row "&amp;B9</f>
        <v>Row E x Row F</v>
      </c>
    </row>
    <row r="11" spans="1:18" s="26" customFormat="1" ht="32.25" thickBot="1" x14ac:dyDescent="0.3">
      <c r="B11" s="38" t="s">
        <v>31</v>
      </c>
      <c r="C11" s="57" t="s">
        <v>3</v>
      </c>
      <c r="D11" s="58">
        <v>36</v>
      </c>
      <c r="E11" s="59">
        <v>51</v>
      </c>
      <c r="F11" s="60" t="s">
        <v>32</v>
      </c>
      <c r="G11" s="48"/>
      <c r="H11" s="48"/>
      <c r="I11" s="48"/>
    </row>
    <row r="12" spans="1:18" s="26" customFormat="1" ht="17.25" thickTop="1" thickBot="1" x14ac:dyDescent="0.3">
      <c r="B12" s="61" t="s">
        <v>33</v>
      </c>
      <c r="C12" s="62" t="s">
        <v>34</v>
      </c>
      <c r="D12" s="63">
        <f>ROUND(D10*D11,0)</f>
        <v>252</v>
      </c>
      <c r="E12" s="64">
        <f>ROUND(E10*E11,0)</f>
        <v>319311</v>
      </c>
      <c r="F12" s="65" t="str">
        <f>"Row "&amp;B10&amp;" x Row "&amp;B11</f>
        <v>Row G x Row H</v>
      </c>
      <c r="G12" s="66"/>
      <c r="H12" s="66"/>
      <c r="I12" s="66"/>
    </row>
    <row r="13" spans="1:18" s="26" customFormat="1" ht="30" customHeight="1" thickTop="1" x14ac:dyDescent="0.25">
      <c r="B13" s="136" t="str">
        <f>CHAR(185)&amp;"Colorado Health Access Surevy: Colorado’s Eligible but Not Enrolled Population Holding Steady, Adult EBNE Data Tables"&amp;CHAR(10)&amp;"https://www.coloradohealthinstitute.org/research/colorados-eligible-not-enrolled-population-holding-steady"</f>
        <v>¹Colorado Health Access Surevy: Colorado’s Eligible but Not Enrolled Population Holding Steady, Adult EBNE Data Tables
https://www.coloradohealthinstitute.org/research/colorados-eligible-not-enrolled-population-holding-steady</v>
      </c>
      <c r="C13" s="137"/>
      <c r="D13" s="137"/>
      <c r="E13" s="144"/>
      <c r="F13" s="138"/>
      <c r="G13" s="73"/>
      <c r="H13" s="73"/>
      <c r="I13" s="73"/>
    </row>
    <row r="14" spans="1:18" s="26" customFormat="1" ht="30.95" customHeight="1" thickBot="1" x14ac:dyDescent="0.3">
      <c r="B14" s="139" t="str">
        <f>CHAR(178)&amp;"PubMed Central, Influenza Update, Aug 2011"&amp;CHAR(10)&amp;"https://www.ncbi.nlm.nih.gov/pmc/articles/PMC3278149/"</f>
        <v>²PubMed Central, Influenza Update, Aug 2011
https://www.ncbi.nlm.nih.gov/pmc/articles/PMC3278149/</v>
      </c>
      <c r="C14" s="140"/>
      <c r="D14" s="140"/>
      <c r="E14" s="145"/>
      <c r="F14" s="141"/>
      <c r="G14" s="73"/>
      <c r="H14" s="73"/>
      <c r="I14" s="73"/>
    </row>
    <row r="15" spans="1:18" s="26" customFormat="1" ht="16.5" thickBot="1" x14ac:dyDescent="0.3">
      <c r="N15" s="26" t="s">
        <v>35</v>
      </c>
    </row>
    <row r="16" spans="1:18" s="26" customFormat="1" ht="16.5" thickBot="1" x14ac:dyDescent="0.3">
      <c r="E16" s="116"/>
      <c r="G16" s="133" t="s">
        <v>36</v>
      </c>
      <c r="H16" s="134"/>
      <c r="I16" s="134"/>
      <c r="J16" s="135"/>
      <c r="K16" s="26" t="s">
        <v>37</v>
      </c>
      <c r="L16" s="26" t="s">
        <v>38</v>
      </c>
      <c r="M16" s="26" t="s">
        <v>39</v>
      </c>
      <c r="N16" s="74">
        <v>5758736</v>
      </c>
    </row>
    <row r="17" spans="7:18" s="26" customFormat="1" ht="16.5" thickBot="1" x14ac:dyDescent="0.3">
      <c r="G17" s="75" t="s">
        <v>12</v>
      </c>
      <c r="H17" s="76" t="s">
        <v>13</v>
      </c>
      <c r="I17" s="76" t="s">
        <v>40</v>
      </c>
      <c r="J17" s="77" t="s">
        <v>16</v>
      </c>
      <c r="L17" s="74">
        <v>190000</v>
      </c>
      <c r="M17" s="78">
        <f t="shared" ref="M17:M22" si="0">L17*(1+($N$25*4))</f>
        <v>199959.59501164072</v>
      </c>
    </row>
    <row r="18" spans="7:18" s="26" customFormat="1" ht="15.75" x14ac:dyDescent="0.25">
      <c r="G18" s="34" t="s">
        <v>17</v>
      </c>
      <c r="H18" s="35" t="s">
        <v>41</v>
      </c>
      <c r="I18" s="79">
        <v>15000</v>
      </c>
      <c r="J18" s="37" t="str">
        <f>"MPI"&amp;CHAR(185)</f>
        <v>MPI¹</v>
      </c>
      <c r="K18" s="26">
        <f>I18*(1+($N$25*4))</f>
        <v>15786.283816708479</v>
      </c>
      <c r="L18" s="78">
        <f>I18/SUM($I$18:$I$22)*$L$17</f>
        <v>17701.863354037265</v>
      </c>
      <c r="M18" s="78">
        <f t="shared" si="0"/>
        <v>18629.775932761557</v>
      </c>
      <c r="N18" s="26" t="s">
        <v>42</v>
      </c>
    </row>
    <row r="19" spans="7:18" s="26" customFormat="1" ht="15.75" x14ac:dyDescent="0.25">
      <c r="G19" s="49" t="s">
        <v>19</v>
      </c>
      <c r="H19" s="50" t="s">
        <v>43</v>
      </c>
      <c r="I19" s="80">
        <v>28000</v>
      </c>
      <c r="J19" s="53" t="str">
        <f t="shared" ref="J19:J22" si="1">"MPI"&amp;CHAR(185)</f>
        <v>MPI¹</v>
      </c>
      <c r="K19" s="26">
        <f>I19*(1+($N$25*4))</f>
        <v>29467.729791189158</v>
      </c>
      <c r="L19" s="78">
        <f>I19/SUM($I$18:$I$22)*$L$17</f>
        <v>33043.478260869568</v>
      </c>
      <c r="M19" s="78">
        <f t="shared" si="0"/>
        <v>34775.581741154914</v>
      </c>
      <c r="N19" s="74">
        <v>5540900</v>
      </c>
    </row>
    <row r="20" spans="7:18" s="26" customFormat="1" ht="15.75" x14ac:dyDescent="0.25">
      <c r="G20" s="49" t="s">
        <v>20</v>
      </c>
      <c r="H20" s="50" t="s">
        <v>44</v>
      </c>
      <c r="I20" s="80">
        <v>27000</v>
      </c>
      <c r="J20" s="53" t="str">
        <f t="shared" si="1"/>
        <v>MPI¹</v>
      </c>
      <c r="K20" s="26">
        <f>I20*(1+($N$25*4))</f>
        <v>28415.31087007526</v>
      </c>
      <c r="L20" s="78">
        <f>I20/SUM($I$18:$I$22)*$L$17</f>
        <v>31863.354037267083</v>
      </c>
      <c r="M20" s="78">
        <f t="shared" si="0"/>
        <v>33533.596678970811</v>
      </c>
    </row>
    <row r="21" spans="7:18" s="26" customFormat="1" ht="15.75" x14ac:dyDescent="0.25">
      <c r="G21" s="49" t="s">
        <v>22</v>
      </c>
      <c r="H21" s="50" t="s">
        <v>45</v>
      </c>
      <c r="I21" s="80">
        <v>27000</v>
      </c>
      <c r="J21" s="53" t="str">
        <f t="shared" si="1"/>
        <v>MPI¹</v>
      </c>
      <c r="K21" s="26">
        <f>I21*(1+($N$25*4))</f>
        <v>28415.31087007526</v>
      </c>
      <c r="L21" s="78">
        <f>I21/SUM($I$18:$I$22)*$L$17</f>
        <v>31863.354037267083</v>
      </c>
      <c r="M21" s="78">
        <f t="shared" si="0"/>
        <v>33533.596678970811</v>
      </c>
      <c r="N21" s="26" t="s">
        <v>46</v>
      </c>
    </row>
    <row r="22" spans="7:18" s="26" customFormat="1" ht="16.5" thickBot="1" x14ac:dyDescent="0.3">
      <c r="G22" s="67" t="s">
        <v>25</v>
      </c>
      <c r="H22" s="68" t="s">
        <v>47</v>
      </c>
      <c r="I22" s="81">
        <v>64000</v>
      </c>
      <c r="J22" s="69" t="str">
        <f t="shared" si="1"/>
        <v>MPI¹</v>
      </c>
      <c r="K22" s="26">
        <f>I22*(1+($N$25*4))</f>
        <v>67354.810951289503</v>
      </c>
      <c r="L22" s="78">
        <f>I22/SUM($I$18:$I$22)*$L$17</f>
        <v>75527.950310558997</v>
      </c>
      <c r="M22" s="78">
        <f t="shared" si="0"/>
        <v>79487.04397978264</v>
      </c>
      <c r="N22" s="82">
        <f>(N16-N19)/N19</f>
        <v>3.9314190835423847E-2</v>
      </c>
    </row>
    <row r="23" spans="7:18" s="26" customFormat="1" ht="16.5" thickTop="1" x14ac:dyDescent="0.25">
      <c r="G23" s="83" t="s">
        <v>27</v>
      </c>
      <c r="H23" s="84" t="s">
        <v>48</v>
      </c>
      <c r="I23" s="85">
        <f>ROUND(SUM(I18:I19)+(I20*33/49),0)</f>
        <v>61184</v>
      </c>
      <c r="J23" s="86" t="str">
        <f>"Row "&amp;G18&amp;" + Row "&amp;G19&amp;" + (Row "&amp;G20&amp;" x 33/49)"</f>
        <v>Row A + Row B + (Row C x 33/49)</v>
      </c>
      <c r="K23" s="78">
        <f>ROUND(SUM(K18:K19)+(K20*33/49),0)</f>
        <v>64391</v>
      </c>
      <c r="L23" s="78">
        <f>ROUND(SUM(L18:L19)+(L20*33/49),0)</f>
        <v>72204</v>
      </c>
      <c r="M23" s="78">
        <f>ROUND(SUM(M18:M19)+(M20*33/49),0)</f>
        <v>75989</v>
      </c>
    </row>
    <row r="24" spans="7:18" s="26" customFormat="1" ht="16.5" thickBot="1" x14ac:dyDescent="0.3">
      <c r="G24" s="67" t="s">
        <v>29</v>
      </c>
      <c r="H24" s="68" t="s">
        <v>49</v>
      </c>
      <c r="I24" s="87">
        <f>(O32*SUM(P32:Q32)/SUM(P32:Q34))+(O33*SUM(P33:Q33)/SUM(P32:Q34))+(O34*SUM(P34:Q34)/SUM(P32:Q34))</f>
        <v>0.70930149949280907</v>
      </c>
      <c r="J24" s="69" t="str">
        <f>LEFT(K29,9)&amp;" Column "&amp;O30&amp;" Weighted Average Rows "&amp;K32&amp;" - "&amp;K34</f>
        <v>Table 2.3 Column E Weighted Average Rows A - C</v>
      </c>
      <c r="N24" s="26" t="s">
        <v>50</v>
      </c>
    </row>
    <row r="25" spans="7:18" s="26" customFormat="1" ht="17.25" thickTop="1" thickBot="1" x14ac:dyDescent="0.3">
      <c r="G25" s="70" t="s">
        <v>31</v>
      </c>
      <c r="H25" s="71" t="s">
        <v>18</v>
      </c>
      <c r="I25" s="88">
        <f>ROUND(I23*I24,0)</f>
        <v>43398</v>
      </c>
      <c r="J25" s="72" t="str">
        <f>"Row "&amp;G23&amp;" x Row "&amp;G24</f>
        <v>Row F x Row G</v>
      </c>
      <c r="N25" s="82">
        <f>N22/3</f>
        <v>1.3104730278474615E-2</v>
      </c>
    </row>
    <row r="26" spans="7:18" s="26" customFormat="1" ht="30" customHeight="1" thickBot="1" x14ac:dyDescent="0.3">
      <c r="G26" s="139" t="str">
        <f>CHAR(185)&amp;" Data from the Migration Policy Institute (MPI): Profile on the Unauthorized Populaiton"&amp;CHAR(10)&amp;"https://www.migrationpolicy.org/data/unauthorized-immigrant-population/state/CO"</f>
        <v>¹ Data from the Migration Policy Institute (MPI): Profile on the Unauthorized Populaiton
https://www.migrationpolicy.org/data/unauthorized-immigrant-population/state/CO</v>
      </c>
      <c r="H26" s="140"/>
      <c r="I26" s="140"/>
      <c r="J26" s="141"/>
    </row>
    <row r="27" spans="7:18" s="26" customFormat="1" ht="15.75" x14ac:dyDescent="0.25"/>
    <row r="28" spans="7:18" s="26" customFormat="1" ht="16.5" thickBot="1" x14ac:dyDescent="0.3"/>
    <row r="29" spans="7:18" s="26" customFormat="1" ht="16.5" thickBot="1" x14ac:dyDescent="0.3">
      <c r="K29" s="133" t="s">
        <v>51</v>
      </c>
      <c r="L29" s="134"/>
      <c r="M29" s="134"/>
      <c r="N29" s="134"/>
      <c r="O29" s="134"/>
      <c r="P29" s="134"/>
      <c r="Q29" s="134"/>
      <c r="R29" s="135"/>
    </row>
    <row r="30" spans="7:18" s="26" customFormat="1" ht="16.5" thickBot="1" x14ac:dyDescent="0.3">
      <c r="K30" s="75" t="s">
        <v>17</v>
      </c>
      <c r="L30" s="76" t="s">
        <v>19</v>
      </c>
      <c r="M30" s="76" t="s">
        <v>20</v>
      </c>
      <c r="N30" s="76" t="s">
        <v>22</v>
      </c>
      <c r="O30" s="76" t="s">
        <v>25</v>
      </c>
      <c r="P30" s="76" t="s">
        <v>27</v>
      </c>
      <c r="Q30" s="76" t="s">
        <v>29</v>
      </c>
      <c r="R30" s="77" t="s">
        <v>31</v>
      </c>
    </row>
    <row r="31" spans="7:18" s="26" customFormat="1" ht="79.5" thickBot="1" x14ac:dyDescent="0.3">
      <c r="K31" s="89" t="s">
        <v>12</v>
      </c>
      <c r="L31" s="90" t="s">
        <v>13</v>
      </c>
      <c r="M31" s="90" t="s">
        <v>52</v>
      </c>
      <c r="N31" s="90" t="s">
        <v>53</v>
      </c>
      <c r="O31" s="90" t="s">
        <v>54</v>
      </c>
      <c r="P31" s="90" t="s">
        <v>55</v>
      </c>
      <c r="Q31" s="90" t="s">
        <v>56</v>
      </c>
      <c r="R31" s="91" t="s">
        <v>16</v>
      </c>
    </row>
    <row r="32" spans="7:18" s="26" customFormat="1" ht="15.75" x14ac:dyDescent="0.25">
      <c r="K32" s="34" t="s">
        <v>17</v>
      </c>
      <c r="L32" s="35" t="s">
        <v>41</v>
      </c>
      <c r="M32" s="92">
        <v>8.2256436872004984E-2</v>
      </c>
      <c r="N32" s="92">
        <v>0.6405215449759829</v>
      </c>
      <c r="O32" s="92">
        <f>SUM(M32:N32)</f>
        <v>0.72277798184798792</v>
      </c>
      <c r="P32" s="36">
        <f>58478.7608/2</f>
        <v>29239.380399999998</v>
      </c>
      <c r="Q32" s="36">
        <f>455367.478100001/2</f>
        <v>227683.7390500005</v>
      </c>
      <c r="R32" s="37" t="str">
        <f>"CHAS. Assumed Same as 0-100% FPL Data"&amp;CHAR(185)</f>
        <v>CHAS. Assumed Same as 0-100% FPL Data¹</v>
      </c>
    </row>
    <row r="33" spans="1:18" s="26" customFormat="1" ht="15.75" x14ac:dyDescent="0.25">
      <c r="K33" s="49" t="s">
        <v>19</v>
      </c>
      <c r="L33" s="50" t="s">
        <v>43</v>
      </c>
      <c r="M33" s="93">
        <v>8.2256436872004984E-2</v>
      </c>
      <c r="N33" s="93">
        <v>0.6405215449759829</v>
      </c>
      <c r="O33" s="93">
        <f t="shared" ref="O33:O39" si="2">SUM(M33:N33)</f>
        <v>0.72277798184798792</v>
      </c>
      <c r="P33" s="51">
        <v>58478.760799999996</v>
      </c>
      <c r="Q33" s="51">
        <v>455367.47810000082</v>
      </c>
      <c r="R33" s="53" t="str">
        <f>"CHAS. Assumed Same as 0-100% FPL Data"&amp;CHAR(185)</f>
        <v>CHAS. Assumed Same as 0-100% FPL Data¹</v>
      </c>
    </row>
    <row r="34" spans="1:18" s="26" customFormat="1" ht="16.5" thickBot="1" x14ac:dyDescent="0.3">
      <c r="K34" s="94" t="s">
        <v>20</v>
      </c>
      <c r="L34" s="95" t="s">
        <v>44</v>
      </c>
      <c r="M34" s="96">
        <v>8.1245491223729704E-2</v>
      </c>
      <c r="N34" s="96">
        <v>0.59200481695736362</v>
      </c>
      <c r="O34" s="96">
        <f t="shared" si="2"/>
        <v>0.67325030818109333</v>
      </c>
      <c r="P34" s="97">
        <f>69539.9015/2</f>
        <v>34769.950750000004</v>
      </c>
      <c r="Q34" s="97">
        <f>506710.662200001/2</f>
        <v>253355.33110000051</v>
      </c>
      <c r="R34" s="98" t="str">
        <f>"CHAS. Assumed Same as 101-200% FPL Data"&amp;CHAR(185)</f>
        <v>CHAS. Assumed Same as 101-200% FPL Data¹</v>
      </c>
    </row>
    <row r="35" spans="1:18" s="26" customFormat="1" ht="16.5" hidden="1" thickBot="1" x14ac:dyDescent="0.3">
      <c r="K35" s="99" t="s">
        <v>22</v>
      </c>
      <c r="L35" s="41" t="s">
        <v>45</v>
      </c>
      <c r="M35" s="100">
        <v>8.1245491223729704E-2</v>
      </c>
      <c r="N35" s="100">
        <v>0.59200481695736362</v>
      </c>
      <c r="O35" s="100">
        <f t="shared" si="2"/>
        <v>0.67325030818109333</v>
      </c>
      <c r="P35" s="41">
        <f>69539.9015/2</f>
        <v>34769.950750000004</v>
      </c>
      <c r="Q35" s="41">
        <f>506710.662200001/2</f>
        <v>253355.33110000051</v>
      </c>
      <c r="R35" s="44" t="str">
        <f>"CHAS. Assumed Same as 101-200% FPL Data"&amp;CHAR(178)</f>
        <v>CHAS. Assumed Same as 101-200% FPL Data²</v>
      </c>
    </row>
    <row r="36" spans="1:18" s="26" customFormat="1" ht="15.75" hidden="1" x14ac:dyDescent="0.25">
      <c r="K36" s="101" t="s">
        <v>25</v>
      </c>
      <c r="L36" s="84" t="s">
        <v>57</v>
      </c>
      <c r="M36" s="102">
        <v>0.11758717041390004</v>
      </c>
      <c r="N36" s="102">
        <v>0.37996050948579879</v>
      </c>
      <c r="O36" s="102">
        <f t="shared" si="2"/>
        <v>0.49754767989969884</v>
      </c>
      <c r="P36" s="84">
        <v>86614.80869999998</v>
      </c>
      <c r="Q36" s="84">
        <v>279879.23109999998</v>
      </c>
      <c r="R36" s="86" t="str">
        <f>"CHAS"&amp;CHAR(178)</f>
        <v>CHAS²</v>
      </c>
    </row>
    <row r="37" spans="1:18" s="26" customFormat="1" ht="15.75" hidden="1" x14ac:dyDescent="0.25">
      <c r="K37" s="103" t="s">
        <v>27</v>
      </c>
      <c r="L37" s="50" t="s">
        <v>58</v>
      </c>
      <c r="M37" s="93">
        <v>6.1794249962701261E-2</v>
      </c>
      <c r="N37" s="93">
        <v>0.24159355240435687</v>
      </c>
      <c r="O37" s="93">
        <f t="shared" si="2"/>
        <v>0.30338780236705815</v>
      </c>
      <c r="P37" s="50">
        <v>39780.494499999993</v>
      </c>
      <c r="Q37" s="50">
        <v>155527.59339999995</v>
      </c>
      <c r="R37" s="53" t="str">
        <f t="shared" ref="R37:R38" si="3">"CHAS"&amp;CHAR(178)</f>
        <v>CHAS²</v>
      </c>
    </row>
    <row r="38" spans="1:18" s="26" customFormat="1" ht="16.5" hidden="1" thickBot="1" x14ac:dyDescent="0.3">
      <c r="K38" s="104" t="s">
        <v>29</v>
      </c>
      <c r="L38" s="68" t="s">
        <v>59</v>
      </c>
      <c r="M38" s="105">
        <v>4.0983365868251881E-2</v>
      </c>
      <c r="N38" s="105">
        <v>0.180611889011005</v>
      </c>
      <c r="O38" s="105">
        <f t="shared" si="2"/>
        <v>0.22159525487925688</v>
      </c>
      <c r="P38" s="68">
        <v>106197.79129999997</v>
      </c>
      <c r="Q38" s="68">
        <v>468008.99069999903</v>
      </c>
      <c r="R38" s="69" t="str">
        <f t="shared" si="3"/>
        <v>CHAS²</v>
      </c>
    </row>
    <row r="39" spans="1:18" s="26" customFormat="1" ht="15.75" hidden="1" x14ac:dyDescent="0.25">
      <c r="K39" s="101" t="s">
        <v>31</v>
      </c>
      <c r="L39" s="84" t="s">
        <v>47</v>
      </c>
      <c r="M39" s="106">
        <f>(M36*P36/SUM(P36:P38))+(M37*P37/SUM(P36:P38))+(M38*P38/SUM(P36:P38))</f>
        <v>7.3068975085136378E-2</v>
      </c>
      <c r="N39" s="106">
        <f>(N36*Q36/SUM(Q36:Q38))+(N37*Q37/SUM(Q36:Q38))+(N38*Q38/SUM(Q36:Q38))</f>
        <v>0.25286861605753852</v>
      </c>
      <c r="O39" s="106">
        <f t="shared" si="2"/>
        <v>0.3259375911426749</v>
      </c>
      <c r="P39" s="84" t="s">
        <v>60</v>
      </c>
      <c r="Q39" s="84" t="s">
        <v>60</v>
      </c>
      <c r="R39" s="86" t="str">
        <f>"Weighted Average Rows "&amp;K36&amp;" -"&amp;K38</f>
        <v>Weighted Average Rows E -G</v>
      </c>
    </row>
    <row r="40" spans="1:18" s="26" customFormat="1" ht="30" customHeight="1" thickBot="1" x14ac:dyDescent="0.3">
      <c r="A40"/>
      <c r="K40" s="130" t="str">
        <f>CHAR(185)&amp;"2019 Colorado Helath Access Survey Demographics Workbook"&amp;CHAR(10)&amp;"https://www.coloradohealthinstitute.org/research/CHAS"</f>
        <v>¹2019 Colorado Helath Access Survey Demographics Workbook
https://www.coloradohealthinstitute.org/research/CHAS</v>
      </c>
      <c r="L40" s="131"/>
      <c r="M40" s="131"/>
      <c r="N40" s="131"/>
      <c r="O40" s="131"/>
      <c r="P40" s="131"/>
      <c r="Q40" s="131"/>
      <c r="R40" s="132"/>
    </row>
    <row r="41" spans="1:18" s="26" customFormat="1" ht="15.75" x14ac:dyDescent="0.25"/>
  </sheetData>
  <mergeCells count="7">
    <mergeCell ref="K40:R40"/>
    <mergeCell ref="B2:F2"/>
    <mergeCell ref="B13:F13"/>
    <mergeCell ref="B14:F14"/>
    <mergeCell ref="G16:J16"/>
    <mergeCell ref="G26:J26"/>
    <mergeCell ref="K29:R29"/>
  </mergeCells>
  <pageMargins left="0.7" right="0.7" top="0.75" bottom="0.75" header="0.3" footer="0.3"/>
  <pageSetup scale="7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 Analysis</vt:lpstr>
      <vt:lpstr>Monte_Carlo_Summary_Table</vt:lpstr>
      <vt:lpstr>Traditional Analysis</vt:lpstr>
      <vt:lpstr>'New Analysis'!Print_Area</vt:lpstr>
      <vt:lpstr>'Traditional Analysis'!Print_Area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</dc:creator>
  <cp:lastModifiedBy>McLaughlin, Kristine</cp:lastModifiedBy>
  <dcterms:created xsi:type="dcterms:W3CDTF">2020-05-12T05:32:47Z</dcterms:created>
  <dcterms:modified xsi:type="dcterms:W3CDTF">2020-05-14T19:42:25Z</dcterms:modified>
</cp:coreProperties>
</file>