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cristinasandoval/Desktop/DATA_practice/"/>
    </mc:Choice>
  </mc:AlternateContent>
  <xr:revisionPtr revIDLastSave="0" documentId="8_{9E4900E2-0186-6D45-B293-CFA43B4A397A}" xr6:coauthVersionLast="45" xr6:coauthVersionMax="45" xr10:uidLastSave="{00000000-0000-0000-0000-000000000000}"/>
  <bookViews>
    <workbookView xWindow="0" yWindow="460" windowWidth="18400" windowHeight="17840" firstSheet="16" activeTab="24" xr2:uid="{00000000-000D-0000-FFFF-FFFF00000000}"/>
  </bookViews>
  <sheets>
    <sheet name="Topics" sheetId="1" r:id="rId1"/>
    <sheet name="AND" sheetId="2" r:id="rId2"/>
    <sheet name="OR" sheetId="3" r:id="rId3"/>
    <sheet name="Boolean" sheetId="27" r:id="rId4"/>
    <sheet name="AND OR func" sheetId="5" r:id="rId5"/>
    <sheet name="IF IS" sheetId="7" r:id="rId6"/>
    <sheet name="Pivot or Formula" sheetId="8" r:id="rId7"/>
    <sheet name="Sales Team" sheetId="9" r:id="rId8"/>
    <sheet name="Homework ==&gt;&gt;" sheetId="14" r:id="rId9"/>
    <sheet name="HW(1)" sheetId="10" r:id="rId10"/>
    <sheet name="HW(1an)" sheetId="13" r:id="rId11"/>
    <sheet name="HW(2)" sheetId="11" r:id="rId12"/>
    <sheet name="HW(2an)" sheetId="15" r:id="rId13"/>
    <sheet name="HW(3)" sheetId="12" r:id="rId14"/>
    <sheet name="HW(3an)" sheetId="16" r:id="rId15"/>
    <sheet name="HW(4)" sheetId="25" r:id="rId16"/>
    <sheet name="HW(4an)" sheetId="26" r:id="rId17"/>
    <sheet name="HW(5)" sheetId="17" r:id="rId18"/>
    <sheet name="HW(5an)" sheetId="18" r:id="rId19"/>
    <sheet name="HW(6)" sheetId="19" r:id="rId20"/>
    <sheet name="HW(6an)" sheetId="20" r:id="rId21"/>
    <sheet name="HW(7)" sheetId="21" r:id="rId22"/>
    <sheet name="HW(7an)" sheetId="22" r:id="rId23"/>
    <sheet name="HW(9)" sheetId="23" r:id="rId24"/>
    <sheet name="HW(9an)" sheetId="24" r:id="rId25"/>
  </sheets>
  <definedNames>
    <definedName name="_xlnm._FilterDatabase" localSheetId="23" hidden="1">'HW(9)'!$B$4:$B$2003</definedName>
    <definedName name="_xlnm._FilterDatabase" localSheetId="24" hidden="1">'HW(9an)'!$B$6:$B$2005</definedName>
  </definedNames>
  <calcPr calcId="191029"/>
  <pivotCaches>
    <pivotCache cacheId="4" r:id="rId26"/>
    <pivotCache cacheId="5" r:id="rId27"/>
    <pivotCache cacheId="6" r:id="rId28"/>
    <pivotCache cacheId="7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6" i="24" l="1"/>
  <c r="K10" i="23"/>
  <c r="J10" i="23"/>
  <c r="K16" i="24"/>
  <c r="J10" i="24"/>
  <c r="H10" i="23"/>
  <c r="G10" i="23"/>
  <c r="I6" i="21"/>
  <c r="I7" i="21"/>
  <c r="I8" i="21"/>
  <c r="I9" i="2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/>
  <c r="I21" i="21"/>
  <c r="I22" i="21"/>
  <c r="I23" i="21"/>
  <c r="I24" i="21"/>
  <c r="I25" i="21"/>
  <c r="I26" i="21"/>
  <c r="I27" i="21"/>
  <c r="I28" i="21"/>
  <c r="I5" i="21"/>
  <c r="I5" i="22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G10" i="17"/>
  <c r="H10" i="17"/>
  <c r="I10" i="17"/>
  <c r="J10" i="17"/>
  <c r="K10" i="17"/>
  <c r="L10" i="17"/>
  <c r="G11" i="17"/>
  <c r="H11" i="17"/>
  <c r="I11" i="17"/>
  <c r="J11" i="17"/>
  <c r="K11" i="17"/>
  <c r="L11" i="17"/>
  <c r="G12" i="17"/>
  <c r="H12" i="17"/>
  <c r="I12" i="17"/>
  <c r="J12" i="17"/>
  <c r="K12" i="17"/>
  <c r="L12" i="17"/>
  <c r="G13" i="17"/>
  <c r="H13" i="17"/>
  <c r="I13" i="17"/>
  <c r="J13" i="17"/>
  <c r="K13" i="17"/>
  <c r="L13" i="17"/>
  <c r="G14" i="17"/>
  <c r="H14" i="17"/>
  <c r="I14" i="17"/>
  <c r="J14" i="17"/>
  <c r="K14" i="17"/>
  <c r="L14" i="17"/>
  <c r="G15" i="17"/>
  <c r="H15" i="17"/>
  <c r="I15" i="17"/>
  <c r="J15" i="17"/>
  <c r="K15" i="17"/>
  <c r="L15" i="17"/>
  <c r="G16" i="17"/>
  <c r="H16" i="17"/>
  <c r="I16" i="17"/>
  <c r="J16" i="17"/>
  <c r="K16" i="17"/>
  <c r="L16" i="17"/>
  <c r="G17" i="17"/>
  <c r="H17" i="17"/>
  <c r="I17" i="17"/>
  <c r="J17" i="17"/>
  <c r="K17" i="17"/>
  <c r="L17" i="17"/>
  <c r="G18" i="17"/>
  <c r="H18" i="17"/>
  <c r="I18" i="17"/>
  <c r="J18" i="17"/>
  <c r="K18" i="17"/>
  <c r="L18" i="17"/>
  <c r="G19" i="17"/>
  <c r="H19" i="17"/>
  <c r="I19" i="17"/>
  <c r="J19" i="17"/>
  <c r="K19" i="17"/>
  <c r="L19" i="17"/>
  <c r="H9" i="17"/>
  <c r="I9" i="17"/>
  <c r="J9" i="17"/>
  <c r="K9" i="17"/>
  <c r="L9" i="17"/>
  <c r="G9" i="17"/>
  <c r="J9" i="26"/>
  <c r="J9" i="25"/>
  <c r="E6" i="25"/>
  <c r="B6" i="25"/>
  <c r="B6" i="12"/>
  <c r="C6" i="12"/>
  <c r="D6" i="12"/>
  <c r="E6" i="12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C5" i="12"/>
  <c r="D5" i="12"/>
  <c r="E5" i="12"/>
  <c r="B5" i="12"/>
  <c r="B6" i="11"/>
  <c r="C6" i="11"/>
  <c r="D6" i="11"/>
  <c r="E6" i="11"/>
  <c r="B7" i="11"/>
  <c r="C7" i="11"/>
  <c r="D7" i="11"/>
  <c r="E7" i="11"/>
  <c r="B8" i="11"/>
  <c r="C8" i="11"/>
  <c r="D8" i="11"/>
  <c r="E8" i="11"/>
  <c r="B9" i="11"/>
  <c r="C9" i="11"/>
  <c r="D9" i="11"/>
  <c r="E9" i="11"/>
  <c r="B10" i="11"/>
  <c r="C10" i="11"/>
  <c r="D10" i="11"/>
  <c r="E10" i="11"/>
  <c r="C5" i="11"/>
  <c r="D5" i="11"/>
  <c r="E5" i="11"/>
  <c r="B5" i="11"/>
  <c r="B7" i="10"/>
  <c r="K19" i="3" l="1"/>
  <c r="A4" i="23"/>
  <c r="A3" i="23"/>
  <c r="A2" i="23"/>
  <c r="A1" i="23"/>
  <c r="J16" i="24"/>
  <c r="K10" i="24" a="1"/>
  <c r="K10" i="24" s="1"/>
  <c r="A4" i="24"/>
  <c r="A3" i="24"/>
  <c r="E12" i="8"/>
  <c r="E13" i="8"/>
  <c r="E11" i="8"/>
  <c r="M52" i="3"/>
  <c r="M10" i="27" l="1"/>
  <c r="K92" i="2"/>
  <c r="G7" i="27"/>
  <c r="D18" i="5"/>
  <c r="O44" i="2"/>
  <c r="D20" i="5"/>
  <c r="D19" i="5"/>
  <c r="G37" i="27"/>
  <c r="G19" i="27"/>
  <c r="G23" i="27"/>
  <c r="D21" i="5"/>
  <c r="O45" i="2"/>
  <c r="G31" i="27"/>
  <c r="O10" i="27"/>
  <c r="X17" i="3" l="1" a="1"/>
  <c r="X17" i="3" s="1"/>
  <c r="X29" i="2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U1" i="3"/>
  <c r="J8" i="26"/>
  <c r="A3" i="26" s="1"/>
  <c r="E6" i="26"/>
  <c r="B6" i="26"/>
  <c r="A2" i="26"/>
  <c r="A1" i="26"/>
  <c r="J8" i="25"/>
  <c r="A3" i="25" s="1"/>
  <c r="A2" i="25"/>
  <c r="A1" i="25"/>
  <c r="H16" i="24"/>
  <c r="H10" i="24"/>
  <c r="G10" i="24"/>
  <c r="A2" i="24"/>
  <c r="A1" i="24"/>
  <c r="I28" i="22"/>
  <c r="I27" i="22"/>
  <c r="I26" i="22"/>
  <c r="I25" i="22"/>
  <c r="I24" i="22"/>
  <c r="I23" i="22"/>
  <c r="I22" i="22"/>
  <c r="I21" i="22"/>
  <c r="I20" i="22"/>
  <c r="G19" i="22"/>
  <c r="G18" i="22"/>
  <c r="G12" i="22"/>
  <c r="G9" i="22"/>
  <c r="I6" i="22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G19" i="21"/>
  <c r="G18" i="21"/>
  <c r="G12" i="21"/>
  <c r="G9" i="21"/>
  <c r="K23" i="20"/>
  <c r="E23" i="20"/>
  <c r="K22" i="20"/>
  <c r="E22" i="20"/>
  <c r="K21" i="20"/>
  <c r="E21" i="20"/>
  <c r="K20" i="20"/>
  <c r="E20" i="20"/>
  <c r="K19" i="20"/>
  <c r="E19" i="20"/>
  <c r="K18" i="20"/>
  <c r="E18" i="20"/>
  <c r="K17" i="20"/>
  <c r="E17" i="20"/>
  <c r="K16" i="20"/>
  <c r="E16" i="20"/>
  <c r="K15" i="20"/>
  <c r="E15" i="20"/>
  <c r="K14" i="20"/>
  <c r="E14" i="20"/>
  <c r="K13" i="20"/>
  <c r="E13" i="20"/>
  <c r="K12" i="20"/>
  <c r="E12" i="20"/>
  <c r="K11" i="20"/>
  <c r="E11" i="20"/>
  <c r="K10" i="20"/>
  <c r="E10" i="20"/>
  <c r="K9" i="20"/>
  <c r="E9" i="20"/>
  <c r="K8" i="20"/>
  <c r="E8" i="20"/>
  <c r="K7" i="20"/>
  <c r="E7" i="20"/>
  <c r="K6" i="20"/>
  <c r="E6" i="20"/>
  <c r="K5" i="20"/>
  <c r="E5" i="20"/>
  <c r="K4" i="20"/>
  <c r="E4" i="20"/>
  <c r="G6" i="18"/>
  <c r="F9" i="18" s="1"/>
  <c r="G4" i="18"/>
  <c r="G3" i="18"/>
  <c r="A1" i="18"/>
  <c r="G6" i="17"/>
  <c r="F9" i="17" s="1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G4" i="17"/>
  <c r="G3" i="17"/>
  <c r="A1" i="17"/>
  <c r="B5" i="16"/>
  <c r="B11" i="16" s="1"/>
  <c r="C5" i="16"/>
  <c r="D5" i="16"/>
  <c r="E5" i="16"/>
  <c r="B6" i="16"/>
  <c r="F6" i="16" s="1"/>
  <c r="C6" i="16"/>
  <c r="D6" i="16"/>
  <c r="E6" i="16"/>
  <c r="B7" i="16"/>
  <c r="F7" i="16" s="1"/>
  <c r="C7" i="16"/>
  <c r="D7" i="16"/>
  <c r="E7" i="16"/>
  <c r="B8" i="16"/>
  <c r="C8" i="16"/>
  <c r="D8" i="16"/>
  <c r="E8" i="16"/>
  <c r="B9" i="16"/>
  <c r="C9" i="16"/>
  <c r="D9" i="16"/>
  <c r="E9" i="16"/>
  <c r="B10" i="16"/>
  <c r="C10" i="16"/>
  <c r="D10" i="16"/>
  <c r="E10" i="16"/>
  <c r="D11" i="16"/>
  <c r="F5" i="16"/>
  <c r="B5" i="15"/>
  <c r="C5" i="15"/>
  <c r="D5" i="15"/>
  <c r="D11" i="15" s="1"/>
  <c r="E5" i="15"/>
  <c r="B6" i="15"/>
  <c r="C6" i="15"/>
  <c r="F6" i="15" s="1"/>
  <c r="D6" i="15"/>
  <c r="E6" i="15"/>
  <c r="B7" i="15"/>
  <c r="C7" i="15"/>
  <c r="D7" i="15"/>
  <c r="E7" i="15"/>
  <c r="B8" i="15"/>
  <c r="C8" i="15"/>
  <c r="D8" i="15"/>
  <c r="E8" i="15"/>
  <c r="F8" i="15" s="1"/>
  <c r="B9" i="15"/>
  <c r="C9" i="15"/>
  <c r="D9" i="15"/>
  <c r="E9" i="15"/>
  <c r="B10" i="15"/>
  <c r="C10" i="15"/>
  <c r="D10" i="15"/>
  <c r="E10" i="15"/>
  <c r="B11" i="15"/>
  <c r="F7" i="15"/>
  <c r="B7" i="13"/>
  <c r="A2" i="13"/>
  <c r="A2" i="10"/>
  <c r="E11" i="12"/>
  <c r="D11" i="12"/>
  <c r="C11" i="12"/>
  <c r="B11" i="12"/>
  <c r="F10" i="12"/>
  <c r="F9" i="12"/>
  <c r="F8" i="12"/>
  <c r="F7" i="12"/>
  <c r="F6" i="12"/>
  <c r="F5" i="12"/>
  <c r="L61" i="3"/>
  <c r="AA29" i="2"/>
  <c r="L15" i="3"/>
  <c r="AA28" i="2"/>
  <c r="M50" i="3"/>
  <c r="D7" i="10"/>
  <c r="Z13" i="3"/>
  <c r="Z17" i="3"/>
  <c r="D7" i="13"/>
  <c r="V1" i="3"/>
  <c r="E11" i="15" l="1"/>
  <c r="F9" i="16"/>
  <c r="E11" i="16"/>
  <c r="F11" i="12"/>
  <c r="F5" i="15"/>
  <c r="F10" i="15"/>
  <c r="C11" i="15"/>
  <c r="F10" i="16"/>
  <c r="C11" i="16"/>
  <c r="J9" i="18"/>
  <c r="F10" i="18"/>
  <c r="I9" i="18"/>
  <c r="L9" i="18"/>
  <c r="H9" i="18"/>
  <c r="K9" i="18"/>
  <c r="G9" i="18"/>
  <c r="F8" i="16"/>
  <c r="F11" i="16"/>
  <c r="F11" i="15"/>
  <c r="F9" i="15"/>
  <c r="E11" i="11"/>
  <c r="D11" i="11"/>
  <c r="C11" i="11"/>
  <c r="B11" i="11"/>
  <c r="F10" i="11"/>
  <c r="F9" i="11"/>
  <c r="F8" i="11"/>
  <c r="F7" i="11"/>
  <c r="F6" i="11"/>
  <c r="F5" i="11"/>
  <c r="K10" i="18" l="1"/>
  <c r="G10" i="18"/>
  <c r="J10" i="18"/>
  <c r="F11" i="18"/>
  <c r="I10" i="18"/>
  <c r="L10" i="18"/>
  <c r="H10" i="18"/>
  <c r="F11" i="11"/>
  <c r="L11" i="18" l="1"/>
  <c r="H11" i="18"/>
  <c r="K11" i="18"/>
  <c r="G11" i="18"/>
  <c r="J11" i="18"/>
  <c r="F12" i="18"/>
  <c r="I11" i="18"/>
  <c r="F13" i="18" l="1"/>
  <c r="I12" i="18"/>
  <c r="L12" i="18"/>
  <c r="H12" i="18"/>
  <c r="K12" i="18"/>
  <c r="G12" i="18"/>
  <c r="J12" i="18"/>
  <c r="J13" i="18" l="1"/>
  <c r="F14" i="18"/>
  <c r="I13" i="18"/>
  <c r="L13" i="18"/>
  <c r="H13" i="18"/>
  <c r="K13" i="18"/>
  <c r="G13" i="18"/>
  <c r="K14" i="18" l="1"/>
  <c r="G14" i="18"/>
  <c r="J14" i="18"/>
  <c r="F15" i="18"/>
  <c r="I14" i="18"/>
  <c r="L14" i="18"/>
  <c r="H14" i="18"/>
  <c r="L15" i="18" l="1"/>
  <c r="H15" i="18"/>
  <c r="K15" i="18"/>
  <c r="G15" i="18"/>
  <c r="J15" i="18"/>
  <c r="F16" i="18"/>
  <c r="I15" i="18"/>
  <c r="F17" i="18" l="1"/>
  <c r="I16" i="18"/>
  <c r="L16" i="18"/>
  <c r="H16" i="18"/>
  <c r="K16" i="18"/>
  <c r="G16" i="18"/>
  <c r="J16" i="18"/>
  <c r="J17" i="18" l="1"/>
  <c r="F18" i="18"/>
  <c r="I17" i="18"/>
  <c r="L17" i="18"/>
  <c r="H17" i="18"/>
  <c r="K17" i="18"/>
  <c r="G17" i="18"/>
  <c r="K18" i="18" l="1"/>
  <c r="G18" i="18"/>
  <c r="J18" i="18"/>
  <c r="F19" i="18"/>
  <c r="I18" i="18"/>
  <c r="L18" i="18"/>
  <c r="H18" i="18"/>
  <c r="L19" i="18" l="1"/>
  <c r="H19" i="18"/>
  <c r="K19" i="18"/>
  <c r="G19" i="18"/>
  <c r="J19" i="18"/>
  <c r="I19" i="18"/>
  <c r="F8" i="9" l="1"/>
  <c r="G8" i="9"/>
  <c r="H8" i="9"/>
  <c r="I8" i="9"/>
  <c r="F9" i="9"/>
  <c r="G9" i="9"/>
  <c r="H9" i="9"/>
  <c r="I9" i="9"/>
  <c r="B14" i="7" l="1"/>
  <c r="A14" i="7"/>
  <c r="B13" i="7"/>
  <c r="B12" i="7"/>
  <c r="B11" i="7"/>
  <c r="B10" i="7"/>
  <c r="A9" i="7"/>
  <c r="B9" i="7" s="1"/>
  <c r="B8" i="7"/>
  <c r="B7" i="7"/>
  <c r="B6" i="7"/>
  <c r="B5" i="7"/>
  <c r="B4" i="7"/>
  <c r="B3" i="7"/>
  <c r="F10" i="5"/>
  <c r="E10" i="5"/>
  <c r="D10" i="5"/>
  <c r="C10" i="5"/>
  <c r="B10" i="5"/>
  <c r="B4" i="5"/>
  <c r="B2" i="5"/>
  <c r="X27" i="3" l="1"/>
  <c r="X13" i="3" l="1"/>
  <c r="Z27" i="3"/>
  <c r="X28" i="3" l="1"/>
  <c r="M27" i="3"/>
  <c r="L13" i="3"/>
  <c r="L14" i="3"/>
  <c r="M19" i="3"/>
  <c r="Z28" i="3"/>
  <c r="L28" i="2" l="1"/>
  <c r="K29" i="2" s="1"/>
  <c r="P28" i="2"/>
  <c r="P29" i="2"/>
  <c r="M79" i="2"/>
  <c r="M14" i="2"/>
  <c r="M76" i="2"/>
  <c r="M13" i="2"/>
  <c r="M78" i="2"/>
  <c r="M77" i="2"/>
  <c r="M15" i="2"/>
  <c r="P20" i="2"/>
  <c r="L29" i="2" l="1"/>
  <c r="K30" i="2" l="1"/>
  <c r="L30" i="2" s="1"/>
  <c r="K31" i="2" s="1"/>
  <c r="L31" i="2" l="1"/>
  <c r="K32" i="2" s="1"/>
  <c r="L32" i="2" l="1"/>
  <c r="K33" i="2" s="1"/>
  <c r="L33" i="2" l="1"/>
  <c r="K34" i="2" s="1"/>
  <c r="L34" i="2" l="1"/>
  <c r="K35" i="2" s="1"/>
  <c r="L35" i="2" l="1"/>
  <c r="K36" i="2" s="1"/>
  <c r="L36" i="2" l="1"/>
  <c r="K37" i="2" s="1"/>
  <c r="L37" i="2" l="1"/>
  <c r="K38" i="2" s="1"/>
  <c r="L38" i="2" l="1"/>
  <c r="K39" i="2" s="1"/>
  <c r="L39" i="2" l="1"/>
</calcChain>
</file>

<file path=xl/sharedStrings.xml><?xml version="1.0" encoding="utf-8"?>
<sst xmlns="http://schemas.openxmlformats.org/spreadsheetml/2006/main" count="45253" uniqueCount="353">
  <si>
    <t>Topics:</t>
  </si>
  <si>
    <t>AND Logical Test (AND Criteria)</t>
  </si>
  <si>
    <t>OR Logical Test (OR Criteria)</t>
  </si>
  <si>
    <t>Conditional Calculations: PivotTable or Formulas?</t>
  </si>
  <si>
    <t>Date</t>
  </si>
  <si>
    <t>Region</t>
  </si>
  <si>
    <t>SalesRep</t>
  </si>
  <si>
    <t>Customer</t>
  </si>
  <si>
    <t>Product</t>
  </si>
  <si>
    <t>COGS</t>
  </si>
  <si>
    <t>Sales</t>
  </si>
  <si>
    <t>AND Function</t>
  </si>
  <si>
    <t>OR Function</t>
  </si>
  <si>
    <t>West</t>
  </si>
  <si>
    <t>Gigi</t>
  </si>
  <si>
    <t>Amazon</t>
  </si>
  <si>
    <t>AIM Item</t>
  </si>
  <si>
    <t>South</t>
  </si>
  <si>
    <t>Fred Myer</t>
  </si>
  <si>
    <t>DAB Item</t>
  </si>
  <si>
    <t>Mo</t>
  </si>
  <si>
    <t>Peet's</t>
  </si>
  <si>
    <t>XOL Item</t>
  </si>
  <si>
    <t>Pham</t>
  </si>
  <si>
    <t>HD</t>
  </si>
  <si>
    <t>RAD Item</t>
  </si>
  <si>
    <t>McLendon's</t>
  </si>
  <si>
    <t>Shelia</t>
  </si>
  <si>
    <t>MidWest</t>
  </si>
  <si>
    <t>Costco</t>
  </si>
  <si>
    <t>OD</t>
  </si>
  <si>
    <t>North</t>
  </si>
  <si>
    <t>Economist</t>
  </si>
  <si>
    <t>QFC</t>
  </si>
  <si>
    <t>WFM</t>
  </si>
  <si>
    <t>Yahoo</t>
  </si>
  <si>
    <t>Google</t>
  </si>
  <si>
    <t>AND Criteria:</t>
  </si>
  <si>
    <t>Count Transactions</t>
  </si>
  <si>
    <t>Region/SalesRep</t>
  </si>
  <si>
    <t>Delivers TRUE only when all logical tests evaluate to TRUE.</t>
  </si>
  <si>
    <t>When you enter multiple criteria_ranges and criteria these functions perform a AND Logical Test.</t>
  </si>
  <si>
    <t>Lower Limit</t>
  </si>
  <si>
    <t>Upper Limit</t>
  </si>
  <si>
    <t>Total Sales</t>
  </si>
  <si>
    <t>Count</t>
  </si>
  <si>
    <t>Count
Transactions</t>
  </si>
  <si>
    <t>Total COGS ($)</t>
  </si>
  <si>
    <t>Average COGS ($)</t>
  </si>
  <si>
    <t>Total Sales ($)</t>
  </si>
  <si>
    <r>
      <rPr>
        <b/>
        <sz val="11"/>
        <color theme="1"/>
        <rFont val="Calibri"/>
        <family val="2"/>
        <scheme val="minor"/>
      </rPr>
      <t>SUMIFS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COUNTIFS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AVERAGEIFS</t>
    </r>
    <r>
      <rPr>
        <sz val="11"/>
        <color theme="1"/>
        <rFont val="Calibri"/>
        <family val="2"/>
        <scheme val="minor"/>
      </rPr>
      <t xml:space="preserve"> functions: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</si>
  <si>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Function:</t>
    </r>
  </si>
  <si>
    <t>&gt;=10/1/2013</t>
  </si>
  <si>
    <t>&lt;=12/31/2013</t>
  </si>
  <si>
    <t>1) Must have Proper Data Set</t>
  </si>
  <si>
    <t>4) Many D Functions: DAVERAGE, DCOUNT, DCOUNTA, DGET, DMAX, DMIN, DPRODUCT, DSTDEV, DSTDEVP, DSUM, DVAR, DVARP</t>
  </si>
  <si>
    <t>=West</t>
  </si>
  <si>
    <t>=Gigi</t>
  </si>
  <si>
    <t>=AIM Item</t>
  </si>
  <si>
    <r>
      <t xml:space="preserve">AND Logical Test </t>
    </r>
    <r>
      <rPr>
        <sz val="11"/>
        <color theme="1"/>
        <rFont val="Calibri"/>
        <family val="2"/>
        <scheme val="minor"/>
      </rPr>
      <t>(AND Criteria) = All Must be TRUE</t>
    </r>
  </si>
  <si>
    <r>
      <rPr>
        <b/>
        <sz val="11"/>
        <color theme="1"/>
        <rFont val="Calibri"/>
        <family val="2"/>
        <scheme val="minor"/>
      </rPr>
      <t>BETWEEN Logical Test</t>
    </r>
    <r>
      <rPr>
        <sz val="11"/>
        <color theme="1"/>
        <rFont val="Calibri"/>
        <family val="2"/>
        <scheme val="minor"/>
      </rPr>
      <t xml:space="preserve"> is a form of AND Logical Test that has an upper and lower limit.</t>
    </r>
  </si>
  <si>
    <t>5) D function argumnets:</t>
  </si>
  <si>
    <t>1) database = Must be a Proper Data Set with Field Names!!!!</t>
  </si>
  <si>
    <t>2) field = name of field you want to make a calculation on (either name of field or relative position amongst other field names, eg: for sales enter "Sales" or 7).</t>
  </si>
  <si>
    <t>Field calculating on:</t>
  </si>
  <si>
    <t>Total</t>
  </si>
  <si>
    <t>Average</t>
  </si>
  <si>
    <t>Standard Deviation</t>
  </si>
  <si>
    <t xml:space="preserve">AND Criteria is listed in same row. </t>
  </si>
  <si>
    <t>3) criteria = Field Names must be Above Criteria. Must include comparative Operator (for equal sign use lead apostrophe, like: '=West).</t>
  </si>
  <si>
    <r>
      <rPr>
        <b/>
        <u/>
        <sz val="11"/>
        <color theme="1"/>
        <rFont val="Calibri"/>
        <family val="2"/>
        <scheme val="minor"/>
      </rPr>
      <t>D functions</t>
    </r>
    <r>
      <rPr>
        <u/>
        <sz val="11"/>
        <color theme="1"/>
        <rFont val="Calibri"/>
        <family val="2"/>
        <scheme val="minor"/>
      </rPr>
      <t xml:space="preserve"> (Database functions):</t>
    </r>
  </si>
  <si>
    <t>2) Can't create cross tabulated formula tables with D Functions.        (Because you can't copy the formula and have the criteria area adjust.)</t>
  </si>
  <si>
    <t xml:space="preserve">OR Criteria is listed on different rows. </t>
  </si>
  <si>
    <r>
      <t xml:space="preserve">OR Logical Test </t>
    </r>
    <r>
      <rPr>
        <sz val="11"/>
        <color theme="1"/>
        <rFont val="Calibri"/>
        <family val="2"/>
        <scheme val="minor"/>
      </rPr>
      <t>(OR Criteria) = At Least One Must Be TRUE</t>
    </r>
  </si>
  <si>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Function:</t>
    </r>
  </si>
  <si>
    <t>Delivers TRUE when at least one logical test evaluates to TRUE.</t>
  </si>
  <si>
    <t>Customer Group 1</t>
  </si>
  <si>
    <t>Any math operation on TRUEs and FALSEs converts them to 1s and 0s.</t>
  </si>
  <si>
    <t>&gt;0 is so that we get a TRUE or a count of 1 or a count of 2</t>
  </si>
  <si>
    <t>Double Negative is usually the most efficinet way to convert TRUEs and FALESs to 1s and 0s.</t>
  </si>
  <si>
    <t>OR Criteria acting one one column:</t>
  </si>
  <si>
    <t>Microsoft</t>
  </si>
  <si>
    <t>OR Criteria acting more than one one column:</t>
  </si>
  <si>
    <r>
      <t xml:space="preserve">If the logical test spans more than one column, you must not </t>
    </r>
    <r>
      <rPr>
        <b/>
        <sz val="11"/>
        <color theme="1"/>
        <rFont val="Calibri"/>
        <family val="2"/>
        <scheme val="minor"/>
      </rPr>
      <t>Double Count</t>
    </r>
    <r>
      <rPr>
        <sz val="11"/>
        <color theme="1"/>
        <rFont val="Calibri"/>
        <family val="2"/>
        <scheme val="minor"/>
      </rPr>
      <t>.</t>
    </r>
  </si>
  <si>
    <t>(Multiple Items)</t>
  </si>
  <si>
    <t>D Functions:</t>
  </si>
  <si>
    <t>Incorrect!!</t>
  </si>
  <si>
    <t>TRUE or Any non-zero number in logical_test argument is interpreted as TRUE. FALSE and zero are interpreted as FALSE.</t>
  </si>
  <si>
    <t xml:space="preserve"> + is the math operator used for OR Criteria. * is the math operator used for AND Criteria.</t>
  </si>
  <si>
    <t>Our job in the AR Department is to access whether we should extend credit to customers.</t>
  </si>
  <si>
    <t>Rule #1:</t>
  </si>
  <si>
    <t>Rule #2:</t>
  </si>
  <si>
    <t>At least 1 of the credit ratings is exceeded.</t>
  </si>
  <si>
    <t>Rule #3:</t>
  </si>
  <si>
    <t>0-5</t>
  </si>
  <si>
    <t>0-10</t>
  </si>
  <si>
    <t>Sales Last Year</t>
  </si>
  <si>
    <t>Asset Value</t>
  </si>
  <si>
    <t>Late Payments Last Year</t>
  </si>
  <si>
    <t>Credit Rating 1</t>
  </si>
  <si>
    <t>Credit Rating 2</t>
  </si>
  <si>
    <t>Customer Information:</t>
  </si>
  <si>
    <t>Name</t>
  </si>
  <si>
    <t>Rule 1</t>
  </si>
  <si>
    <t>Rule 2</t>
  </si>
  <si>
    <t>Rule 3</t>
  </si>
  <si>
    <t>Birch Stores Inc.</t>
  </si>
  <si>
    <t>RAD Web Design</t>
  </si>
  <si>
    <t>Blue Acorn Design</t>
  </si>
  <si>
    <t>Shark Logistics Co.</t>
  </si>
  <si>
    <t>Foggy Camel Vacations</t>
  </si>
  <si>
    <t>Battalion's Moving Inc.</t>
  </si>
  <si>
    <t>Sioux</t>
  </si>
  <si>
    <t>Check #/Trans #</t>
  </si>
  <si>
    <t>Description</t>
  </si>
  <si>
    <t>Add</t>
  </si>
  <si>
    <t>Subtract</t>
  </si>
  <si>
    <t>Balance</t>
  </si>
  <si>
    <t>Bal. Forward</t>
  </si>
  <si>
    <t>Ch. 1034</t>
  </si>
  <si>
    <t>Rent</t>
  </si>
  <si>
    <t>Dept 5458</t>
  </si>
  <si>
    <t>Pay</t>
  </si>
  <si>
    <t>Cell content</t>
  </si>
  <si>
    <t>Function</t>
  </si>
  <si>
    <t>IS Function</t>
  </si>
  <si>
    <t>rad</t>
  </si>
  <si>
    <t>ISTEXT function</t>
  </si>
  <si>
    <t>Text yields TRUE</t>
  </si>
  <si>
    <t>ISNUMBER function</t>
  </si>
  <si>
    <t>A number yields TRUE</t>
  </si>
  <si>
    <t>Rad</t>
  </si>
  <si>
    <t>ISLOGICAL function</t>
  </si>
  <si>
    <t>A Logical yields TRUE</t>
  </si>
  <si>
    <t>ISBLANK function</t>
  </si>
  <si>
    <t>An empty cell yields TRUE</t>
  </si>
  <si>
    <t>ISERROR function</t>
  </si>
  <si>
    <t>#N/A, #VALUE!, #REF!, #DIV/0!, #NUM!, #NAME?, or #NULL! yields TRUE</t>
  </si>
  <si>
    <t>ISERR function</t>
  </si>
  <si>
    <t>Any error value except #N/A yields TRUE</t>
  </si>
  <si>
    <t>ISNA function</t>
  </si>
  <si>
    <t>An #N/A (value not available) yields TRUE</t>
  </si>
  <si>
    <t>Excel</t>
  </si>
  <si>
    <t>ISNONTEXT function</t>
  </si>
  <si>
    <t>Anything NOT text (number, error, empty cell) yields TRUE</t>
  </si>
  <si>
    <t>ISFORMULA</t>
  </si>
  <si>
    <t>A formula yields TRUE</t>
  </si>
  <si>
    <t>Credit Analysis for Accounts Receivable Department</t>
  </si>
  <si>
    <t>PivotTable or Formulas?</t>
  </si>
  <si>
    <t>Units</t>
  </si>
  <si>
    <t>North America</t>
  </si>
  <si>
    <t>Fred</t>
  </si>
  <si>
    <t>South America</t>
  </si>
  <si>
    <t>Sandi</t>
  </si>
  <si>
    <t>Abdi</t>
  </si>
  <si>
    <t>Grand Total</t>
  </si>
  <si>
    <t>Sum of Sales</t>
  </si>
  <si>
    <t>Row Labels</t>
  </si>
  <si>
    <t>Poppi</t>
  </si>
  <si>
    <t>Tyrone</t>
  </si>
  <si>
    <t>Sales Rep</t>
  </si>
  <si>
    <t>Irene</t>
  </si>
  <si>
    <t>Mel</t>
  </si>
  <si>
    <t>June</t>
  </si>
  <si>
    <t>Chin</t>
  </si>
  <si>
    <t>&lt;&lt;==  Takes Longer to create PivotTAbles</t>
  </si>
  <si>
    <t>Check:</t>
  </si>
  <si>
    <t>Al</t>
  </si>
  <si>
    <t>Kip</t>
  </si>
  <si>
    <t>Sales Team 4</t>
  </si>
  <si>
    <t>Sales Team 3</t>
  </si>
  <si>
    <t>Sales Team 2</t>
  </si>
  <si>
    <t>Sales Team 1</t>
  </si>
  <si>
    <t>Create a formula that can add sales based on Sales Team and Region.</t>
  </si>
  <si>
    <t>SalesRep/Region</t>
  </si>
  <si>
    <t>East</t>
  </si>
  <si>
    <t>Franks</t>
  </si>
  <si>
    <t>Gault</t>
  </si>
  <si>
    <t>Smith</t>
  </si>
  <si>
    <t>Sunshine</t>
  </si>
  <si>
    <t>KBTB</t>
  </si>
  <si>
    <t>MNGD</t>
  </si>
  <si>
    <t>JAQ</t>
  </si>
  <si>
    <t>Carlota</t>
  </si>
  <si>
    <t>FRED</t>
  </si>
  <si>
    <t>Sunset</t>
  </si>
  <si>
    <t>WFMI</t>
  </si>
  <si>
    <t>Quad</t>
  </si>
  <si>
    <t>TTT</t>
  </si>
  <si>
    <t>ET</t>
  </si>
  <si>
    <t>FM</t>
  </si>
  <si>
    <t>EPP</t>
  </si>
  <si>
    <t>T</t>
  </si>
  <si>
    <t>LOP</t>
  </si>
  <si>
    <t>PSA</t>
  </si>
  <si>
    <t>AST</t>
  </si>
  <si>
    <t>SFWK</t>
  </si>
  <si>
    <t>WSD</t>
  </si>
  <si>
    <t>Bellen</t>
  </si>
  <si>
    <t>QT</t>
  </si>
  <si>
    <t>DFR</t>
  </si>
  <si>
    <t>HII</t>
  </si>
  <si>
    <t>ITW</t>
  </si>
  <si>
    <t>AA</t>
  </si>
  <si>
    <t>WT</t>
  </si>
  <si>
    <t>PCC</t>
  </si>
  <si>
    <t>ZAT</t>
  </si>
  <si>
    <t>MBG</t>
  </si>
  <si>
    <t>TRU</t>
  </si>
  <si>
    <t>PLOT</t>
  </si>
  <si>
    <t>BBT</t>
  </si>
  <si>
    <t>DFGH</t>
  </si>
  <si>
    <t>GRR</t>
  </si>
  <si>
    <t>KPSA</t>
  </si>
  <si>
    <t>DDH</t>
  </si>
  <si>
    <t>In cell B4 create a formula that can be copied through the range B4:E9 that will add the Sales for each SalesRep in each Region.</t>
  </si>
  <si>
    <t>In cell B4 create a formula that can be copied through the range B4:E9 that will count how many transactions there are for each SalesRep made in each Region.</t>
  </si>
  <si>
    <t>Total Bank Deposit</t>
  </si>
  <si>
    <t>Bill Denomination</t>
  </si>
  <si>
    <t>Number of Each</t>
  </si>
  <si>
    <t>In Cell B7 calculate the total bank deposit.</t>
  </si>
  <si>
    <t>Count of SalesRep</t>
  </si>
  <si>
    <t>Time of Phone Call</t>
  </si>
  <si>
    <t>Max Date</t>
  </si>
  <si>
    <t>Luong</t>
  </si>
  <si>
    <t>Cs3</t>
  </si>
  <si>
    <t>Min Date</t>
  </si>
  <si>
    <t>Cs4</t>
  </si>
  <si>
    <t>Start Date</t>
  </si>
  <si>
    <t xml:space="preserve"> &lt;&lt;= enter start date for template</t>
  </si>
  <si>
    <t>1st of month</t>
  </si>
  <si>
    <t>Sheliadawn</t>
  </si>
  <si>
    <t>Cs2</t>
  </si>
  <si>
    <t>Month/Sales Rep</t>
  </si>
  <si>
    <t>Moe</t>
  </si>
  <si>
    <t>Tina</t>
  </si>
  <si>
    <t>Cs6</t>
  </si>
  <si>
    <t>Cs1</t>
  </si>
  <si>
    <t>Cs5</t>
  </si>
  <si>
    <t>This column (F) has the Custom Number Format mmmm, yyyy</t>
  </si>
  <si>
    <t>Create a formula that will say whether or not the customer gets credit. For our customers ALL criteria must be met in order to extend credit.</t>
  </si>
  <si>
    <t>Credit Score</t>
  </si>
  <si>
    <t>Extend Credit?</t>
  </si>
  <si>
    <t>Assumptions</t>
  </si>
  <si>
    <t>Customer 1</t>
  </si>
  <si>
    <t>Customer 2</t>
  </si>
  <si>
    <t>Customer 3</t>
  </si>
  <si>
    <t>&gt;=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</si>
  <si>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</si>
  <si>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</si>
  <si>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</si>
  <si>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</si>
  <si>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</si>
  <si>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</si>
  <si>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</si>
  <si>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</si>
  <si>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</si>
  <si>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</si>
  <si>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</si>
  <si>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</si>
  <si>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</si>
  <si>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</si>
  <si>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</si>
  <si>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</si>
  <si>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</si>
  <si>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In the I column create a formula that calculate the balance for the checkbook. Copy the formula through the range I5:I28. Use the IF function to show a blank for rows that do not have a date entered.</t>
  </si>
  <si>
    <t>Check No.</t>
  </si>
  <si>
    <t>Check Issued To</t>
  </si>
  <si>
    <t>Amount of Check</t>
  </si>
  <si>
    <t>ü</t>
  </si>
  <si>
    <t>Date of Deposit</t>
  </si>
  <si>
    <t>Amount of Deposit</t>
  </si>
  <si>
    <t>Balance Forward ==&gt;</t>
  </si>
  <si>
    <t>Office Depot</t>
  </si>
  <si>
    <t>Macbeth Hardwoods</t>
  </si>
  <si>
    <t>Suix Trucking</t>
  </si>
  <si>
    <t>Deposit</t>
  </si>
  <si>
    <t>Whole Foods Market</t>
  </si>
  <si>
    <t>Starbuck's</t>
  </si>
  <si>
    <t>There are many possible solutions for this one.</t>
  </si>
  <si>
    <t>Region Group 1</t>
  </si>
  <si>
    <t>Region Group 2</t>
  </si>
  <si>
    <t>HM</t>
  </si>
  <si>
    <t>Add Sales</t>
  </si>
  <si>
    <t>Total Deposit</t>
  </si>
  <si>
    <t>Total Revenue</t>
  </si>
  <si>
    <t>Denomination</t>
  </si>
  <si>
    <t>Units sold</t>
  </si>
  <si>
    <t>Price Each</t>
  </si>
  <si>
    <t>Second Example with EOMONTH function ==&gt;&gt;</t>
  </si>
  <si>
    <t>Average Sales</t>
  </si>
  <si>
    <t>MATCH delivers the relative position of an item in a list.</t>
  </si>
  <si>
    <t>lookup_value is making a function argumnet array operation.</t>
  </si>
  <si>
    <t>ISNUMBER is delivering a TRUE if it finds a number and FALSE if it does not.</t>
  </si>
  <si>
    <t>The Resultant Array from ISNUMBER and MATCH filter the values so that only the values that match the OR Criteria go into the AVERAGE function.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</si>
  <si>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Microsoft OR Yahoo OR Google?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</si>
  <si>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is the SalesRep Gigi?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</si>
  <si>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Region South AND is the SalesRep Gigi AND is the Product DAB Item?</t>
    </r>
  </si>
  <si>
    <t>Between Logical Tests</t>
  </si>
  <si>
    <t>OR Criteria looking at one column</t>
  </si>
  <si>
    <t>Highline Excel 2016 Class 06: Conditional Calculations with Excel Formulas: AND &amp; OR Criteria</t>
  </si>
  <si>
    <t>SUMIFS, COUNTIFS, AVERAGEIFS functions with AND Criteria</t>
  </si>
  <si>
    <t>SUMIFS, COUNTIFS functions with OR Criteria (Function Argument Array Operations &amp; SUMPRODUCT)</t>
  </si>
  <si>
    <t>D Functions (Database functions) with AND Criteria</t>
  </si>
  <si>
    <t>We have to be careful when the Upper and Lower of two categories are the same. Equal sign on only one.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</si>
  <si>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Date for the Record Between the Upper and Lower Limit?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</si>
  <si>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Please Count all the transactions for the month.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</si>
  <si>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Count Sales Amounts that were Between the Upper and Lower Limit.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</si>
  <si>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Date in 4th Quarter AND is the Region West AND is the SalesRep Gigi AND is the Product AIM Item?</t>
    </r>
  </si>
  <si>
    <t>OR Criteria:</t>
  </si>
  <si>
    <t>Subtracting the COUNTIFS with AND Criteria removes the Double Count</t>
  </si>
  <si>
    <t>Example where OR Criteria is looking at one column:</t>
  </si>
  <si>
    <t>Example where OR Criteria is looking at two columns (we have to worry about Double Counting):</t>
  </si>
  <si>
    <t>D Functions (Database functions) with OR Criteria</t>
  </si>
  <si>
    <t>IF For Rule 3</t>
  </si>
  <si>
    <t>IF Function &amp; IS functions</t>
  </si>
  <si>
    <t>There is no STDEVSIF function that we can use to copy through a cross tabulated table.</t>
  </si>
  <si>
    <t>This means we need to create an Array Formula that can filter out values we don't need based on AND Criteria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</si>
  <si>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Calculate Standard Deviation based on Region and Sales Rep.</t>
    </r>
  </si>
  <si>
    <t>Example of AND Criteria Array Operation</t>
  </si>
  <si>
    <t xml:space="preserve">6) When to use D functions: </t>
  </si>
  <si>
    <t>1) Have Proper Data Set</t>
  </si>
  <si>
    <t>2) Don't need to copy formula</t>
  </si>
  <si>
    <t>3) Complex Criteria</t>
  </si>
  <si>
    <t>4) No other function to make calculation</t>
  </si>
  <si>
    <t xml:space="preserve">***AND Criteria is listed in same row. </t>
  </si>
  <si>
    <t xml:space="preserve">***OR Criteria is listed on different rows. </t>
  </si>
  <si>
    <t>S D</t>
  </si>
  <si>
    <r>
      <t xml:space="preserve"> =STDEV.S(IF({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;TRUE;FALSE},IF({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</si>
  <si>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;FALSE;FALSE;FALSE},{6279;9428;7417;6270;5610}))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</si>
  <si>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</si>
  <si>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2546</t>
    </r>
    <r>
      <rPr>
        <sz val="11"/>
        <color theme="1"/>
        <rFont val="Calibri"/>
        <family val="2"/>
        <scheme val="minor"/>
      </rPr>
      <t>;1987}))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</si>
  <si>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</t>
    </r>
  </si>
  <si>
    <t>Ave. Sales</t>
  </si>
  <si>
    <t>ISBLANK</t>
  </si>
  <si>
    <t>ISNUMBER</t>
  </si>
  <si>
    <t>ISTEXT</t>
  </si>
  <si>
    <t>1) If the solution needs to instantly update when formula inputs or source data changes, then formulas are preferable.</t>
  </si>
  <si>
    <t>2) If you are making aggregate calculations with many criteria and you don’t need the solution to update instantly when source data changes, then PivotTables are preferable.</t>
  </si>
  <si>
    <t>3) There are more functions in an Excel spreadsheet than there are in a PivotTable.</t>
  </si>
  <si>
    <t>4) PivotTable only do Aggregate Calculations.</t>
  </si>
  <si>
    <t>5) For Big Data formulas calculate slowly.</t>
  </si>
  <si>
    <t>6) PivotTables are easy to create.</t>
  </si>
  <si>
    <t>7) Sometimes it is easier to create your solution with formulas, sometimes it is easier with a PivotTable.</t>
  </si>
  <si>
    <t>Ch 100</t>
  </si>
  <si>
    <t>Month</t>
  </si>
  <si>
    <t>Jan</t>
  </si>
  <si>
    <t>Feb</t>
  </si>
  <si>
    <t>Mar</t>
  </si>
  <si>
    <t>Sum of Units</t>
  </si>
  <si>
    <t>Months</t>
  </si>
  <si>
    <t>Array Formulas with AND Criteria. Use Two IF Functions.</t>
  </si>
  <si>
    <t>AVERAGE function and Array Operation for OR Criteria: for 1 or more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</si>
</sst>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0"/>
    <numFmt numFmtId="166" formatCode="&quot;$&quot;0.00"/>
    <numFmt numFmtId="167" formatCode="mmmm\,\ yyyy"/>
    <numFmt numFmtId="168" formatCode="mm/dd/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name val="Wingdings"/>
      <charset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2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66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2" borderId="1"/>
    <xf numFmtId="44" fontId="1" fillId="0" borderId="0" applyFont="0" applyFill="0" applyBorder="0" applyAlignment="0" applyProtection="0"/>
    <xf numFmtId="0" fontId="3" fillId="2" borderId="1">
      <alignment wrapText="1"/>
    </xf>
  </cellStyleXfs>
  <cellXfs count="123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3" fontId="0" fillId="0" borderId="1" xfId="0" applyNumberFormat="1" applyBorder="1"/>
    <xf numFmtId="0" fontId="4" fillId="4" borderId="1" xfId="0" applyFont="1" applyFill="1" applyBorder="1"/>
    <xf numFmtId="0" fontId="3" fillId="4" borderId="1" xfId="2" applyFill="1"/>
    <xf numFmtId="3" fontId="0" fillId="3" borderId="1" xfId="1" applyNumberFormat="1" applyFont="1" applyFill="1" applyBorder="1"/>
    <xf numFmtId="0" fontId="2" fillId="0" borderId="0" xfId="0" applyFont="1"/>
    <xf numFmtId="0" fontId="4" fillId="2" borderId="1" xfId="0" applyFont="1" applyFill="1" applyBorder="1"/>
    <xf numFmtId="0" fontId="0" fillId="0" borderId="0" xfId="0" applyAlignment="1">
      <alignment horizontal="left" indent="2"/>
    </xf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8" xfId="0" applyFill="1" applyBorder="1" applyAlignment="1">
      <alignment horizontal="left" indent="2"/>
    </xf>
    <xf numFmtId="0" fontId="0" fillId="5" borderId="5" xfId="0" applyFill="1" applyBorder="1" applyAlignment="1">
      <alignment horizontal="left" indent="1"/>
    </xf>
    <xf numFmtId="14" fontId="0" fillId="0" borderId="1" xfId="0" applyNumberFormat="1" applyBorder="1"/>
    <xf numFmtId="0" fontId="3" fillId="2" borderId="10" xfId="0" applyFont="1" applyFill="1" applyBorder="1"/>
    <xf numFmtId="3" fontId="0" fillId="3" borderId="10" xfId="1" applyNumberFormat="1" applyFont="1" applyFill="1" applyBorder="1"/>
    <xf numFmtId="0" fontId="0" fillId="5" borderId="2" xfId="0" applyFill="1" applyBorder="1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2" fillId="5" borderId="11" xfId="0" applyFont="1" applyFill="1" applyBorder="1"/>
    <xf numFmtId="0" fontId="0" fillId="0" borderId="1" xfId="0" quotePrefix="1" applyBorder="1"/>
    <xf numFmtId="0" fontId="3" fillId="2" borderId="10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2"/>
    <xf numFmtId="0" fontId="3" fillId="2" borderId="0" xfId="2" applyBorder="1"/>
    <xf numFmtId="0" fontId="5" fillId="5" borderId="2" xfId="0" applyFont="1" applyFill="1" applyBorder="1" applyAlignment="1">
      <alignment horizontal="left"/>
    </xf>
    <xf numFmtId="0" fontId="0" fillId="5" borderId="8" xfId="0" applyFill="1" applyBorder="1" applyAlignment="1">
      <alignment horizontal="left" indent="6"/>
    </xf>
    <xf numFmtId="0" fontId="0" fillId="5" borderId="5" xfId="0" applyFill="1" applyBorder="1" applyAlignment="1">
      <alignment horizontal="left" indent="6"/>
    </xf>
    <xf numFmtId="0" fontId="0" fillId="0" borderId="0" xfId="0" pivotButton="1"/>
    <xf numFmtId="0" fontId="0" fillId="0" borderId="0" xfId="0" applyNumberFormat="1"/>
    <xf numFmtId="0" fontId="8" fillId="0" borderId="0" xfId="0" applyFont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Continuous" wrapText="1"/>
    </xf>
    <xf numFmtId="0" fontId="0" fillId="0" borderId="16" xfId="0" applyBorder="1" applyAlignment="1">
      <alignment horizontal="centerContinuous" wrapText="1"/>
    </xf>
    <xf numFmtId="0" fontId="3" fillId="4" borderId="1" xfId="0" applyFont="1" applyFill="1" applyBorder="1" applyAlignment="1">
      <alignment wrapText="1"/>
    </xf>
    <xf numFmtId="6" fontId="0" fillId="0" borderId="1" xfId="0" applyNumberFormat="1" applyBorder="1"/>
    <xf numFmtId="0" fontId="3" fillId="2" borderId="1" xfId="4" applyBorder="1" applyAlignment="1">
      <alignment wrapText="1"/>
    </xf>
    <xf numFmtId="8" fontId="0" fillId="0" borderId="1" xfId="0" applyNumberFormat="1" applyBorder="1"/>
    <xf numFmtId="0" fontId="3" fillId="2" borderId="1" xfId="4" applyBorder="1">
      <alignment wrapText="1"/>
    </xf>
    <xf numFmtId="44" fontId="0" fillId="0" borderId="1" xfId="3" applyFont="1" applyBorder="1"/>
    <xf numFmtId="44" fontId="0" fillId="3" borderId="1" xfId="3" applyFont="1" applyFill="1" applyBorder="1"/>
    <xf numFmtId="0" fontId="0" fillId="6" borderId="1" xfId="0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0" fillId="0" borderId="10" xfId="0" applyBorder="1"/>
    <xf numFmtId="0" fontId="0" fillId="3" borderId="10" xfId="0" applyFill="1" applyBorder="1"/>
    <xf numFmtId="0" fontId="3" fillId="2" borderId="1" xfId="4">
      <alignment wrapText="1"/>
    </xf>
    <xf numFmtId="0" fontId="9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0" fillId="7" borderId="1" xfId="0" applyFill="1" applyBorder="1" applyAlignment="1">
      <alignment horizontal="centerContinuous" wrapText="1"/>
    </xf>
    <xf numFmtId="8" fontId="0" fillId="0" borderId="0" xfId="0" applyNumberFormat="1"/>
    <xf numFmtId="0" fontId="7" fillId="2" borderId="1" xfId="0" applyFont="1" applyFill="1" applyBorder="1"/>
    <xf numFmtId="0" fontId="0" fillId="3" borderId="11" xfId="0" applyFill="1" applyBorder="1"/>
    <xf numFmtId="0" fontId="2" fillId="8" borderId="1" xfId="0" applyFont="1" applyFill="1" applyBorder="1"/>
    <xf numFmtId="0" fontId="0" fillId="3" borderId="13" xfId="0" applyFill="1" applyBorder="1"/>
    <xf numFmtId="0" fontId="2" fillId="8" borderId="13" xfId="0" applyFont="1" applyFill="1" applyBorder="1"/>
    <xf numFmtId="0" fontId="3" fillId="2" borderId="2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2" fillId="8" borderId="10" xfId="0" applyFont="1" applyFill="1" applyBorder="1"/>
    <xf numFmtId="165" fontId="2" fillId="0" borderId="1" xfId="0" applyNumberFormat="1" applyFont="1" applyBorder="1"/>
    <xf numFmtId="166" fontId="2" fillId="0" borderId="1" xfId="0" applyNumberFormat="1" applyFont="1" applyBorder="1"/>
    <xf numFmtId="0" fontId="0" fillId="0" borderId="1" xfId="0" applyFill="1" applyBorder="1"/>
    <xf numFmtId="0" fontId="0" fillId="5" borderId="2" xfId="0" applyFill="1" applyBorder="1"/>
    <xf numFmtId="0" fontId="0" fillId="5" borderId="5" xfId="0" applyFill="1" applyBorder="1"/>
    <xf numFmtId="164" fontId="0" fillId="3" borderId="1" xfId="0" applyNumberFormat="1" applyFill="1" applyBorder="1"/>
    <xf numFmtId="164" fontId="0" fillId="0" borderId="0" xfId="0" applyNumberFormat="1"/>
    <xf numFmtId="0" fontId="0" fillId="7" borderId="1" xfId="0" applyFill="1" applyBorder="1"/>
    <xf numFmtId="14" fontId="0" fillId="3" borderId="1" xfId="0" applyNumberFormat="1" applyFill="1" applyBorder="1"/>
    <xf numFmtId="14" fontId="3" fillId="4" borderId="1" xfId="0" applyNumberFormat="1" applyFont="1" applyFill="1" applyBorder="1"/>
    <xf numFmtId="0" fontId="3" fillId="4" borderId="0" xfId="0" applyFont="1" applyFill="1"/>
    <xf numFmtId="167" fontId="0" fillId="0" borderId="1" xfId="0" applyNumberForma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0" fillId="9" borderId="18" xfId="0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10" fillId="9" borderId="19" xfId="0" applyFont="1" applyFill="1" applyBorder="1" applyAlignment="1">
      <alignment wrapText="1"/>
    </xf>
    <xf numFmtId="0" fontId="0" fillId="9" borderId="20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/>
    <xf numFmtId="0" fontId="0" fillId="0" borderId="21" xfId="0" applyBorder="1" applyAlignment="1">
      <alignment horizontal="right"/>
    </xf>
    <xf numFmtId="0" fontId="0" fillId="0" borderId="20" xfId="0" applyBorder="1"/>
    <xf numFmtId="0" fontId="0" fillId="0" borderId="18" xfId="0" applyBorder="1"/>
    <xf numFmtId="168" fontId="0" fillId="0" borderId="19" xfId="0" applyNumberFormat="1" applyBorder="1"/>
    <xf numFmtId="0" fontId="0" fillId="0" borderId="19" xfId="0" applyBorder="1"/>
    <xf numFmtId="43" fontId="3" fillId="4" borderId="19" xfId="0" applyNumberFormat="1" applyFont="1" applyFill="1" applyBorder="1"/>
    <xf numFmtId="43" fontId="3" fillId="10" borderId="19" xfId="0" applyNumberFormat="1" applyFont="1" applyFill="1" applyBorder="1"/>
    <xf numFmtId="43" fontId="0" fillId="3" borderId="20" xfId="0" applyNumberFormat="1" applyFill="1" applyBorder="1"/>
    <xf numFmtId="0" fontId="11" fillId="0" borderId="18" xfId="0" applyFont="1" applyBorder="1"/>
    <xf numFmtId="168" fontId="11" fillId="0" borderId="19" xfId="0" applyNumberFormat="1" applyFont="1" applyBorder="1"/>
    <xf numFmtId="0" fontId="11" fillId="0" borderId="19" xfId="0" applyFont="1" applyBorder="1"/>
    <xf numFmtId="43" fontId="12" fillId="10" borderId="19" xfId="0" applyNumberFormat="1" applyFont="1" applyFill="1" applyBorder="1"/>
    <xf numFmtId="0" fontId="0" fillId="0" borderId="1" xfId="0" applyNumberFormat="1" applyBorder="1"/>
    <xf numFmtId="8" fontId="0" fillId="3" borderId="13" xfId="0" applyNumberFormat="1" applyFill="1" applyBorder="1"/>
    <xf numFmtId="0" fontId="0" fillId="3" borderId="1" xfId="0" applyNumberForma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3" fontId="0" fillId="3" borderId="1" xfId="0" applyNumberFormat="1" applyFill="1" applyBorder="1"/>
    <xf numFmtId="0" fontId="3" fillId="2" borderId="17" xfId="2" applyBorder="1"/>
    <xf numFmtId="0" fontId="2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5" xfId="0" applyFill="1" applyBorder="1" applyAlignment="1">
      <alignment horizontal="left" indent="2"/>
    </xf>
    <xf numFmtId="0" fontId="0" fillId="3" borderId="1" xfId="0" applyFont="1" applyFill="1" applyBorder="1"/>
    <xf numFmtId="0" fontId="3" fillId="2" borderId="1" xfId="2" applyBorder="1"/>
  </cellXfs>
  <cellStyles count="5">
    <cellStyle name="BlueHeader" xfId="2" xr:uid="{00000000-0005-0000-0000-000000000000}"/>
    <cellStyle name="Comma" xfId="1" builtinId="3"/>
    <cellStyle name="Currency" xfId="3" builtinId="4"/>
    <cellStyle name="DarkBlue" xfId="4" xr:uid="{00000000-0005-0000-0000-000003000000}"/>
    <cellStyle name="Normal" xfId="0" builtinId="0"/>
  </cellStyles>
  <dxfs count="13"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FFCC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124652778" createdVersion="6" refreshedVersion="6" minRefreshableVersion="3" recordCount="105" xr:uid="{00000000-000A-0000-FFFF-FFFF00000000}">
  <cacheSource type="worksheet">
    <worksheetSource ref="A14:H119" sheet="HW(2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926041666" createdVersion="6" refreshedVersion="6" minRefreshableVersion="3" recordCount="105" xr:uid="{00000000-000A-0000-FFFF-FFFF01000000}">
  <cacheSource type="worksheet">
    <worksheetSource ref="A14:H119" sheet="HW(3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694703703703" createdVersion="6" refreshedVersion="6" minRefreshableVersion="3" recordCount="42" xr:uid="{00000000-000A-0000-FFFF-FFFF02000000}">
  <cacheSource type="worksheet">
    <worksheetSource ref="A3:C45" sheet="Sales Team"/>
  </cacheSource>
  <cacheFields count="3">
    <cacheField name="Sales Rep" numFmtId="0">
      <sharedItems count="15">
        <s v="Kip"/>
        <s v="June"/>
        <s v="Gigi"/>
        <s v="Mel"/>
        <s v="Tyrone"/>
        <s v="Chin"/>
        <s v="Abdi"/>
        <s v="Sandi"/>
        <s v="Shelia"/>
        <s v="Pham"/>
        <s v="Mo"/>
        <s v="Poppi"/>
        <s v="Irene"/>
        <s v="Sioux"/>
        <s v="Fred"/>
      </sharedItems>
    </cacheField>
    <cacheField name="Sales" numFmtId="0">
      <sharedItems containsSemiMixedTypes="0" containsString="0" containsNumber="1" containsInteger="1" minValue="132" maxValue="1635"/>
    </cacheField>
    <cacheField name="Region" numFmtId="0">
      <sharedItems count="2">
        <s v="North America"/>
        <s v="South Ame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6.924659490738" createdVersion="6" refreshedVersion="6" minRefreshableVersion="3" recordCount="10" xr:uid="{00000000-000A-0000-FFFF-FFFF03000000}">
  <cacheSource type="worksheet">
    <worksheetSource ref="A10:B20" sheet="Pivot or Formula"/>
  </cacheSource>
  <cacheFields count="3">
    <cacheField name="Date" numFmtId="14">
      <sharedItems containsSemiMixedTypes="0" containsNonDate="0" containsDate="1" containsString="0" minDate="2016-01-08T00:00:00" maxDate="2016-03-15T00:00:00" count="10">
        <d v="2016-03-10T00:00:00"/>
        <d v="2016-03-14T00:00:00"/>
        <d v="2016-01-28T00:00:00"/>
        <d v="2016-01-16T00:00:00"/>
        <d v="2016-02-29T00:00:00"/>
        <d v="2016-02-04T00:00:00"/>
        <d v="2016-03-09T00:00:00"/>
        <d v="2016-01-08T00:00:00"/>
        <d v="2016-02-05T00:00:00"/>
        <d v="2016-02-21T00:00:00"/>
      </sharedItems>
      <fieldGroup par="2" base="0">
        <rangePr groupBy="days" startDate="2016-01-08T00:00:00" endDate="2016-03-15T00:00:00"/>
        <groupItems count="368">
          <s v="&lt;1/8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15/2016"/>
        </groupItems>
      </fieldGroup>
    </cacheField>
    <cacheField name="Units" numFmtId="0">
      <sharedItems containsSemiMixedTypes="0" containsString="0" containsNumber="1" containsInteger="1" minValue="124" maxValue="556"/>
    </cacheField>
    <cacheField name="Months" numFmtId="0" databaseField="0">
      <fieldGroup base="0">
        <rangePr groupBy="months" startDate="2016-01-08T00:00:00" endDate="2016-03-15T00:00:00"/>
        <groupItems count="14">
          <s v="&lt;1/8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">
  <r>
    <x v="0"/>
    <n v="457"/>
    <x v="0"/>
  </r>
  <r>
    <x v="1"/>
    <n v="368"/>
    <x v="0"/>
  </r>
  <r>
    <x v="2"/>
    <n v="725"/>
    <x v="1"/>
  </r>
  <r>
    <x v="3"/>
    <n v="736"/>
    <x v="1"/>
  </r>
  <r>
    <x v="4"/>
    <n v="606"/>
    <x v="1"/>
  </r>
  <r>
    <x v="5"/>
    <n v="1418"/>
    <x v="1"/>
  </r>
  <r>
    <x v="6"/>
    <n v="1110"/>
    <x v="1"/>
  </r>
  <r>
    <x v="7"/>
    <n v="1489"/>
    <x v="0"/>
  </r>
  <r>
    <x v="1"/>
    <n v="175"/>
    <x v="0"/>
  </r>
  <r>
    <x v="8"/>
    <n v="1354"/>
    <x v="1"/>
  </r>
  <r>
    <x v="9"/>
    <n v="132"/>
    <x v="0"/>
  </r>
  <r>
    <x v="2"/>
    <n v="449"/>
    <x v="1"/>
  </r>
  <r>
    <x v="10"/>
    <n v="1333"/>
    <x v="0"/>
  </r>
  <r>
    <x v="7"/>
    <n v="1571"/>
    <x v="0"/>
  </r>
  <r>
    <x v="5"/>
    <n v="1553"/>
    <x v="0"/>
  </r>
  <r>
    <x v="4"/>
    <n v="1196"/>
    <x v="1"/>
  </r>
  <r>
    <x v="1"/>
    <n v="679"/>
    <x v="0"/>
  </r>
  <r>
    <x v="9"/>
    <n v="221"/>
    <x v="1"/>
  </r>
  <r>
    <x v="9"/>
    <n v="1097"/>
    <x v="0"/>
  </r>
  <r>
    <x v="2"/>
    <n v="473"/>
    <x v="0"/>
  </r>
  <r>
    <x v="4"/>
    <n v="573"/>
    <x v="1"/>
  </r>
  <r>
    <x v="2"/>
    <n v="1160"/>
    <x v="1"/>
  </r>
  <r>
    <x v="1"/>
    <n v="1268"/>
    <x v="0"/>
  </r>
  <r>
    <x v="7"/>
    <n v="1635"/>
    <x v="0"/>
  </r>
  <r>
    <x v="3"/>
    <n v="152"/>
    <x v="0"/>
  </r>
  <r>
    <x v="11"/>
    <n v="603"/>
    <x v="0"/>
  </r>
  <r>
    <x v="12"/>
    <n v="458"/>
    <x v="0"/>
  </r>
  <r>
    <x v="13"/>
    <n v="741"/>
    <x v="1"/>
  </r>
  <r>
    <x v="14"/>
    <n v="486"/>
    <x v="0"/>
  </r>
  <r>
    <x v="4"/>
    <n v="1227"/>
    <x v="0"/>
  </r>
  <r>
    <x v="11"/>
    <n v="981"/>
    <x v="0"/>
  </r>
  <r>
    <x v="14"/>
    <n v="798"/>
    <x v="0"/>
  </r>
  <r>
    <x v="13"/>
    <n v="1191"/>
    <x v="1"/>
  </r>
  <r>
    <x v="2"/>
    <n v="363"/>
    <x v="1"/>
  </r>
  <r>
    <x v="6"/>
    <n v="1332"/>
    <x v="0"/>
  </r>
  <r>
    <x v="10"/>
    <n v="1289"/>
    <x v="1"/>
  </r>
  <r>
    <x v="14"/>
    <n v="1625"/>
    <x v="0"/>
  </r>
  <r>
    <x v="9"/>
    <n v="1261"/>
    <x v="1"/>
  </r>
  <r>
    <x v="10"/>
    <n v="556"/>
    <x v="0"/>
  </r>
  <r>
    <x v="7"/>
    <n v="1441"/>
    <x v="0"/>
  </r>
  <r>
    <x v="14"/>
    <n v="337"/>
    <x v="1"/>
  </r>
  <r>
    <x v="14"/>
    <n v="284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">
  <r>
    <x v="0"/>
    <n v="338"/>
  </r>
  <r>
    <x v="1"/>
    <n v="556"/>
  </r>
  <r>
    <x v="2"/>
    <n v="124"/>
  </r>
  <r>
    <x v="3"/>
    <n v="205"/>
  </r>
  <r>
    <x v="4"/>
    <n v="311"/>
  </r>
  <r>
    <x v="5"/>
    <n v="484"/>
  </r>
  <r>
    <x v="6"/>
    <n v="287"/>
  </r>
  <r>
    <x v="7"/>
    <n v="296"/>
  </r>
  <r>
    <x v="8"/>
    <n v="167"/>
  </r>
  <r>
    <x v="9"/>
    <n v="2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D15:E19" firstHeaderRow="1" firstDataRow="1" firstDataCol="1"/>
  <pivotFields count="3"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Uni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3000000}" name="PivotTable7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4:J37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h="1" x="5"/>
        <item h="1" x="14"/>
        <item h="1" x="2"/>
        <item x="12"/>
        <item h="1" x="0"/>
        <item x="3"/>
        <item x="10"/>
        <item h="1"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3:G16" firstHeaderRow="1" firstDataRow="1" firstDataCol="1" rowPageCount="1" colPageCount="1"/>
  <pivotFields count="3">
    <pivotField axis="axisPage" multipleItemSelectionAllowed="1" showAll="0">
      <items count="16">
        <item x="1"/>
        <item h="1" x="6"/>
        <item h="1" x="5"/>
        <item h="1" x="14"/>
        <item h="1" x="2"/>
        <item h="1" x="12"/>
        <item h="1" x="0"/>
        <item h="1" x="3"/>
        <item h="1" x="10"/>
        <item h="1" x="9"/>
        <item x="11"/>
        <item h="1" x="7"/>
        <item h="1" x="8"/>
        <item x="13"/>
        <item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PivotTable5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0:H23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x="5"/>
        <item h="1" x="14"/>
        <item x="2"/>
        <item h="1" x="12"/>
        <item h="1" x="0"/>
        <item h="1" x="3"/>
        <item h="1" x="10"/>
        <item h="1" x="9"/>
        <item h="1" x="11"/>
        <item x="7"/>
        <item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2000000}" name="PivotTable6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7:I30" firstHeaderRow="1" firstDataRow="1" firstDataCol="1" rowPageCount="1" colPageCount="1"/>
  <pivotFields count="3">
    <pivotField axis="axisPage" multipleItemSelectionAllowed="1" showAll="0">
      <items count="16">
        <item h="1" x="1"/>
        <item x="6"/>
        <item h="1" x="5"/>
        <item x="14"/>
        <item h="1" x="2"/>
        <item h="1" x="12"/>
        <item x="0"/>
        <item h="1" x="3"/>
        <item h="1" x="10"/>
        <item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9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5:P13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dataField="1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alesRep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0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6:P14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dataField="1"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B18"/>
  <sheetViews>
    <sheetView zoomScale="175" zoomScaleNormal="175" workbookViewId="0">
      <selection activeCell="A2" sqref="A2"/>
    </sheetView>
  </sheetViews>
  <sheetFormatPr baseColWidth="10" defaultColWidth="8.83203125" defaultRowHeight="15" x14ac:dyDescent="0.2"/>
  <cols>
    <col min="2" max="2" width="95.6640625" customWidth="1"/>
  </cols>
  <sheetData>
    <row r="1" spans="1:2" x14ac:dyDescent="0.2">
      <c r="A1" s="1" t="s">
        <v>300</v>
      </c>
      <c r="B1" s="1"/>
    </row>
    <row r="3" spans="1:2" x14ac:dyDescent="0.2">
      <c r="A3" s="65" t="s">
        <v>0</v>
      </c>
      <c r="B3" s="1"/>
    </row>
    <row r="4" spans="1:2" x14ac:dyDescent="0.2">
      <c r="A4" s="2">
        <v>1</v>
      </c>
      <c r="B4" s="114" t="s">
        <v>1</v>
      </c>
    </row>
    <row r="5" spans="1:2" x14ac:dyDescent="0.2">
      <c r="A5" s="2">
        <v>2</v>
      </c>
      <c r="B5" s="115" t="s">
        <v>11</v>
      </c>
    </row>
    <row r="6" spans="1:2" x14ac:dyDescent="0.2">
      <c r="A6" s="2">
        <v>3</v>
      </c>
      <c r="B6" s="115" t="s">
        <v>301</v>
      </c>
    </row>
    <row r="7" spans="1:2" x14ac:dyDescent="0.2">
      <c r="A7" s="2">
        <v>4</v>
      </c>
      <c r="B7" s="115" t="s">
        <v>298</v>
      </c>
    </row>
    <row r="8" spans="1:2" x14ac:dyDescent="0.2">
      <c r="A8" s="2">
        <v>5</v>
      </c>
      <c r="B8" s="115" t="s">
        <v>303</v>
      </c>
    </row>
    <row r="9" spans="1:2" x14ac:dyDescent="0.2">
      <c r="A9" s="2">
        <v>6</v>
      </c>
      <c r="B9" s="115" t="s">
        <v>351</v>
      </c>
    </row>
    <row r="10" spans="1:2" x14ac:dyDescent="0.2">
      <c r="A10" s="2">
        <v>7</v>
      </c>
      <c r="B10" s="114" t="s">
        <v>2</v>
      </c>
    </row>
    <row r="11" spans="1:2" x14ac:dyDescent="0.2">
      <c r="A11" s="2">
        <v>8</v>
      </c>
      <c r="B11" s="116" t="s">
        <v>12</v>
      </c>
    </row>
    <row r="12" spans="1:2" x14ac:dyDescent="0.2">
      <c r="A12" s="2">
        <v>9</v>
      </c>
      <c r="B12" s="110" t="s">
        <v>299</v>
      </c>
    </row>
    <row r="13" spans="1:2" x14ac:dyDescent="0.2">
      <c r="A13" s="2">
        <v>10</v>
      </c>
      <c r="B13" s="111" t="s">
        <v>302</v>
      </c>
    </row>
    <row r="14" spans="1:2" x14ac:dyDescent="0.2">
      <c r="A14" s="2">
        <v>11</v>
      </c>
      <c r="B14" s="110" t="s">
        <v>352</v>
      </c>
    </row>
    <row r="15" spans="1:2" x14ac:dyDescent="0.2">
      <c r="A15" s="2">
        <v>12</v>
      </c>
      <c r="B15" s="110" t="s">
        <v>313</v>
      </c>
    </row>
    <row r="16" spans="1:2" x14ac:dyDescent="0.2">
      <c r="A16" s="2">
        <v>13</v>
      </c>
      <c r="B16" s="62" t="s">
        <v>147</v>
      </c>
    </row>
    <row r="17" spans="1:2" x14ac:dyDescent="0.2">
      <c r="A17" s="2">
        <v>14</v>
      </c>
      <c r="B17" s="62" t="s">
        <v>315</v>
      </c>
    </row>
    <row r="18" spans="1:2" x14ac:dyDescent="0.2">
      <c r="A18" s="2">
        <v>15</v>
      </c>
      <c r="B18" s="6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00FF"/>
  </sheetPr>
  <dimension ref="A1:AA2000"/>
  <sheetViews>
    <sheetView zoomScale="115" zoomScaleNormal="115" workbookViewId="0">
      <selection activeCell="H2" sqref="H2"/>
    </sheetView>
  </sheetViews>
  <sheetFormatPr baseColWidth="10" defaultColWidth="8.83203125" defaultRowHeight="15" x14ac:dyDescent="0.2"/>
  <cols>
    <col min="1" max="1" width="9.5" bestFit="1" customWidth="1"/>
    <col min="2" max="3" width="9" bestFit="1" customWidth="1"/>
    <col min="4" max="4" width="11.5" bestFit="1" customWidth="1"/>
    <col min="5" max="5" width="9.33203125" bestFit="1" customWidth="1"/>
    <col min="6" max="7" width="7.1640625" customWidth="1"/>
    <col min="8" max="8" width="13.33203125" bestFit="1" customWidth="1"/>
    <col min="9" max="9" width="5" customWidth="1"/>
    <col min="10" max="10" width="17.33203125" customWidth="1"/>
    <col min="11" max="11" width="16.33203125" customWidth="1"/>
    <col min="12" max="15" width="13.1640625" customWidth="1"/>
    <col min="16" max="16" width="9.83203125" customWidth="1"/>
    <col min="21" max="21" width="9.1640625" customWidth="1"/>
    <col min="22" max="22" width="12.33203125" customWidth="1"/>
    <col min="24" max="25" width="13.5" customWidth="1"/>
    <col min="28" max="28" width="14.1640625" customWidth="1"/>
  </cols>
  <sheetData>
    <row r="1" spans="1:1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28" t="s">
        <v>59</v>
      </c>
      <c r="K1" s="26"/>
      <c r="L1" s="26"/>
      <c r="M1" s="27"/>
    </row>
    <row r="2" spans="1:1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1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51</v>
      </c>
      <c r="K3" s="12"/>
      <c r="L3" s="12"/>
      <c r="M3" s="13"/>
    </row>
    <row r="4" spans="1:1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40</v>
      </c>
      <c r="K4" s="14"/>
      <c r="L4" s="14"/>
      <c r="M4" s="15"/>
    </row>
    <row r="5" spans="1:1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1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9" t="s">
        <v>37</v>
      </c>
    </row>
    <row r="7" spans="1:1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297</v>
      </c>
    </row>
    <row r="8" spans="1:1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J8" s="6" t="s">
        <v>5</v>
      </c>
      <c r="K8" s="7" t="s">
        <v>6</v>
      </c>
      <c r="L8" s="6" t="s">
        <v>8</v>
      </c>
    </row>
    <row r="9" spans="1:1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J9" s="2" t="s">
        <v>17</v>
      </c>
      <c r="K9" s="2" t="s">
        <v>14</v>
      </c>
      <c r="L9" s="2" t="s">
        <v>19</v>
      </c>
    </row>
    <row r="10" spans="1:1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</row>
    <row r="11" spans="1:1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J11" s="24" t="s">
        <v>50</v>
      </c>
      <c r="K11" s="12"/>
      <c r="L11" s="12"/>
      <c r="M11" s="12"/>
      <c r="N11" s="12"/>
      <c r="O11" s="12"/>
      <c r="P11" s="13"/>
    </row>
    <row r="12" spans="1:16" x14ac:dyDescent="0.2">
      <c r="A12" s="3">
        <v>41624</v>
      </c>
      <c r="B12" s="2" t="s">
        <v>31</v>
      </c>
      <c r="C12" s="2" t="s">
        <v>23</v>
      </c>
      <c r="D12" s="2" t="s">
        <v>32</v>
      </c>
      <c r="E12" s="2" t="s">
        <v>19</v>
      </c>
      <c r="F12" s="5">
        <v>7222</v>
      </c>
      <c r="G12" s="5">
        <v>8206</v>
      </c>
      <c r="H12" s="4"/>
      <c r="J12" s="20" t="s">
        <v>41</v>
      </c>
      <c r="K12" s="14"/>
      <c r="L12" s="14"/>
      <c r="M12" s="14"/>
      <c r="N12" s="14"/>
      <c r="O12" s="14"/>
      <c r="P12" s="15"/>
    </row>
    <row r="13" spans="1:1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22" t="s">
        <v>47</v>
      </c>
      <c r="K13" s="23"/>
      <c r="M13" t="str">
        <f ca="1">IF(_xlfn.ISFORMULA(K13),ADDRESS(ROW(K13),COLUMN(K13),4)&amp;": "&amp;_xlfn.FORMULATEXT(K13),"")</f>
        <v/>
      </c>
    </row>
    <row r="14" spans="1:1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M14" t="str">
        <f t="shared" ref="M14:M15" ca="1" si="0">IF(_xlfn.ISFORMULA(K14),ADDRESS(ROW(K14),COLUMN(K14),4)&amp;": "&amp;_xlfn.FORMULATEXT(K14),"")</f>
        <v/>
      </c>
    </row>
    <row r="15" spans="1:1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" t="s">
        <v>48</v>
      </c>
      <c r="K15" s="8"/>
      <c r="M15" t="str">
        <f t="shared" ca="1" si="0"/>
        <v/>
      </c>
    </row>
    <row r="16" spans="1:1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</row>
    <row r="17" spans="1:27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J17" s="9" t="s">
        <v>47</v>
      </c>
    </row>
    <row r="18" spans="1:27" x14ac:dyDescent="0.2">
      <c r="A18" s="3">
        <v>41185</v>
      </c>
      <c r="B18" s="2" t="s">
        <v>17</v>
      </c>
      <c r="C18" s="2" t="s">
        <v>27</v>
      </c>
      <c r="D18" s="2" t="s">
        <v>32</v>
      </c>
      <c r="E18" s="2" t="s">
        <v>16</v>
      </c>
      <c r="F18" s="5">
        <v>9190</v>
      </c>
      <c r="G18" s="5">
        <v>9830</v>
      </c>
      <c r="H18" s="4"/>
      <c r="J18" s="10" t="s">
        <v>8</v>
      </c>
      <c r="K18" s="2" t="s">
        <v>19</v>
      </c>
    </row>
    <row r="19" spans="1:27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39</v>
      </c>
      <c r="K19" s="2" t="s">
        <v>14</v>
      </c>
      <c r="L19" s="2" t="s">
        <v>27</v>
      </c>
      <c r="M19" s="2" t="s">
        <v>20</v>
      </c>
      <c r="N19" s="2" t="s">
        <v>23</v>
      </c>
    </row>
    <row r="20" spans="1:27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J20" s="2" t="s">
        <v>17</v>
      </c>
      <c r="K20" s="8"/>
      <c r="L20" s="8"/>
      <c r="M20" s="8"/>
      <c r="N20" s="8"/>
      <c r="P20" t="str">
        <f ca="1">IF(_xlfn.ISFORMULA(K20),ADDRESS(ROW(K20),COLUMN(K20),4)&amp;": "&amp;_xlfn.FORMULATEXT(K20),"")</f>
        <v/>
      </c>
    </row>
    <row r="21" spans="1:27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2" t="s">
        <v>13</v>
      </c>
      <c r="K21" s="8"/>
      <c r="L21" s="8"/>
      <c r="M21" s="8"/>
      <c r="N21" s="8"/>
    </row>
    <row r="22" spans="1:27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s="2" t="s">
        <v>31</v>
      </c>
      <c r="K22" s="8"/>
      <c r="L22" s="8"/>
      <c r="M22" s="8"/>
      <c r="N22" s="8"/>
    </row>
    <row r="23" spans="1:27" x14ac:dyDescent="0.2">
      <c r="A23" s="3">
        <v>41590</v>
      </c>
      <c r="B23" s="2" t="s">
        <v>17</v>
      </c>
      <c r="C23" s="2" t="s">
        <v>14</v>
      </c>
      <c r="D23" s="2" t="s">
        <v>32</v>
      </c>
      <c r="E23" s="2" t="s">
        <v>16</v>
      </c>
      <c r="F23" s="5">
        <v>3506</v>
      </c>
      <c r="G23" s="5">
        <v>8151</v>
      </c>
      <c r="H23" s="4"/>
      <c r="J23" s="2" t="s">
        <v>28</v>
      </c>
      <c r="K23" s="8"/>
      <c r="L23" s="8"/>
      <c r="M23" s="8"/>
      <c r="N23" s="8"/>
    </row>
    <row r="24" spans="1:27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</row>
    <row r="25" spans="1:27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5" t="s">
        <v>60</v>
      </c>
      <c r="K25" s="26"/>
      <c r="L25" s="26"/>
      <c r="M25" s="26"/>
      <c r="N25" s="26"/>
      <c r="O25" s="27"/>
    </row>
    <row r="26" spans="1:27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  <c r="K26" t="s">
        <v>305</v>
      </c>
      <c r="X26" t="s">
        <v>306</v>
      </c>
    </row>
    <row r="27" spans="1:27" ht="32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K27" s="22" t="s">
        <v>42</v>
      </c>
      <c r="L27" s="22" t="s">
        <v>43</v>
      </c>
      <c r="M27" s="30" t="s">
        <v>46</v>
      </c>
      <c r="N27" s="22" t="s">
        <v>49</v>
      </c>
      <c r="X27" s="22" t="s">
        <v>42</v>
      </c>
      <c r="Y27" s="30" t="s">
        <v>46</v>
      </c>
    </row>
    <row r="28" spans="1:27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K28" s="21">
        <v>41275</v>
      </c>
      <c r="L28" s="21">
        <f>EOMONTH(K28,0)</f>
        <v>41305</v>
      </c>
      <c r="M28" s="4"/>
      <c r="N28" s="8"/>
      <c r="P28" t="str">
        <f ca="1">IF(_xlfn.ISFORMULA(M28),ADDRESS(ROW(M28),COLUMN(M28),4)&amp;": "&amp;_xlfn.FORMULATEXT(M28),"")</f>
        <v/>
      </c>
      <c r="X28" s="21">
        <v>41275</v>
      </c>
      <c r="Y28" s="4"/>
      <c r="AA28" t="str">
        <f ca="1">IF(_xlfn.ISFORMULA(Y28),ADDRESS(ROW(Y28),COLUMN(Y28),4)&amp;": "&amp;_xlfn.FORMULATEXT(Y28),"")</f>
        <v/>
      </c>
    </row>
    <row r="29" spans="1:27" x14ac:dyDescent="0.2">
      <c r="A29" s="3">
        <v>40958</v>
      </c>
      <c r="B29" s="2" t="s">
        <v>31</v>
      </c>
      <c r="C29" s="2" t="s">
        <v>27</v>
      </c>
      <c r="D29" s="2" t="s">
        <v>32</v>
      </c>
      <c r="E29" s="2" t="s">
        <v>25</v>
      </c>
      <c r="F29" s="5">
        <v>7658</v>
      </c>
      <c r="G29" s="5">
        <v>8702</v>
      </c>
      <c r="H29" s="4"/>
      <c r="K29" s="21">
        <f>L28+1</f>
        <v>41306</v>
      </c>
      <c r="L29" s="21">
        <f>EOMONTH(K29,0)</f>
        <v>41333</v>
      </c>
      <c r="M29" s="4"/>
      <c r="N29" s="8"/>
      <c r="P29" t="str">
        <f ca="1">IF(_xlfn.ISFORMULA(N28),ADDRESS(ROW(N28),COLUMN(N28),4)&amp;": "&amp;_xlfn.FORMULATEXT(N28),"")</f>
        <v/>
      </c>
      <c r="X29" s="21">
        <f t="shared" ref="X29:X39" si="1">EOMONTH(X28,0)+1</f>
        <v>41306</v>
      </c>
      <c r="Y29" s="4"/>
      <c r="AA29" t="str">
        <f ca="1">IF(_xlfn.ISFORMULA(Y29),ADDRESS(ROW(Y29),COLUMN(Y29),4)&amp;": "&amp;_xlfn.FORMULATEXT(Y29),"")</f>
        <v/>
      </c>
    </row>
    <row r="30" spans="1:27" x14ac:dyDescent="0.2">
      <c r="A30" s="3">
        <v>41619</v>
      </c>
      <c r="B30" s="2" t="s">
        <v>28</v>
      </c>
      <c r="C30" s="2" t="s">
        <v>27</v>
      </c>
      <c r="D30" s="2" t="s">
        <v>32</v>
      </c>
      <c r="E30" s="2" t="s">
        <v>16</v>
      </c>
      <c r="F30" s="5">
        <v>3141</v>
      </c>
      <c r="G30" s="5">
        <v>5416</v>
      </c>
      <c r="H30" s="4"/>
      <c r="K30" s="21">
        <f t="shared" ref="K30:K39" si="2">L29+1</f>
        <v>41334</v>
      </c>
      <c r="L30" s="21">
        <f t="shared" ref="L30:L39" si="3">EOMONTH(K30,0)</f>
        <v>41364</v>
      </c>
      <c r="M30" s="4"/>
      <c r="N30" s="8"/>
      <c r="X30" s="21">
        <f t="shared" si="1"/>
        <v>41334</v>
      </c>
      <c r="Y30" s="4"/>
    </row>
    <row r="31" spans="1:27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K31" s="21">
        <f t="shared" si="2"/>
        <v>41365</v>
      </c>
      <c r="L31" s="21">
        <f t="shared" si="3"/>
        <v>41394</v>
      </c>
      <c r="M31" s="4"/>
      <c r="N31" s="8"/>
      <c r="X31" s="21">
        <f t="shared" si="1"/>
        <v>41365</v>
      </c>
      <c r="Y31" s="4"/>
    </row>
    <row r="32" spans="1:27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K32" s="21">
        <f t="shared" si="2"/>
        <v>41395</v>
      </c>
      <c r="L32" s="21">
        <f t="shared" si="3"/>
        <v>41425</v>
      </c>
      <c r="M32" s="4"/>
      <c r="N32" s="8"/>
      <c r="X32" s="21">
        <f t="shared" si="1"/>
        <v>41395</v>
      </c>
      <c r="Y32" s="4"/>
    </row>
    <row r="33" spans="1:25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K33" s="21">
        <f t="shared" si="2"/>
        <v>41426</v>
      </c>
      <c r="L33" s="21">
        <f t="shared" si="3"/>
        <v>41455</v>
      </c>
      <c r="M33" s="4"/>
      <c r="N33" s="8"/>
      <c r="X33" s="21">
        <f t="shared" si="1"/>
        <v>41426</v>
      </c>
      <c r="Y33" s="4"/>
    </row>
    <row r="34" spans="1:25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K34" s="21">
        <f t="shared" si="2"/>
        <v>41456</v>
      </c>
      <c r="L34" s="21">
        <f t="shared" si="3"/>
        <v>41486</v>
      </c>
      <c r="M34" s="4"/>
      <c r="N34" s="8"/>
      <c r="X34" s="21">
        <f t="shared" si="1"/>
        <v>41456</v>
      </c>
      <c r="Y34" s="4"/>
    </row>
    <row r="35" spans="1:25" x14ac:dyDescent="0.2">
      <c r="A35" s="3">
        <v>41024</v>
      </c>
      <c r="B35" s="2" t="s">
        <v>28</v>
      </c>
      <c r="C35" s="2" t="s">
        <v>23</v>
      </c>
      <c r="D35" s="2" t="s">
        <v>32</v>
      </c>
      <c r="E35" s="2" t="s">
        <v>19</v>
      </c>
      <c r="F35" s="5">
        <v>4662</v>
      </c>
      <c r="G35" s="5">
        <v>6857</v>
      </c>
      <c r="H35" s="4"/>
      <c r="K35" s="21">
        <f t="shared" si="2"/>
        <v>41487</v>
      </c>
      <c r="L35" s="21">
        <f t="shared" si="3"/>
        <v>41517</v>
      </c>
      <c r="M35" s="4"/>
      <c r="N35" s="8"/>
      <c r="X35" s="21">
        <f t="shared" si="1"/>
        <v>41487</v>
      </c>
      <c r="Y35" s="4"/>
    </row>
    <row r="36" spans="1:25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K36" s="21">
        <f t="shared" si="2"/>
        <v>41518</v>
      </c>
      <c r="L36" s="21">
        <f t="shared" si="3"/>
        <v>41547</v>
      </c>
      <c r="M36" s="4"/>
      <c r="N36" s="8"/>
      <c r="X36" s="21">
        <f t="shared" si="1"/>
        <v>41518</v>
      </c>
      <c r="Y36" s="4"/>
    </row>
    <row r="37" spans="1:25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K37" s="21">
        <f t="shared" si="2"/>
        <v>41548</v>
      </c>
      <c r="L37" s="21">
        <f t="shared" si="3"/>
        <v>41578</v>
      </c>
      <c r="M37" s="4"/>
      <c r="N37" s="8"/>
      <c r="P37" t="s">
        <v>289</v>
      </c>
      <c r="X37" s="21">
        <f t="shared" si="1"/>
        <v>41548</v>
      </c>
      <c r="Y37" s="4"/>
    </row>
    <row r="38" spans="1:25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K38" s="21">
        <f t="shared" si="2"/>
        <v>41579</v>
      </c>
      <c r="L38" s="21">
        <f t="shared" si="3"/>
        <v>41608</v>
      </c>
      <c r="M38" s="4"/>
      <c r="N38" s="8"/>
      <c r="X38" s="21">
        <f t="shared" si="1"/>
        <v>41579</v>
      </c>
      <c r="Y38" s="4"/>
    </row>
    <row r="39" spans="1:25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K39" s="21">
        <f t="shared" si="2"/>
        <v>41609</v>
      </c>
      <c r="L39" s="21">
        <f t="shared" si="3"/>
        <v>41639</v>
      </c>
      <c r="M39" s="4"/>
      <c r="N39" s="8"/>
      <c r="X39" s="21">
        <f t="shared" si="1"/>
        <v>41609</v>
      </c>
      <c r="Y39" s="4"/>
    </row>
    <row r="40" spans="1:25" x14ac:dyDescent="0.2">
      <c r="A40" s="3">
        <v>41283</v>
      </c>
      <c r="B40" s="2" t="s">
        <v>31</v>
      </c>
      <c r="C40" s="2" t="s">
        <v>23</v>
      </c>
      <c r="D40" s="2" t="s">
        <v>32</v>
      </c>
      <c r="E40" s="2" t="s">
        <v>16</v>
      </c>
      <c r="F40" s="5">
        <v>3331</v>
      </c>
      <c r="G40" s="5">
        <v>7401</v>
      </c>
      <c r="H40" s="4"/>
    </row>
    <row r="41" spans="1:25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  <c r="K41" t="s">
        <v>307</v>
      </c>
    </row>
    <row r="42" spans="1:25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K42" t="s">
        <v>304</v>
      </c>
    </row>
    <row r="43" spans="1:25" ht="32" x14ac:dyDescent="0.2">
      <c r="A43" s="3">
        <v>41041</v>
      </c>
      <c r="B43" s="2" t="s">
        <v>31</v>
      </c>
      <c r="C43" s="2" t="s">
        <v>23</v>
      </c>
      <c r="D43" s="2" t="s">
        <v>32</v>
      </c>
      <c r="E43" s="2" t="s">
        <v>25</v>
      </c>
      <c r="F43" s="5">
        <v>4765</v>
      </c>
      <c r="G43" s="5">
        <v>8215</v>
      </c>
      <c r="H43" s="4"/>
      <c r="K43" s="22" t="s">
        <v>42</v>
      </c>
      <c r="L43" s="22" t="s">
        <v>43</v>
      </c>
      <c r="M43" s="30" t="s">
        <v>46</v>
      </c>
    </row>
    <row r="44" spans="1:25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K44" s="107">
        <v>0</v>
      </c>
      <c r="L44" s="107">
        <v>1000</v>
      </c>
      <c r="M44" s="4"/>
      <c r="O44" t="str">
        <f ca="1">IF(_xlfn.ISFORMULA(M44),ADDRESS(ROW(M44),COLUMN(M44),4)&amp;": "&amp;_xlfn.FORMULATEXT(M44),"")</f>
        <v/>
      </c>
    </row>
    <row r="45" spans="1:25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107">
        <v>1000</v>
      </c>
      <c r="L45" s="107">
        <v>2000</v>
      </c>
      <c r="M45" s="4"/>
      <c r="O45" t="str">
        <f ca="1">IF(_xlfn.ISFORMULA(M45),ADDRESS(ROW(M45),COLUMN(M45),4)&amp;": "&amp;_xlfn.FORMULATEXT(M45),"")</f>
        <v/>
      </c>
    </row>
    <row r="46" spans="1:25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107">
        <v>2000</v>
      </c>
      <c r="L46" s="107">
        <v>3000</v>
      </c>
      <c r="M46" s="4"/>
    </row>
    <row r="47" spans="1:25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107">
        <v>3000</v>
      </c>
      <c r="L47" s="107">
        <v>4000</v>
      </c>
      <c r="M47" s="4"/>
    </row>
    <row r="48" spans="1:25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107">
        <v>4000</v>
      </c>
      <c r="L48" s="107">
        <v>5000</v>
      </c>
      <c r="M48" s="4"/>
    </row>
    <row r="49" spans="1:21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107">
        <v>5000</v>
      </c>
      <c r="L49" s="107">
        <v>6000</v>
      </c>
      <c r="M49" s="4"/>
    </row>
    <row r="50" spans="1:21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K50" s="107">
        <v>6000</v>
      </c>
      <c r="L50" s="107">
        <v>7000</v>
      </c>
      <c r="M50" s="4"/>
    </row>
    <row r="51" spans="1:21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K51" s="107">
        <v>7000</v>
      </c>
      <c r="L51" s="107">
        <v>8000</v>
      </c>
      <c r="M51" s="4"/>
    </row>
    <row r="52" spans="1:21" x14ac:dyDescent="0.2">
      <c r="A52" s="3">
        <v>41543</v>
      </c>
      <c r="B52" s="2" t="s">
        <v>28</v>
      </c>
      <c r="C52" s="2" t="s">
        <v>27</v>
      </c>
      <c r="D52" s="2" t="s">
        <v>32</v>
      </c>
      <c r="E52" s="2" t="s">
        <v>16</v>
      </c>
      <c r="F52" s="5">
        <v>5590</v>
      </c>
      <c r="G52" s="5">
        <v>7454</v>
      </c>
      <c r="H52" s="4"/>
      <c r="K52" s="107">
        <v>8000</v>
      </c>
      <c r="L52" s="107">
        <v>9000</v>
      </c>
      <c r="M52" s="4"/>
    </row>
    <row r="53" spans="1:21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K53" s="107">
        <v>9000</v>
      </c>
      <c r="L53" s="107">
        <v>10000</v>
      </c>
      <c r="M53" s="4"/>
    </row>
    <row r="54" spans="1:21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</row>
    <row r="55" spans="1:21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s="34" t="s">
        <v>70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</row>
    <row r="56" spans="1:21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16" t="s">
        <v>54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8"/>
    </row>
    <row r="57" spans="1:21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16" t="s">
        <v>71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8"/>
    </row>
    <row r="58" spans="1:21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16" t="s">
        <v>55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</row>
    <row r="59" spans="1:21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  <c r="J59" s="16" t="s">
        <v>61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8"/>
    </row>
    <row r="60" spans="1:21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9" t="s">
        <v>62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8"/>
    </row>
    <row r="61" spans="1:21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19" t="s">
        <v>63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8"/>
    </row>
    <row r="62" spans="1:21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  <c r="J62" s="19" t="s">
        <v>69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/>
    </row>
    <row r="63" spans="1:21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  <c r="J63" s="35" t="s">
        <v>325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8"/>
    </row>
    <row r="64" spans="1:21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  <c r="J64" s="16" t="s">
        <v>326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/>
    </row>
    <row r="65" spans="1:21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  <c r="J65" s="119" t="s">
        <v>320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8"/>
    </row>
    <row r="66" spans="1:21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  <c r="J66" s="19" t="s">
        <v>321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/>
    </row>
    <row r="67" spans="1:21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  <c r="J67" s="19" t="s">
        <v>322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8"/>
    </row>
    <row r="68" spans="1:21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  <c r="J68" s="19" t="s">
        <v>323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/>
    </row>
    <row r="69" spans="1:21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  <c r="J69" s="120" t="s">
        <v>324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5"/>
    </row>
    <row r="70" spans="1:21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21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  <c r="J71" t="s">
        <v>308</v>
      </c>
    </row>
    <row r="72" spans="1:21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  <c r="J72" s="1" t="s">
        <v>4</v>
      </c>
      <c r="K72" s="1" t="s">
        <v>4</v>
      </c>
      <c r="L72" s="1" t="s">
        <v>5</v>
      </c>
      <c r="M72" s="1" t="s">
        <v>6</v>
      </c>
      <c r="N72" s="1" t="s">
        <v>8</v>
      </c>
    </row>
    <row r="73" spans="1:21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  <c r="J73" s="3" t="s">
        <v>52</v>
      </c>
      <c r="K73" s="3" t="s">
        <v>53</v>
      </c>
      <c r="L73" s="29" t="s">
        <v>56</v>
      </c>
      <c r="M73" s="29" t="s">
        <v>57</v>
      </c>
      <c r="N73" s="29" t="s">
        <v>58</v>
      </c>
    </row>
    <row r="74" spans="1:21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21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  <c r="J75" t="s">
        <v>64</v>
      </c>
      <c r="K75" s="31" t="s">
        <v>10</v>
      </c>
    </row>
    <row r="76" spans="1:21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  <c r="J76" s="32" t="s">
        <v>45</v>
      </c>
      <c r="K76" s="8"/>
      <c r="M76" t="str">
        <f ca="1">IF(_xlfn.ISFORMULA(K76),ADDRESS(ROW(K76),COLUMN(K76),4)&amp;": "&amp;_xlfn.FORMULATEXT(K76),"")</f>
        <v/>
      </c>
    </row>
    <row r="77" spans="1:21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  <c r="J77" s="32" t="s">
        <v>65</v>
      </c>
      <c r="K77" s="8"/>
      <c r="M77" t="str">
        <f t="shared" ref="M77:M79" ca="1" si="4">IF(_xlfn.ISFORMULA(K77),ADDRESS(ROW(K77),COLUMN(K77),4)&amp;": "&amp;_xlfn.FORMULATEXT(K77),"")</f>
        <v/>
      </c>
    </row>
    <row r="78" spans="1:21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  <c r="J78" s="32" t="s">
        <v>66</v>
      </c>
      <c r="K78" s="8"/>
      <c r="M78" t="str">
        <f t="shared" ca="1" si="4"/>
        <v/>
      </c>
    </row>
    <row r="79" spans="1:21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  <c r="J79" s="33" t="s">
        <v>67</v>
      </c>
      <c r="K79" s="8"/>
      <c r="M79" t="str">
        <f t="shared" ca="1" si="4"/>
        <v/>
      </c>
    </row>
    <row r="80" spans="1:21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16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16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  <c r="J82" s="117" t="s">
        <v>316</v>
      </c>
      <c r="K82" s="12"/>
      <c r="L82" s="12"/>
      <c r="M82" s="12"/>
      <c r="N82" s="12"/>
      <c r="O82" s="12"/>
      <c r="P82" s="13"/>
    </row>
    <row r="83" spans="1:16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  <c r="J83" s="118" t="s">
        <v>317</v>
      </c>
      <c r="K83" s="14"/>
      <c r="L83" s="14"/>
      <c r="M83" s="14"/>
      <c r="N83" s="14"/>
      <c r="O83" s="14"/>
      <c r="P83" s="15"/>
    </row>
    <row r="84" spans="1:16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16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  <c r="J85" t="s">
        <v>318</v>
      </c>
    </row>
    <row r="86" spans="1:16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  <c r="J86" s="10" t="s">
        <v>39</v>
      </c>
      <c r="K86" s="2" t="s">
        <v>14</v>
      </c>
      <c r="L86" s="2" t="s">
        <v>20</v>
      </c>
      <c r="M86" s="2" t="s">
        <v>23</v>
      </c>
      <c r="N86" s="2" t="s">
        <v>27</v>
      </c>
    </row>
    <row r="87" spans="1:16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  <c r="J87" s="2" t="s">
        <v>28</v>
      </c>
      <c r="K87" s="8"/>
      <c r="L87" s="8"/>
      <c r="M87" s="8"/>
      <c r="N87" s="8"/>
    </row>
    <row r="88" spans="1:16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  <c r="J88" s="2" t="s">
        <v>31</v>
      </c>
      <c r="K88" s="8"/>
      <c r="L88" s="8"/>
      <c r="M88" s="8"/>
      <c r="N88" s="8"/>
    </row>
    <row r="89" spans="1:16" x14ac:dyDescent="0.2">
      <c r="A89" s="3">
        <v>41554</v>
      </c>
      <c r="B89" s="2" t="s">
        <v>31</v>
      </c>
      <c r="C89" s="2" t="s">
        <v>14</v>
      </c>
      <c r="D89" s="2" t="s">
        <v>32</v>
      </c>
      <c r="E89" s="2" t="s">
        <v>22</v>
      </c>
      <c r="F89" s="5">
        <v>3465</v>
      </c>
      <c r="G89" s="5">
        <v>6299</v>
      </c>
      <c r="H89" s="4"/>
      <c r="J89" s="2" t="s">
        <v>17</v>
      </c>
      <c r="K89" s="8"/>
      <c r="L89" s="8"/>
      <c r="M89" s="8"/>
      <c r="N89" s="8"/>
    </row>
    <row r="90" spans="1:16" x14ac:dyDescent="0.2">
      <c r="A90" s="3">
        <v>41411</v>
      </c>
      <c r="B90" s="2" t="s">
        <v>28</v>
      </c>
      <c r="C90" s="2" t="s">
        <v>14</v>
      </c>
      <c r="D90" s="2" t="s">
        <v>32</v>
      </c>
      <c r="E90" s="2" t="s">
        <v>19</v>
      </c>
      <c r="F90" s="5">
        <v>2764</v>
      </c>
      <c r="G90" s="5">
        <v>4766</v>
      </c>
      <c r="H90" s="4"/>
      <c r="J90" s="2" t="s">
        <v>13</v>
      </c>
      <c r="K90" s="8"/>
      <c r="L90" s="8"/>
      <c r="M90" s="8"/>
      <c r="N90" s="8"/>
    </row>
    <row r="91" spans="1:16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16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  <c r="K92" t="str">
        <f ca="1">IF(_xlfn.ISFORMULA(K87),ADDRESS(ROW(K87),COLUMN(K87),4)&amp;": "&amp;_xlfn.FORMULATEXT(K87),"")</f>
        <v/>
      </c>
    </row>
    <row r="93" spans="1:16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16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16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16" x14ac:dyDescent="0.2">
      <c r="A96" s="3">
        <v>41019</v>
      </c>
      <c r="B96" s="2" t="s">
        <v>28</v>
      </c>
      <c r="C96" s="2" t="s">
        <v>27</v>
      </c>
      <c r="D96" s="2" t="s">
        <v>32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32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32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32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32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32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32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32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32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32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32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32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32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32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32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32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32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32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32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32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32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32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32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32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32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32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32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32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32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32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32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32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32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32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32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32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32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32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32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32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32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32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32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32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32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32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32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32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32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32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32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32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32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32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32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32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32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32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32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32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32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32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32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32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32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32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32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32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32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32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32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32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32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32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32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32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32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32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32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32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32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32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32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32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32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32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32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32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32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32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32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32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32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32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32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32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32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32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32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32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32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32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32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32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32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32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32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32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32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32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32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32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32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32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32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32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32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32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32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32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32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32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32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32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32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32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32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32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32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32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32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32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32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32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32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32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32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32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32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32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32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32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32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32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32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32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32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32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32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32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32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32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32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32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32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32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32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32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32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32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32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32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32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32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32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32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32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32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32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32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32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32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32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32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32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32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32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32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32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32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32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32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32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sortState xmlns:xlrd2="http://schemas.microsoft.com/office/spreadsheetml/2017/richdata2" columnSort="1" ref="K86:N86">
    <sortCondition ref="K86:N86"/>
  </sortState>
  <conditionalFormatting sqref="K9">
    <cfRule type="expression" dxfId="12" priority="9">
      <formula>AND($B13=#REF!,$C13=$I$21)</formula>
    </cfRule>
  </conditionalFormatting>
  <conditionalFormatting sqref="K19:M19">
    <cfRule type="expression" dxfId="11" priority="7">
      <formula>AND($B21=#REF!,$C21=#REF!)</formula>
    </cfRule>
  </conditionalFormatting>
  <conditionalFormatting sqref="N19">
    <cfRule type="expression" dxfId="10" priority="8">
      <formula>AND($B22=#REF!,$C22=#REF!)</formula>
    </cfRule>
  </conditionalFormatting>
  <conditionalFormatting sqref="A2:H2000">
    <cfRule type="expression" dxfId="9" priority="5">
      <formula>$H2=TRUE</formula>
    </cfRule>
  </conditionalFormatting>
  <conditionalFormatting sqref="J73:N73">
    <cfRule type="expression" dxfId="8" priority="10">
      <formula>$H44=TRUE</formula>
    </cfRule>
  </conditionalFormatting>
  <conditionalFormatting sqref="K86:M86">
    <cfRule type="expression" dxfId="7" priority="2">
      <formula>AND($B80=#REF!,$C80=#REF!)</formula>
    </cfRule>
  </conditionalFormatting>
  <conditionalFormatting sqref="N86">
    <cfRule type="expression" dxfId="6" priority="3">
      <formula>AND($B81=#REF!,$C81=#REF!)</formula>
    </cfRule>
  </conditionalFormatting>
  <dataValidations disablePrompts="1" count="1">
    <dataValidation type="list" allowBlank="1" showInputMessage="1" showErrorMessage="1" sqref="L9 K18" xr:uid="{00000000-0002-0000-0100-000000000000}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00FF"/>
  </sheetPr>
  <dimension ref="A1:Z2000"/>
  <sheetViews>
    <sheetView zoomScale="145" zoomScaleNormal="145" workbookViewId="0">
      <selection activeCell="H2" sqref="H2"/>
    </sheetView>
  </sheetViews>
  <sheetFormatPr baseColWidth="10" defaultColWidth="8.83203125" defaultRowHeight="15" x14ac:dyDescent="0.2"/>
  <cols>
    <col min="1" max="1" width="11.5" customWidth="1"/>
    <col min="2" max="3" width="9" bestFit="1" customWidth="1"/>
    <col min="4" max="4" width="11.5" bestFit="1" customWidth="1"/>
    <col min="5" max="5" width="9.33203125" bestFit="1" customWidth="1"/>
    <col min="6" max="7" width="7.5" customWidth="1"/>
    <col min="8" max="8" width="11.6640625" bestFit="1" customWidth="1"/>
    <col min="9" max="9" width="3" customWidth="1"/>
    <col min="10" max="10" width="19.33203125" customWidth="1"/>
    <col min="11" max="11" width="17" customWidth="1"/>
    <col min="12" max="12" width="16.1640625" customWidth="1"/>
    <col min="13" max="13" width="13" customWidth="1"/>
    <col min="20" max="20" width="17.83203125" bestFit="1" customWidth="1"/>
    <col min="21" max="21" width="17.83203125" customWidth="1"/>
    <col min="22" max="22" width="16.33203125" customWidth="1"/>
    <col min="23" max="23" width="20.1640625" bestFit="1" customWidth="1"/>
    <col min="24" max="24" width="12.83203125" customWidth="1"/>
    <col min="25" max="25" width="12.6640625" customWidth="1"/>
    <col min="26" max="26" width="11.33203125" bestFit="1" customWidth="1"/>
    <col min="28" max="28" width="21.1640625" bestFit="1" customWidth="1"/>
    <col min="29" max="29" width="18.33203125" customWidth="1"/>
  </cols>
  <sheetData>
    <row r="1" spans="1:2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J1" s="28" t="s">
        <v>73</v>
      </c>
      <c r="K1" s="26"/>
      <c r="L1" s="26"/>
      <c r="M1" s="27"/>
      <c r="U1">
        <f>SUM(U2)</f>
        <v>0</v>
      </c>
      <c r="V1" t="str">
        <f ca="1">IF(_xlfn.ISFORMULA(U1),ADDRESS(ROW(U1),COLUMN(U1),4)&amp;": "&amp;_xlfn.FORMULATEXT(U1),"")</f>
        <v>U1: =SUM(U2)</v>
      </c>
    </row>
    <row r="2" spans="1:2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2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74</v>
      </c>
      <c r="K3" s="12"/>
      <c r="L3" s="12"/>
      <c r="M3" s="13"/>
    </row>
    <row r="4" spans="1:2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75</v>
      </c>
      <c r="K4" s="14"/>
      <c r="L4" s="14"/>
      <c r="M4" s="15"/>
    </row>
    <row r="5" spans="1:2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2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59" t="s">
        <v>80</v>
      </c>
    </row>
    <row r="7" spans="1:2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295</v>
      </c>
    </row>
    <row r="8" spans="1:2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K8" s="6" t="s">
        <v>76</v>
      </c>
    </row>
    <row r="9" spans="1:2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K9" s="2" t="s">
        <v>15</v>
      </c>
    </row>
    <row r="10" spans="1:2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  <c r="K10" s="2" t="s">
        <v>81</v>
      </c>
    </row>
    <row r="11" spans="1:2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K11" s="2" t="s">
        <v>35</v>
      </c>
    </row>
    <row r="12" spans="1:26" x14ac:dyDescent="0.2">
      <c r="A12" s="3">
        <v>41624</v>
      </c>
      <c r="B12" s="2" t="s">
        <v>31</v>
      </c>
      <c r="C12" s="2" t="s">
        <v>23</v>
      </c>
      <c r="D12" s="2" t="s">
        <v>81</v>
      </c>
      <c r="E12" s="2" t="s">
        <v>19</v>
      </c>
      <c r="F12" s="5">
        <v>7222</v>
      </c>
      <c r="G12" s="5">
        <v>8206</v>
      </c>
      <c r="H12" s="4"/>
      <c r="K12" s="2" t="s">
        <v>36</v>
      </c>
    </row>
    <row r="13" spans="1:2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10" t="s">
        <v>44</v>
      </c>
      <c r="K13" s="8"/>
      <c r="L13" t="str">
        <f ca="1">IF(_xlfn.ISFORMULA(K13),ADDRESS(ROW(K13),COLUMN(K13),4)&amp;": "&amp;_xlfn.FORMULATEXT(K13),"")</f>
        <v/>
      </c>
      <c r="W13" s="1" t="s">
        <v>38</v>
      </c>
      <c r="X13" s="8">
        <f>SUMPRODUCT(--ISNUMBER(MATCH(Customer,K9:K12,0)))</f>
        <v>0</v>
      </c>
      <c r="Z13" t="str">
        <f ca="1">IF(_xlfn.ISFORMULA(X13),ADDRESS(ROW(X13),COLUMN(X13),4)&amp;": "&amp;_xlfn.FORMULATEXT(X13),"")</f>
        <v>X13: =SUMPRODUCT(--ISNUMBER(MATCH(Customer,K9:K12,0)))</v>
      </c>
    </row>
    <row r="14" spans="1:2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L14" t="str">
        <f ca="1">IF(_xlfn.ISFORMULA(K14),ADDRESS(ROW(K14),COLUMN(K14),4)&amp;": "&amp;_xlfn.FORMULATEXT(K14),"")</f>
        <v/>
      </c>
      <c r="Z14" s="11" t="s">
        <v>77</v>
      </c>
    </row>
    <row r="15" spans="1:2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0" t="s">
        <v>290</v>
      </c>
      <c r="K15" s="8"/>
      <c r="L15" t="str">
        <f ca="1">IF(_xlfn.ISFORMULA(K15),ADDRESS(ROW(K15),COLUMN(K15),4)&amp;": "&amp;_xlfn.FORMULATEXT(K15),"")</f>
        <v/>
      </c>
      <c r="Z15" s="11" t="s">
        <v>78</v>
      </c>
    </row>
    <row r="16" spans="1:2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  <c r="L16" t="s">
        <v>87</v>
      </c>
      <c r="Z16" s="11" t="s">
        <v>79</v>
      </c>
    </row>
    <row r="17" spans="1:26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L17" t="s">
        <v>88</v>
      </c>
      <c r="W17" s="10" t="s">
        <v>290</v>
      </c>
      <c r="X17" s="8">
        <f t="array" ref="X17">AVERAGE(IF(ISNUMBER(MATCH(Customer,K9:K12,0)),Sales))</f>
        <v>0</v>
      </c>
      <c r="Z17" t="str">
        <f ca="1">IF(_xlfn.ISFORMULA(X17),ADDRESS(ROW(X17),COLUMN(X17),4)&amp;": "&amp;_xlfn.FORMULATEXT(X17),"")</f>
        <v>X17: {=AVERAGE(IF(ISNUMBER(MATCH(Customer,K9:K12,0)),Sales))}</v>
      </c>
    </row>
    <row r="18" spans="1:26" x14ac:dyDescent="0.2">
      <c r="A18" s="3">
        <v>41185</v>
      </c>
      <c r="B18" s="2" t="s">
        <v>17</v>
      </c>
      <c r="C18" s="2" t="s">
        <v>27</v>
      </c>
      <c r="D18" s="2" t="s">
        <v>81</v>
      </c>
      <c r="E18" s="2" t="s">
        <v>16</v>
      </c>
      <c r="F18" s="5">
        <v>9190</v>
      </c>
      <c r="G18" s="5">
        <v>9830</v>
      </c>
      <c r="H18" s="4"/>
      <c r="Z18" s="11" t="s">
        <v>291</v>
      </c>
    </row>
    <row r="19" spans="1:26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44</v>
      </c>
      <c r="K19" s="8" t="e">
        <f>SUMIFS(Sales,Customer,K9)+SUMIFS(Sales,Customer,K10)+SUMIFS(Sales,Customer,K11)+SUMIFS(Sales,Customer,K12)</f>
        <v>#NAME?</v>
      </c>
      <c r="M19" t="str">
        <f ca="1">IF(_xlfn.ISFORMULA(K19),ADDRESS(ROW(K19),COLUMN(K19),4)&amp;": "&amp;_xlfn.FORMULATEXT(K19),"")</f>
        <v>K19: =SUMIFS(Sales,Customer,K9)+SUMIFS(Sales,Customer,K10)+SUMIFS(Sales,Customer,K11)+SUMIFS(Sales,Customer,K12)</v>
      </c>
      <c r="Z19" s="11" t="s">
        <v>292</v>
      </c>
    </row>
    <row r="20" spans="1:26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Z20" s="11" t="s">
        <v>293</v>
      </c>
    </row>
    <row r="21" spans="1:26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59" t="s">
        <v>82</v>
      </c>
      <c r="Z21" s="11" t="s">
        <v>294</v>
      </c>
    </row>
    <row r="22" spans="1:26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t="s">
        <v>83</v>
      </c>
    </row>
    <row r="23" spans="1:26" x14ac:dyDescent="0.2">
      <c r="A23" s="3">
        <v>41590</v>
      </c>
      <c r="B23" s="2" t="s">
        <v>17</v>
      </c>
      <c r="C23" s="2" t="s">
        <v>14</v>
      </c>
      <c r="D23" s="2" t="s">
        <v>81</v>
      </c>
      <c r="E23" s="2" t="s">
        <v>16</v>
      </c>
      <c r="F23" s="5">
        <v>3506</v>
      </c>
      <c r="G23" s="5">
        <v>8151</v>
      </c>
      <c r="H23" s="4"/>
      <c r="J23" t="s">
        <v>296</v>
      </c>
    </row>
    <row r="24" spans="1:26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  <c r="J24" s="1" t="s">
        <v>6</v>
      </c>
      <c r="K24" s="1" t="s">
        <v>7</v>
      </c>
    </row>
    <row r="25" spans="1:26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" t="s">
        <v>14</v>
      </c>
      <c r="K25" s="2" t="s">
        <v>15</v>
      </c>
    </row>
    <row r="26" spans="1:26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</row>
    <row r="27" spans="1:26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J27" s="1" t="s">
        <v>333</v>
      </c>
      <c r="K27" s="4"/>
      <c r="M27" t="str">
        <f ca="1">IF(_xlfn.ISFORMULA(K27),ADDRESS(ROW(K27),COLUMN(K27),4)&amp;": "&amp;_xlfn.FORMULATEXT(K27),"")</f>
        <v/>
      </c>
      <c r="W27" s="1" t="s">
        <v>38</v>
      </c>
      <c r="X27" s="4" t="e">
        <f>COUNTIFS(SalesRep,J25)+COUNTIFS(Customer,K25)</f>
        <v>#NAME?</v>
      </c>
      <c r="Y27" s="39" t="s">
        <v>86</v>
      </c>
      <c r="Z27" t="str">
        <f ca="1">"This formula double counts!!!! "&amp;IF(_xlfn.ISFORMULA(X27),ADDRESS(ROW(X27),COLUMN(X27),4)&amp;": "&amp;_xlfn.FORMULATEXT(X27),"")&amp;"... "</f>
        <v xml:space="preserve">This formula double counts!!!! X27: =COUNTIFS(SalesRep,J25)+COUNTIFS(Customer,K25)... </v>
      </c>
    </row>
    <row r="28" spans="1:26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M28" t="s">
        <v>87</v>
      </c>
      <c r="W28" s="1" t="s">
        <v>38</v>
      </c>
      <c r="X28" s="4" t="e">
        <f>COUNTIFS(SalesRep,J25)+COUNTIFS(Customer,K25)-COUNTIFS(SalesRep,J25,Customer,K25)</f>
        <v>#NAME?</v>
      </c>
      <c r="Z28" t="str">
        <f ca="1">IF(_xlfn.ISFORMULA(X28),ADDRESS(ROW(X28),COLUMN(X28),4)&amp;": "&amp;_xlfn.FORMULATEXT(X28),"")</f>
        <v>X28: =COUNTIFS(SalesRep,J25)+COUNTIFS(Customer,K25)-COUNTIFS(SalesRep,J25,Customer,K25)</v>
      </c>
    </row>
    <row r="29" spans="1:26" x14ac:dyDescent="0.2">
      <c r="A29" s="3">
        <v>40958</v>
      </c>
      <c r="B29" s="2" t="s">
        <v>31</v>
      </c>
      <c r="C29" s="2" t="s">
        <v>27</v>
      </c>
      <c r="D29" s="2" t="s">
        <v>81</v>
      </c>
      <c r="E29" s="2" t="s">
        <v>25</v>
      </c>
      <c r="F29" s="5">
        <v>7658</v>
      </c>
      <c r="G29" s="5">
        <v>8702</v>
      </c>
      <c r="H29" s="4"/>
      <c r="M29" t="s">
        <v>88</v>
      </c>
      <c r="Z29" t="s">
        <v>310</v>
      </c>
    </row>
    <row r="30" spans="1:26" x14ac:dyDescent="0.2">
      <c r="A30" s="3">
        <v>41619</v>
      </c>
      <c r="B30" s="2" t="s">
        <v>28</v>
      </c>
      <c r="C30" s="2" t="s">
        <v>27</v>
      </c>
      <c r="D30" s="2" t="s">
        <v>81</v>
      </c>
      <c r="E30" s="2" t="s">
        <v>16</v>
      </c>
      <c r="F30" s="5">
        <v>3141</v>
      </c>
      <c r="G30" s="5">
        <v>5416</v>
      </c>
      <c r="H30" s="4"/>
    </row>
    <row r="31" spans="1:26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J31" s="34" t="s">
        <v>70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spans="1:26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J32" s="16" t="s">
        <v>54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</row>
    <row r="33" spans="1:22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J33" s="16" t="s">
        <v>71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</row>
    <row r="34" spans="1:22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J34" s="16" t="s">
        <v>55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</row>
    <row r="35" spans="1:22" x14ac:dyDescent="0.2">
      <c r="A35" s="3">
        <v>41024</v>
      </c>
      <c r="B35" s="2" t="s">
        <v>28</v>
      </c>
      <c r="C35" s="2" t="s">
        <v>23</v>
      </c>
      <c r="D35" s="2" t="s">
        <v>81</v>
      </c>
      <c r="E35" s="2" t="s">
        <v>19</v>
      </c>
      <c r="F35" s="5">
        <v>4662</v>
      </c>
      <c r="G35" s="5">
        <v>6857</v>
      </c>
      <c r="H35" s="4"/>
      <c r="J35" s="16" t="s">
        <v>61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8"/>
    </row>
    <row r="36" spans="1:22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J36" s="19" t="s">
        <v>62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8"/>
    </row>
    <row r="37" spans="1:22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J37" s="19" t="s">
        <v>63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</row>
    <row r="38" spans="1:22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J38" s="19" t="s">
        <v>69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8"/>
    </row>
    <row r="39" spans="1:22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J39" s="35" t="s">
        <v>68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</row>
    <row r="40" spans="1:22" x14ac:dyDescent="0.2">
      <c r="A40" s="3">
        <v>41283</v>
      </c>
      <c r="B40" s="2" t="s">
        <v>31</v>
      </c>
      <c r="C40" s="2" t="s">
        <v>23</v>
      </c>
      <c r="D40" s="2" t="s">
        <v>81</v>
      </c>
      <c r="E40" s="2" t="s">
        <v>16</v>
      </c>
      <c r="F40" s="5">
        <v>3331</v>
      </c>
      <c r="G40" s="5">
        <v>7401</v>
      </c>
      <c r="H40" s="4"/>
      <c r="J40" s="36" t="s">
        <v>72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5"/>
    </row>
    <row r="41" spans="1:22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</row>
    <row r="42" spans="1:22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J42" s="9" t="s">
        <v>85</v>
      </c>
    </row>
    <row r="43" spans="1:22" x14ac:dyDescent="0.2">
      <c r="A43" s="3">
        <v>41041</v>
      </c>
      <c r="B43" s="2" t="s">
        <v>31</v>
      </c>
      <c r="C43" s="2" t="s">
        <v>23</v>
      </c>
      <c r="D43" s="2" t="s">
        <v>81</v>
      </c>
      <c r="E43" s="2" t="s">
        <v>25</v>
      </c>
      <c r="F43" s="5">
        <v>4765</v>
      </c>
      <c r="G43" s="5">
        <v>8215</v>
      </c>
      <c r="H43" s="4"/>
      <c r="J43" s="9" t="s">
        <v>80</v>
      </c>
    </row>
    <row r="44" spans="1:22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J44" t="s">
        <v>295</v>
      </c>
    </row>
    <row r="45" spans="1:22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6" t="s">
        <v>7</v>
      </c>
    </row>
    <row r="46" spans="1:22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2" t="s">
        <v>15</v>
      </c>
    </row>
    <row r="47" spans="1:22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2" t="s">
        <v>81</v>
      </c>
    </row>
    <row r="48" spans="1:22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2" t="s">
        <v>35</v>
      </c>
    </row>
    <row r="49" spans="1:13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2" t="s">
        <v>36</v>
      </c>
    </row>
    <row r="50" spans="1:13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J50" s="10" t="s">
        <v>44</v>
      </c>
      <c r="K50" s="8"/>
      <c r="M50" t="str">
        <f ca="1">IF(_xlfn.ISFORMULA(K50),ADDRESS(ROW(K50),COLUMN(K50),4)&amp;": "&amp;_xlfn.FORMULATEXT(K50),"")</f>
        <v/>
      </c>
    </row>
    <row r="51" spans="1:13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J51" s="1" t="s">
        <v>333</v>
      </c>
      <c r="K51" s="8"/>
    </row>
    <row r="52" spans="1:13" x14ac:dyDescent="0.2">
      <c r="A52" s="3">
        <v>41543</v>
      </c>
      <c r="B52" s="2" t="s">
        <v>28</v>
      </c>
      <c r="C52" s="2" t="s">
        <v>27</v>
      </c>
      <c r="D52" s="2" t="s">
        <v>81</v>
      </c>
      <c r="E52" s="2" t="s">
        <v>16</v>
      </c>
      <c r="F52" s="5">
        <v>5590</v>
      </c>
      <c r="G52" s="5">
        <v>7454</v>
      </c>
      <c r="H52" s="4"/>
      <c r="J52" s="1" t="s">
        <v>38</v>
      </c>
      <c r="K52" s="8"/>
      <c r="M52" t="str">
        <f t="shared" ref="M52" ca="1" si="0">IF(_xlfn.ISFORMULA(K52),ADDRESS(ROW(K52),COLUMN(K52),4)&amp;": "&amp;_xlfn.FORMULATEXT(K52),"")</f>
        <v/>
      </c>
    </row>
    <row r="53" spans="1:13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J53" s="9" t="s">
        <v>85</v>
      </c>
    </row>
    <row r="54" spans="1:13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  <c r="J54" s="9" t="s">
        <v>82</v>
      </c>
    </row>
    <row r="55" spans="1:13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t="s">
        <v>296</v>
      </c>
    </row>
    <row r="56" spans="1:13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6" t="s">
        <v>6</v>
      </c>
      <c r="K56" s="6" t="s">
        <v>7</v>
      </c>
    </row>
    <row r="57" spans="1:13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2" t="s">
        <v>14</v>
      </c>
      <c r="K57" s="2"/>
    </row>
    <row r="58" spans="1:13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2"/>
      <c r="K58" s="2" t="s">
        <v>15</v>
      </c>
    </row>
    <row r="59" spans="1:13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</row>
    <row r="60" spans="1:13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" t="s">
        <v>45</v>
      </c>
    </row>
    <row r="61" spans="1:13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4"/>
      <c r="L61" t="str">
        <f ca="1">IF(_xlfn.ISFORMULA(J61),ADDRESS(ROW(J61),COLUMN(J61),4)&amp;": "&amp;_xlfn.FORMULATEXT(J61),"")</f>
        <v/>
      </c>
    </row>
    <row r="62" spans="1:13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</row>
    <row r="63" spans="1:13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</row>
    <row r="64" spans="1:13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</row>
    <row r="65" spans="1:8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</row>
    <row r="66" spans="1:8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</row>
    <row r="67" spans="1:8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</row>
    <row r="68" spans="1:8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</row>
    <row r="69" spans="1:8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</row>
    <row r="70" spans="1:8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8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</row>
    <row r="72" spans="1:8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</row>
    <row r="73" spans="1:8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</row>
    <row r="74" spans="1:8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8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</row>
    <row r="76" spans="1:8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</row>
    <row r="77" spans="1:8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</row>
    <row r="78" spans="1:8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</row>
    <row r="79" spans="1:8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</row>
    <row r="80" spans="1:8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8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8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</row>
    <row r="83" spans="1:8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</row>
    <row r="84" spans="1:8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8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</row>
    <row r="86" spans="1:8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</row>
    <row r="87" spans="1:8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</row>
    <row r="88" spans="1:8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</row>
    <row r="89" spans="1:8" x14ac:dyDescent="0.2">
      <c r="A89" s="3">
        <v>41554</v>
      </c>
      <c r="B89" s="2" t="s">
        <v>31</v>
      </c>
      <c r="C89" s="2" t="s">
        <v>14</v>
      </c>
      <c r="D89" s="2" t="s">
        <v>81</v>
      </c>
      <c r="E89" s="2" t="s">
        <v>22</v>
      </c>
      <c r="F89" s="5">
        <v>3465</v>
      </c>
      <c r="G89" s="5">
        <v>6299</v>
      </c>
      <c r="H89" s="4"/>
    </row>
    <row r="90" spans="1:8" x14ac:dyDescent="0.2">
      <c r="A90" s="3">
        <v>41411</v>
      </c>
      <c r="B90" s="2" t="s">
        <v>28</v>
      </c>
      <c r="C90" s="2" t="s">
        <v>14</v>
      </c>
      <c r="D90" s="2" t="s">
        <v>81</v>
      </c>
      <c r="E90" s="2" t="s">
        <v>19</v>
      </c>
      <c r="F90" s="5">
        <v>2764</v>
      </c>
      <c r="G90" s="5">
        <v>4766</v>
      </c>
      <c r="H90" s="4"/>
    </row>
    <row r="91" spans="1:8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8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</row>
    <row r="93" spans="1:8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8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8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8" x14ac:dyDescent="0.2">
      <c r="A96" s="3">
        <v>41019</v>
      </c>
      <c r="B96" s="2" t="s">
        <v>28</v>
      </c>
      <c r="C96" s="2" t="s">
        <v>27</v>
      </c>
      <c r="D96" s="2" t="s">
        <v>81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81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81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81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81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81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81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81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81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81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81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81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81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81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81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81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81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81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81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81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81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81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81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81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81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81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81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81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81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81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81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81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81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81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81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81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81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81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81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81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81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81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81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81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81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81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81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81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81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81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81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81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81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81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81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81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81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81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81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81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81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81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81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81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81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81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81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81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81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81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81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81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81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81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81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81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81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81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81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81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81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81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81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81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81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81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81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81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81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81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81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81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81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81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81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81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81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81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81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81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81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81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81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81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81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81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81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81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81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81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81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81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81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81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81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81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81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81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81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81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81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81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81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81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81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81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81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81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81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81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81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81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81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81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81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81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81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81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81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81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81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81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81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81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81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81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81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81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81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81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81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81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81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81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81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81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81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81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81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81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81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81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81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81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81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81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81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81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81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81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81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81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81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81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81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81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81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81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81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81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81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81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81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conditionalFormatting sqref="A2:H2000">
    <cfRule type="expression" dxfId="5" priority="8">
      <formula>OR($D2=$K$9,$D2=$K$10,$D2=$K$11,$D2=$K$12)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O37"/>
  <sheetViews>
    <sheetView zoomScale="130" zoomScaleNormal="130" workbookViewId="0">
      <selection activeCell="E7" sqref="E7"/>
    </sheetView>
  </sheetViews>
  <sheetFormatPr baseColWidth="10" defaultColWidth="8.83203125" defaultRowHeight="15" x14ac:dyDescent="0.2"/>
  <cols>
    <col min="1" max="1" width="11.5" bestFit="1" customWidth="1"/>
    <col min="2" max="3" width="12" customWidth="1"/>
    <col min="4" max="4" width="2.83203125" customWidth="1"/>
    <col min="5" max="5" width="11.1640625" bestFit="1" customWidth="1"/>
    <col min="6" max="6" width="9.5" bestFit="1" customWidth="1"/>
    <col min="7" max="7" width="55.33203125" customWidth="1"/>
  </cols>
  <sheetData>
    <row r="1" spans="1:15" x14ac:dyDescent="0.2">
      <c r="A1" s="9" t="s">
        <v>319</v>
      </c>
    </row>
    <row r="3" spans="1:15" x14ac:dyDescent="0.2">
      <c r="A3" s="1" t="s">
        <v>6</v>
      </c>
      <c r="B3" s="1" t="s">
        <v>7</v>
      </c>
      <c r="C3" s="1" t="s">
        <v>10</v>
      </c>
      <c r="E3" s="1" t="s">
        <v>6</v>
      </c>
      <c r="F3" s="1" t="s">
        <v>7</v>
      </c>
    </row>
    <row r="4" spans="1:15" x14ac:dyDescent="0.2">
      <c r="A4" s="2" t="s">
        <v>14</v>
      </c>
      <c r="B4" s="2" t="s">
        <v>15</v>
      </c>
      <c r="C4" s="5">
        <v>6279</v>
      </c>
      <c r="E4" s="2" t="s">
        <v>14</v>
      </c>
      <c r="F4" s="2" t="s">
        <v>15</v>
      </c>
    </row>
    <row r="5" spans="1:15" x14ac:dyDescent="0.2">
      <c r="A5" s="2" t="s">
        <v>14</v>
      </c>
      <c r="B5" s="2" t="s">
        <v>36</v>
      </c>
      <c r="C5" s="5">
        <v>9428</v>
      </c>
    </row>
    <row r="6" spans="1:15" x14ac:dyDescent="0.2">
      <c r="A6" s="2" t="s">
        <v>20</v>
      </c>
      <c r="B6" s="2" t="s">
        <v>81</v>
      </c>
      <c r="C6" s="5">
        <v>7417</v>
      </c>
      <c r="E6" s="113" t="s">
        <v>327</v>
      </c>
    </row>
    <row r="7" spans="1:15" x14ac:dyDescent="0.2">
      <c r="A7" s="2" t="s">
        <v>23</v>
      </c>
      <c r="B7" s="2" t="s">
        <v>15</v>
      </c>
      <c r="C7" s="5">
        <v>6270</v>
      </c>
      <c r="E7" s="112"/>
      <c r="G7" t="str">
        <f ca="1">IF(_xlfn.ISFORMULA(E7),ADDRESS(ROW(E7),COLUMN(E7),4)&amp;": "&amp;_xlfn.FORMULATEXT(E7),"")</f>
        <v/>
      </c>
    </row>
    <row r="8" spans="1:15" x14ac:dyDescent="0.2">
      <c r="A8" s="2" t="s">
        <v>14</v>
      </c>
      <c r="B8" s="2" t="s">
        <v>15</v>
      </c>
      <c r="C8" s="5">
        <v>5610</v>
      </c>
      <c r="E8" t="s">
        <v>328</v>
      </c>
    </row>
    <row r="9" spans="1:15" x14ac:dyDescent="0.2">
      <c r="A9" s="2" t="s">
        <v>14</v>
      </c>
      <c r="B9" s="2" t="s">
        <v>26</v>
      </c>
      <c r="C9" s="5">
        <v>2546</v>
      </c>
      <c r="E9" s="112"/>
      <c r="M9" s="113" t="s">
        <v>166</v>
      </c>
    </row>
    <row r="10" spans="1:15" x14ac:dyDescent="0.2">
      <c r="A10" s="2" t="s">
        <v>27</v>
      </c>
      <c r="B10" s="2" t="s">
        <v>18</v>
      </c>
      <c r="C10" s="5">
        <v>1987</v>
      </c>
      <c r="M10" s="112">
        <f>_xlfn.STDEV.S(C4,C8)</f>
        <v>473.05443661380031</v>
      </c>
      <c r="O10" t="str">
        <f ca="1">IF(_xlfn.ISFORMULA(M10),ADDRESS(ROW(M10),COLUMN(M10),4)&amp;": "&amp;_xlfn.FORMULATEXT(M10),"")</f>
        <v>M10: =STDEV.S(C4,C8)</v>
      </c>
    </row>
    <row r="12" spans="1:15" x14ac:dyDescent="0.2">
      <c r="A12" s="9" t="s">
        <v>311</v>
      </c>
    </row>
    <row r="14" spans="1:15" x14ac:dyDescent="0.2">
      <c r="A14" s="1" t="s">
        <v>7</v>
      </c>
      <c r="B14" s="1" t="s">
        <v>10</v>
      </c>
      <c r="E14" s="32" t="s">
        <v>309</v>
      </c>
    </row>
    <row r="15" spans="1:15" x14ac:dyDescent="0.2">
      <c r="A15" s="2" t="s">
        <v>15</v>
      </c>
      <c r="B15" s="5">
        <v>6279</v>
      </c>
      <c r="E15" s="2" t="s">
        <v>15</v>
      </c>
    </row>
    <row r="16" spans="1:15" x14ac:dyDescent="0.2">
      <c r="A16" s="2" t="s">
        <v>36</v>
      </c>
      <c r="B16" s="5">
        <v>9428</v>
      </c>
      <c r="E16" s="2" t="s">
        <v>36</v>
      </c>
    </row>
    <row r="17" spans="1:7" x14ac:dyDescent="0.2">
      <c r="A17" s="2" t="s">
        <v>81</v>
      </c>
      <c r="B17" s="5">
        <v>7417</v>
      </c>
    </row>
    <row r="18" spans="1:7" x14ac:dyDescent="0.2">
      <c r="A18" s="2" t="s">
        <v>15</v>
      </c>
      <c r="B18" s="5">
        <v>6270</v>
      </c>
      <c r="E18" s="113" t="s">
        <v>66</v>
      </c>
    </row>
    <row r="19" spans="1:7" x14ac:dyDescent="0.2">
      <c r="A19" s="2" t="s">
        <v>81</v>
      </c>
      <c r="B19" s="5">
        <v>5610</v>
      </c>
      <c r="E19" s="112"/>
      <c r="G19" t="str">
        <f ca="1">IF(_xlfn.ISFORMULA(E19),ADDRESS(ROW(E19),COLUMN(E19),4)&amp;": "&amp;_xlfn.FORMULATEXT(E19),"")</f>
        <v/>
      </c>
    </row>
    <row r="20" spans="1:7" ht="26" x14ac:dyDescent="0.3">
      <c r="E20" t="s">
        <v>329</v>
      </c>
    </row>
    <row r="21" spans="1:7" x14ac:dyDescent="0.2">
      <c r="E21" t="s">
        <v>330</v>
      </c>
    </row>
    <row r="22" spans="1:7" x14ac:dyDescent="0.2">
      <c r="E22" s="113" t="s">
        <v>166</v>
      </c>
    </row>
    <row r="23" spans="1:7" x14ac:dyDescent="0.2">
      <c r="E23" s="112"/>
      <c r="G23" t="str">
        <f ca="1">IF(_xlfn.ISFORMULA(E23),ADDRESS(ROW(E23),COLUMN(E23),4)&amp;": "&amp;_xlfn.FORMULATEXT(E23),"")</f>
        <v/>
      </c>
    </row>
    <row r="25" spans="1:7" x14ac:dyDescent="0.2">
      <c r="A25" s="9" t="s">
        <v>312</v>
      </c>
    </row>
    <row r="27" spans="1:7" x14ac:dyDescent="0.2">
      <c r="A27" s="1" t="s">
        <v>6</v>
      </c>
      <c r="B27" s="1" t="s">
        <v>7</v>
      </c>
      <c r="C27" s="1" t="s">
        <v>10</v>
      </c>
      <c r="E27" s="1" t="s">
        <v>6</v>
      </c>
      <c r="F27" s="1" t="s">
        <v>7</v>
      </c>
    </row>
    <row r="28" spans="1:7" x14ac:dyDescent="0.2">
      <c r="A28" s="2" t="s">
        <v>14</v>
      </c>
      <c r="B28" s="2" t="s">
        <v>15</v>
      </c>
      <c r="C28" s="5">
        <v>6279</v>
      </c>
      <c r="E28" s="52" t="s">
        <v>14</v>
      </c>
      <c r="F28" s="31" t="s">
        <v>15</v>
      </c>
    </row>
    <row r="29" spans="1:7" x14ac:dyDescent="0.2">
      <c r="A29" s="2" t="s">
        <v>14</v>
      </c>
      <c r="B29" s="2" t="s">
        <v>36</v>
      </c>
      <c r="C29" s="5">
        <v>9428</v>
      </c>
    </row>
    <row r="30" spans="1:7" x14ac:dyDescent="0.2">
      <c r="A30" s="2" t="s">
        <v>20</v>
      </c>
      <c r="B30" s="2" t="s">
        <v>81</v>
      </c>
      <c r="C30" s="5">
        <v>7417</v>
      </c>
      <c r="E30" s="113" t="s">
        <v>66</v>
      </c>
    </row>
    <row r="31" spans="1:7" x14ac:dyDescent="0.2">
      <c r="A31" s="2" t="s">
        <v>23</v>
      </c>
      <c r="B31" s="2" t="s">
        <v>15</v>
      </c>
      <c r="C31" s="5">
        <v>6270</v>
      </c>
      <c r="E31" s="112"/>
      <c r="G31" t="str">
        <f ca="1">IF(_xlfn.ISFORMULA(E31),ADDRESS(ROW(E31),COLUMN(E31),4)&amp;": "&amp;_xlfn.FORMULATEXT(E31),"")</f>
        <v/>
      </c>
    </row>
    <row r="32" spans="1:7" ht="26" x14ac:dyDescent="0.3">
      <c r="A32" s="2" t="s">
        <v>14</v>
      </c>
      <c r="B32" s="2" t="s">
        <v>15</v>
      </c>
      <c r="C32" s="5">
        <v>5610</v>
      </c>
      <c r="E32" t="s">
        <v>332</v>
      </c>
    </row>
    <row r="33" spans="1:7" x14ac:dyDescent="0.2">
      <c r="A33" s="2" t="s">
        <v>14</v>
      </c>
      <c r="B33" s="2" t="s">
        <v>26</v>
      </c>
      <c r="C33" s="5">
        <v>2546</v>
      </c>
      <c r="E33" t="s">
        <v>331</v>
      </c>
    </row>
    <row r="34" spans="1:7" x14ac:dyDescent="0.2">
      <c r="A34" s="2" t="s">
        <v>27</v>
      </c>
      <c r="B34" s="2" t="s">
        <v>18</v>
      </c>
      <c r="C34" s="5">
        <v>1987</v>
      </c>
    </row>
    <row r="36" spans="1:7" x14ac:dyDescent="0.2">
      <c r="E36" s="113" t="s">
        <v>166</v>
      </c>
    </row>
    <row r="37" spans="1:7" x14ac:dyDescent="0.2">
      <c r="E37" s="112"/>
      <c r="G37" t="str">
        <f ca="1">IF(_xlfn.ISFORMULA(E37),ADDRESS(ROW(E37),COLUMN(E37),4)&amp;": "&amp;_xlfn.FORMULATEXT(E37),"")</f>
        <v/>
      </c>
    </row>
  </sheetData>
  <conditionalFormatting sqref="E15:E16">
    <cfRule type="expression" dxfId="4" priority="16">
      <formula>OR($B15=#REF!,$B15=$J$23,$B15=$J$12,$B15=#REF!)</formula>
    </cfRule>
  </conditionalFormatting>
  <conditionalFormatting sqref="A4:C10">
    <cfRule type="expression" dxfId="3" priority="4">
      <formula>AND($A4=$E$4,$B4=$F$4)</formula>
    </cfRule>
  </conditionalFormatting>
  <conditionalFormatting sqref="A15:B19">
    <cfRule type="expression" dxfId="2" priority="3">
      <formula>MATCH($A15,$E$15:$E$16,0)</formula>
    </cfRule>
  </conditionalFormatting>
  <conditionalFormatting sqref="A28:A34">
    <cfRule type="cellIs" dxfId="1" priority="2" operator="equal">
      <formula>$E$28</formula>
    </cfRule>
  </conditionalFormatting>
  <conditionalFormatting sqref="B28:B34">
    <cfRule type="cellIs" dxfId="0" priority="1" operator="equal">
      <formula>$F$28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00FF"/>
  </sheetPr>
  <dimension ref="A1:J21"/>
  <sheetViews>
    <sheetView zoomScale="130" zoomScaleNormal="130" workbookViewId="0">
      <selection activeCell="G11" sqref="G11"/>
    </sheetView>
  </sheetViews>
  <sheetFormatPr baseColWidth="10" defaultColWidth="8.83203125" defaultRowHeight="15" x14ac:dyDescent="0.2"/>
  <cols>
    <col min="1" max="1" width="21" customWidth="1"/>
    <col min="2" max="3" width="10.83203125" customWidth="1"/>
    <col min="4" max="4" width="14" customWidth="1"/>
    <col min="5" max="6" width="8.5" customWidth="1"/>
    <col min="7" max="9" width="12.1640625" customWidth="1"/>
    <col min="10" max="10" width="13.33203125" customWidth="1"/>
  </cols>
  <sheetData>
    <row r="1" spans="1:10" x14ac:dyDescent="0.2">
      <c r="A1" s="9" t="s">
        <v>89</v>
      </c>
    </row>
    <row r="2" spans="1:10" x14ac:dyDescent="0.2">
      <c r="A2" s="40" t="s">
        <v>90</v>
      </c>
      <c r="B2" s="41" t="str">
        <f>$B$6&amp;" &gt;"&amp;DOLLAR($B$7,0)&amp;" AND "&amp;$C$6&amp;" &gt;"&amp;DOLLAR($C$7,0)&amp;" AND "&amp;$E$6&amp;" &gt;="&amp;$E$7</f>
        <v>Sales Last Year &gt;$250,000 AND Asset Value &gt;$300,000 AND Credit Rating 1 &gt;=3</v>
      </c>
      <c r="C2" s="41"/>
      <c r="D2" s="41"/>
      <c r="E2" s="41"/>
      <c r="F2" s="41"/>
      <c r="G2" s="41"/>
      <c r="H2" s="41"/>
      <c r="I2" s="41"/>
      <c r="J2" s="42"/>
    </row>
    <row r="3" spans="1:10" x14ac:dyDescent="0.2">
      <c r="A3" s="40" t="s">
        <v>91</v>
      </c>
      <c r="B3" s="41" t="s">
        <v>92</v>
      </c>
      <c r="C3" s="41"/>
      <c r="D3" s="41"/>
      <c r="E3" s="41"/>
      <c r="F3" s="41"/>
      <c r="G3" s="41"/>
      <c r="H3" s="41"/>
      <c r="I3" s="41"/>
      <c r="J3" s="42"/>
    </row>
    <row r="4" spans="1:10" ht="32" x14ac:dyDescent="0.2">
      <c r="A4" s="40" t="s">
        <v>93</v>
      </c>
      <c r="B4" s="43" t="str">
        <f>$B$6&amp;" &gt;"&amp;DOLLAR($B$7,0)&amp;" AND "&amp;$C$6&amp;" &gt;"&amp;DOLLAR($C$7,0)&amp;" AND "&amp;D6&amp;" &lt; "&amp;D7&amp;" AND at least one of the credit hurdles is exceeded."</f>
        <v>Sales Last Year &gt;$250,000 AND Asset Value &gt;$300,000 AND Late Payments Last Year &lt; 2 AND at least one of the credit hurdles is exceeded.</v>
      </c>
      <c r="C4" s="43"/>
      <c r="D4" s="43"/>
      <c r="E4" s="43"/>
      <c r="F4" s="43"/>
      <c r="G4" s="43"/>
      <c r="H4" s="43"/>
      <c r="I4" s="43"/>
      <c r="J4" s="44"/>
    </row>
    <row r="5" spans="1:10" ht="2.25" customHeight="1" x14ac:dyDescent="0.2">
      <c r="E5" t="s">
        <v>94</v>
      </c>
      <c r="F5" t="s">
        <v>95</v>
      </c>
    </row>
    <row r="6" spans="1:10" ht="32" x14ac:dyDescent="0.2">
      <c r="B6" s="45" t="s">
        <v>96</v>
      </c>
      <c r="C6" s="45" t="s">
        <v>97</v>
      </c>
      <c r="D6" s="45" t="s">
        <v>98</v>
      </c>
      <c r="E6" s="45" t="s">
        <v>99</v>
      </c>
      <c r="F6" s="45" t="s">
        <v>100</v>
      </c>
    </row>
    <row r="7" spans="1:10" x14ac:dyDescent="0.2">
      <c r="B7" s="46">
        <v>250000</v>
      </c>
      <c r="C7" s="46">
        <v>300000</v>
      </c>
      <c r="D7" s="2">
        <v>2</v>
      </c>
      <c r="E7" s="2">
        <v>3</v>
      </c>
      <c r="F7" s="2">
        <v>7</v>
      </c>
    </row>
    <row r="8" spans="1:10" ht="2.25" customHeight="1" x14ac:dyDescent="0.2"/>
    <row r="9" spans="1:10" x14ac:dyDescent="0.2">
      <c r="A9" s="9" t="s">
        <v>101</v>
      </c>
    </row>
    <row r="10" spans="1:10" ht="32" x14ac:dyDescent="0.2">
      <c r="A10" s="47" t="s">
        <v>102</v>
      </c>
      <c r="B10" s="47" t="str">
        <f t="shared" ref="B10:F10" si="0">B6</f>
        <v>Sales Last Year</v>
      </c>
      <c r="C10" s="47" t="str">
        <f t="shared" si="0"/>
        <v>Asset Value</v>
      </c>
      <c r="D10" s="47" t="str">
        <f>D6</f>
        <v>Late Payments Last Year</v>
      </c>
      <c r="E10" s="47" t="str">
        <f t="shared" si="0"/>
        <v>Credit Rating 1</v>
      </c>
      <c r="F10" s="47" t="str">
        <f t="shared" si="0"/>
        <v>Credit Rating 2</v>
      </c>
      <c r="G10" s="47" t="s">
        <v>103</v>
      </c>
      <c r="H10" s="47" t="s">
        <v>104</v>
      </c>
      <c r="I10" s="47" t="s">
        <v>105</v>
      </c>
      <c r="J10" s="47" t="s">
        <v>314</v>
      </c>
    </row>
    <row r="11" spans="1:10" x14ac:dyDescent="0.2">
      <c r="A11" s="2" t="s">
        <v>106</v>
      </c>
      <c r="B11" s="46">
        <v>250000</v>
      </c>
      <c r="C11" s="46">
        <v>370000</v>
      </c>
      <c r="D11" s="2"/>
      <c r="E11" s="2">
        <v>2.4</v>
      </c>
      <c r="F11" s="2">
        <v>7</v>
      </c>
      <c r="G11" s="121"/>
      <c r="H11" s="121"/>
      <c r="I11" s="121"/>
      <c r="J11" s="121"/>
    </row>
    <row r="12" spans="1:10" x14ac:dyDescent="0.2">
      <c r="A12" s="2" t="s">
        <v>107</v>
      </c>
      <c r="B12" s="46">
        <v>430313</v>
      </c>
      <c r="C12" s="46">
        <v>392808</v>
      </c>
      <c r="D12" s="2">
        <v>4</v>
      </c>
      <c r="E12" s="2">
        <v>3.1</v>
      </c>
      <c r="F12" s="2">
        <v>9</v>
      </c>
      <c r="G12" s="121"/>
      <c r="H12" s="121"/>
      <c r="I12" s="121"/>
      <c r="J12" s="121"/>
    </row>
    <row r="13" spans="1:10" x14ac:dyDescent="0.2">
      <c r="A13" s="2" t="s">
        <v>108</v>
      </c>
      <c r="B13" s="46">
        <v>280396</v>
      </c>
      <c r="C13" s="46">
        <v>111622</v>
      </c>
      <c r="D13" s="2">
        <v>2</v>
      </c>
      <c r="E13" s="2">
        <v>2.7</v>
      </c>
      <c r="F13" s="2">
        <v>7.1</v>
      </c>
      <c r="G13" s="121"/>
      <c r="H13" s="121"/>
      <c r="I13" s="121"/>
      <c r="J13" s="121"/>
    </row>
    <row r="14" spans="1:10" x14ac:dyDescent="0.2">
      <c r="A14" s="2" t="s">
        <v>109</v>
      </c>
      <c r="B14" s="46">
        <v>280306</v>
      </c>
      <c r="C14" s="46">
        <v>370448</v>
      </c>
      <c r="D14" s="2">
        <v>1</v>
      </c>
      <c r="E14" s="2">
        <v>4</v>
      </c>
      <c r="F14" s="2">
        <v>5</v>
      </c>
      <c r="G14" s="121"/>
      <c r="H14" s="121"/>
      <c r="I14" s="121"/>
      <c r="J14" s="121"/>
    </row>
    <row r="15" spans="1:10" x14ac:dyDescent="0.2">
      <c r="A15" s="2" t="s">
        <v>110</v>
      </c>
      <c r="B15" s="46">
        <v>454172</v>
      </c>
      <c r="C15" s="46">
        <v>369208</v>
      </c>
      <c r="D15" s="2"/>
      <c r="E15" s="2">
        <v>3.5</v>
      </c>
      <c r="F15" s="2">
        <v>6.8</v>
      </c>
      <c r="G15" s="121"/>
      <c r="H15" s="121"/>
      <c r="I15" s="121"/>
      <c r="J15" s="121"/>
    </row>
    <row r="16" spans="1:10" x14ac:dyDescent="0.2">
      <c r="A16" s="2" t="s">
        <v>111</v>
      </c>
      <c r="B16" s="46">
        <v>270797</v>
      </c>
      <c r="C16" s="46">
        <v>277251</v>
      </c>
      <c r="D16" s="2">
        <v>1</v>
      </c>
      <c r="E16" s="2">
        <v>2.9</v>
      </c>
      <c r="F16" s="2">
        <v>2</v>
      </c>
      <c r="G16" s="121"/>
      <c r="H16" s="121"/>
      <c r="I16" s="121"/>
      <c r="J16" s="121"/>
    </row>
    <row r="18" spans="4:4" x14ac:dyDescent="0.2">
      <c r="D18" t="str">
        <f ca="1">IF(_xlfn.ISFORMULA(G11),ADDRESS(ROW(G11),COLUMN(G11),4)&amp;": "&amp;_xlfn.FORMULATEXT(G11),"")</f>
        <v/>
      </c>
    </row>
    <row r="19" spans="4:4" x14ac:dyDescent="0.2">
      <c r="D19" t="str">
        <f ca="1">IF(_xlfn.ISFORMULA(H11),ADDRESS(ROW(H11),COLUMN(H11),4)&amp;": "&amp;_xlfn.FORMULATEXT(H11),"")</f>
        <v/>
      </c>
    </row>
    <row r="20" spans="4:4" x14ac:dyDescent="0.2">
      <c r="D20" t="str">
        <f ca="1">IF(_xlfn.ISFORMULA(I11),ADDRESS(ROW(I11),COLUMN(I11),4)&amp;": "&amp;_xlfn.FORMULATEXT(I11),"")</f>
        <v/>
      </c>
    </row>
    <row r="21" spans="4:4" x14ac:dyDescent="0.2">
      <c r="D21" t="str">
        <f ca="1">IF(_xlfn.ISFORMULA(J11),ADDRESS(ROW(J11),COLUMN(J11),4)&amp;": "&amp;_xlfn.FORMULATEXT(J11),"")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0000FF"/>
  </sheetPr>
  <dimension ref="A2:H25"/>
  <sheetViews>
    <sheetView zoomScale="130" zoomScaleNormal="130" workbookViewId="0">
      <selection activeCell="F19" sqref="F19:H25"/>
    </sheetView>
  </sheetViews>
  <sheetFormatPr baseColWidth="10" defaultColWidth="8.83203125" defaultRowHeight="15" x14ac:dyDescent="0.2"/>
  <cols>
    <col min="1" max="1" width="12.5" customWidth="1"/>
    <col min="2" max="2" width="14.6640625" customWidth="1"/>
    <col min="3" max="3" width="11.33203125" customWidth="1"/>
    <col min="4" max="4" width="10.83203125" customWidth="1"/>
    <col min="5" max="5" width="9.33203125" bestFit="1" customWidth="1"/>
    <col min="6" max="6" width="12.83203125" customWidth="1"/>
    <col min="7" max="7" width="13.33203125" customWidth="1"/>
    <col min="8" max="8" width="15.5" customWidth="1"/>
    <col min="9" max="9" width="13.5" customWidth="1"/>
    <col min="10" max="10" width="12" customWidth="1"/>
    <col min="11" max="11" width="12.1640625" customWidth="1"/>
    <col min="14" max="14" width="12.5" customWidth="1"/>
  </cols>
  <sheetData>
    <row r="2" spans="1:8" x14ac:dyDescent="0.2">
      <c r="A2" s="1" t="s">
        <v>123</v>
      </c>
      <c r="B2" s="1" t="s">
        <v>124</v>
      </c>
      <c r="C2" s="53" t="s">
        <v>125</v>
      </c>
      <c r="D2" s="54"/>
      <c r="E2" s="55"/>
    </row>
    <row r="3" spans="1:8" x14ac:dyDescent="0.2">
      <c r="A3" s="56" t="s">
        <v>126</v>
      </c>
      <c r="B3" s="57" t="b">
        <f>ISTEXT(A3)</f>
        <v>1</v>
      </c>
      <c r="C3" t="s">
        <v>127</v>
      </c>
      <c r="E3" t="s">
        <v>128</v>
      </c>
    </row>
    <row r="4" spans="1:8" x14ac:dyDescent="0.2">
      <c r="A4" s="2">
        <v>23</v>
      </c>
      <c r="B4" s="4" t="b">
        <f>ISTEXT(A4)</f>
        <v>0</v>
      </c>
      <c r="C4" t="s">
        <v>127</v>
      </c>
    </row>
    <row r="5" spans="1:8" x14ac:dyDescent="0.2">
      <c r="A5" s="2">
        <v>12</v>
      </c>
      <c r="B5" s="4" t="b">
        <f>ISNUMBER(A5)</f>
        <v>1</v>
      </c>
      <c r="C5" t="s">
        <v>129</v>
      </c>
      <c r="E5" t="s">
        <v>130</v>
      </c>
    </row>
    <row r="6" spans="1:8" x14ac:dyDescent="0.2">
      <c r="A6" s="2" t="s">
        <v>131</v>
      </c>
      <c r="B6" s="4" t="b">
        <f>ISNUMBER(A6)</f>
        <v>0</v>
      </c>
      <c r="C6" t="s">
        <v>129</v>
      </c>
    </row>
    <row r="7" spans="1:8" x14ac:dyDescent="0.2">
      <c r="A7" s="2" t="b">
        <v>1</v>
      </c>
      <c r="B7" s="4" t="b">
        <f>ISLOGICAL(A7)</f>
        <v>1</v>
      </c>
      <c r="C7" t="s">
        <v>132</v>
      </c>
      <c r="E7" t="s">
        <v>133</v>
      </c>
    </row>
    <row r="8" spans="1:8" x14ac:dyDescent="0.2">
      <c r="A8" s="2"/>
      <c r="B8" s="4" t="b">
        <f>ISBLANK(A8)</f>
        <v>1</v>
      </c>
      <c r="C8" t="s">
        <v>134</v>
      </c>
      <c r="E8" t="s">
        <v>135</v>
      </c>
    </row>
    <row r="9" spans="1:8" x14ac:dyDescent="0.2">
      <c r="A9" s="2" t="e">
        <f>#REF!</f>
        <v>#REF!</v>
      </c>
      <c r="B9" s="4" t="b">
        <f>ISERROR(A9)</f>
        <v>1</v>
      </c>
      <c r="C9" t="s">
        <v>136</v>
      </c>
      <c r="E9" t="s">
        <v>137</v>
      </c>
    </row>
    <row r="10" spans="1:8" x14ac:dyDescent="0.2">
      <c r="A10" s="2" t="e">
        <v>#N/A</v>
      </c>
      <c r="B10" s="4" t="b">
        <f>ISERR(A10)</f>
        <v>0</v>
      </c>
      <c r="C10" t="s">
        <v>138</v>
      </c>
      <c r="E10" t="s">
        <v>139</v>
      </c>
    </row>
    <row r="11" spans="1:8" x14ac:dyDescent="0.2">
      <c r="A11" s="2" t="e">
        <v>#N/A</v>
      </c>
      <c r="B11" s="4" t="b">
        <f>ISNA(A11)</f>
        <v>1</v>
      </c>
      <c r="C11" t="s">
        <v>140</v>
      </c>
      <c r="E11" t="s">
        <v>141</v>
      </c>
    </row>
    <row r="12" spans="1:8" x14ac:dyDescent="0.2">
      <c r="A12" s="2" t="s">
        <v>142</v>
      </c>
      <c r="B12" s="4" t="b">
        <f>ISNONTEXT(A12)</f>
        <v>0</v>
      </c>
      <c r="C12" t="s">
        <v>143</v>
      </c>
      <c r="E12" t="s">
        <v>144</v>
      </c>
    </row>
    <row r="13" spans="1:8" x14ac:dyDescent="0.2">
      <c r="A13" s="2"/>
      <c r="B13" s="4" t="b">
        <f>ISNONTEXT(A13)</f>
        <v>1</v>
      </c>
      <c r="C13" t="s">
        <v>143</v>
      </c>
    </row>
    <row r="14" spans="1:8" x14ac:dyDescent="0.2">
      <c r="A14" s="2">
        <f>SUM(A4:A5)</f>
        <v>35</v>
      </c>
      <c r="B14" s="4" t="b">
        <f>_xlfn.ISFORMULA(A14)</f>
        <v>1</v>
      </c>
      <c r="C14" t="s">
        <v>145</v>
      </c>
      <c r="E14" t="s">
        <v>146</v>
      </c>
    </row>
    <row r="16" spans="1:8" x14ac:dyDescent="0.2">
      <c r="F16" s="52" t="s">
        <v>334</v>
      </c>
      <c r="G16" s="52" t="s">
        <v>335</v>
      </c>
      <c r="H16" s="52" t="s">
        <v>336</v>
      </c>
    </row>
    <row r="17" spans="1:8" x14ac:dyDescent="0.2">
      <c r="A17" s="1" t="s">
        <v>4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117</v>
      </c>
      <c r="H17" s="1" t="s">
        <v>117</v>
      </c>
    </row>
    <row r="18" spans="1:8" x14ac:dyDescent="0.2">
      <c r="A18" s="21">
        <v>41548</v>
      </c>
      <c r="B18" s="2" t="s">
        <v>118</v>
      </c>
      <c r="C18" s="2"/>
      <c r="D18" s="50"/>
      <c r="E18" s="50"/>
      <c r="F18" s="50">
        <v>5000</v>
      </c>
      <c r="G18" s="50">
        <v>5000</v>
      </c>
      <c r="H18" s="50">
        <v>5000</v>
      </c>
    </row>
    <row r="19" spans="1:8" x14ac:dyDescent="0.2">
      <c r="A19" s="21">
        <v>41550</v>
      </c>
      <c r="B19" s="2" t="s">
        <v>119</v>
      </c>
      <c r="C19" s="2" t="s">
        <v>120</v>
      </c>
      <c r="D19" s="50"/>
      <c r="E19" s="50">
        <v>500</v>
      </c>
      <c r="F19" s="51"/>
      <c r="G19" s="51"/>
      <c r="H19" s="51"/>
    </row>
    <row r="20" spans="1:8" x14ac:dyDescent="0.2">
      <c r="A20" s="21">
        <v>41551</v>
      </c>
      <c r="B20" s="2" t="s">
        <v>121</v>
      </c>
      <c r="C20" s="2" t="s">
        <v>122</v>
      </c>
      <c r="D20" s="50">
        <v>950</v>
      </c>
      <c r="E20" s="50"/>
      <c r="F20" s="51"/>
      <c r="G20" s="51"/>
      <c r="H20" s="51"/>
    </row>
    <row r="21" spans="1:8" x14ac:dyDescent="0.2">
      <c r="A21" s="21">
        <v>41551</v>
      </c>
      <c r="B21" s="2" t="s">
        <v>344</v>
      </c>
      <c r="C21" s="2"/>
      <c r="D21" s="50"/>
      <c r="E21" s="50"/>
      <c r="F21" s="51"/>
      <c r="G21" s="51"/>
      <c r="H21" s="51"/>
    </row>
    <row r="22" spans="1:8" x14ac:dyDescent="0.2">
      <c r="A22" s="21"/>
      <c r="B22" s="2"/>
      <c r="C22" s="2"/>
      <c r="D22" s="50"/>
      <c r="E22" s="50"/>
      <c r="F22" s="51"/>
      <c r="G22" s="51"/>
      <c r="H22" s="51"/>
    </row>
    <row r="23" spans="1:8" x14ac:dyDescent="0.2">
      <c r="A23" s="21"/>
      <c r="B23" s="2"/>
      <c r="C23" s="2"/>
      <c r="D23" s="50"/>
      <c r="E23" s="50"/>
      <c r="F23" s="51"/>
      <c r="G23" s="51"/>
      <c r="H23" s="51"/>
    </row>
    <row r="24" spans="1:8" x14ac:dyDescent="0.2">
      <c r="A24" s="21"/>
      <c r="B24" s="2"/>
      <c r="C24" s="2"/>
      <c r="D24" s="50"/>
      <c r="E24" s="50"/>
      <c r="F24" s="51"/>
      <c r="G24" s="51"/>
      <c r="H24" s="51"/>
    </row>
    <row r="25" spans="1:8" x14ac:dyDescent="0.2">
      <c r="A25" s="21"/>
      <c r="B25" s="2"/>
      <c r="C25" s="2"/>
      <c r="D25" s="50"/>
      <c r="E25" s="50"/>
      <c r="F25" s="51"/>
      <c r="G25" s="51"/>
      <c r="H25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rgb="FF0000FF"/>
  </sheetPr>
  <dimension ref="A1:E20"/>
  <sheetViews>
    <sheetView zoomScale="160" zoomScaleNormal="160" workbookViewId="0"/>
  </sheetViews>
  <sheetFormatPr baseColWidth="10" defaultColWidth="8.83203125" defaultRowHeight="15" x14ac:dyDescent="0.2"/>
  <cols>
    <col min="1" max="1" width="11" bestFit="1" customWidth="1"/>
    <col min="4" max="4" width="11.33203125" customWidth="1"/>
    <col min="5" max="5" width="12.33203125" customWidth="1"/>
    <col min="6" max="6" width="12.33203125" bestFit="1" customWidth="1"/>
  </cols>
  <sheetData>
    <row r="1" spans="1:5" x14ac:dyDescent="0.2">
      <c r="A1" s="59" t="s">
        <v>148</v>
      </c>
    </row>
    <row r="2" spans="1:5" x14ac:dyDescent="0.2">
      <c r="A2" t="s">
        <v>337</v>
      </c>
    </row>
    <row r="3" spans="1:5" x14ac:dyDescent="0.2">
      <c r="A3" t="s">
        <v>338</v>
      </c>
    </row>
    <row r="4" spans="1:5" x14ac:dyDescent="0.2">
      <c r="A4" t="s">
        <v>339</v>
      </c>
    </row>
    <row r="5" spans="1:5" x14ac:dyDescent="0.2">
      <c r="A5" t="s">
        <v>340</v>
      </c>
    </row>
    <row r="6" spans="1:5" x14ac:dyDescent="0.2">
      <c r="A6" t="s">
        <v>341</v>
      </c>
    </row>
    <row r="7" spans="1:5" x14ac:dyDescent="0.2">
      <c r="A7" t="s">
        <v>342</v>
      </c>
    </row>
    <row r="8" spans="1:5" x14ac:dyDescent="0.2">
      <c r="A8" t="s">
        <v>343</v>
      </c>
    </row>
    <row r="10" spans="1:5" x14ac:dyDescent="0.2">
      <c r="A10" s="32" t="s">
        <v>4</v>
      </c>
      <c r="B10" s="32" t="s">
        <v>149</v>
      </c>
      <c r="D10" s="122" t="s">
        <v>345</v>
      </c>
      <c r="E10" s="122" t="s">
        <v>65</v>
      </c>
    </row>
    <row r="11" spans="1:5" x14ac:dyDescent="0.2">
      <c r="A11" s="21">
        <v>42439</v>
      </c>
      <c r="B11" s="2">
        <v>338</v>
      </c>
      <c r="D11" s="21">
        <v>42370</v>
      </c>
      <c r="E11" s="2">
        <f>SUMIFS($B$11:$B$20,$A$11:$A$20,"&gt;="&amp;D11,$A$11:$A$20,"&lt;="&amp;EOMONTH(D11,0))</f>
        <v>625</v>
      </c>
    </row>
    <row r="12" spans="1:5" x14ac:dyDescent="0.2">
      <c r="A12" s="21">
        <v>42443</v>
      </c>
      <c r="B12" s="2">
        <v>556</v>
      </c>
      <c r="D12" s="21">
        <v>42401</v>
      </c>
      <c r="E12" s="2">
        <f t="shared" ref="E12:E13" si="0">SUMIFS($B$11:$B$20,$A$11:$A$20,"&gt;="&amp;D12,$A$11:$A$20,"&lt;="&amp;EOMONTH(D12,0))</f>
        <v>1199</v>
      </c>
    </row>
    <row r="13" spans="1:5" x14ac:dyDescent="0.2">
      <c r="A13" s="21">
        <v>42397</v>
      </c>
      <c r="B13" s="2">
        <v>124</v>
      </c>
      <c r="D13" s="21">
        <v>42430</v>
      </c>
      <c r="E13" s="2">
        <f t="shared" si="0"/>
        <v>1181</v>
      </c>
    </row>
    <row r="14" spans="1:5" x14ac:dyDescent="0.2">
      <c r="A14" s="21">
        <v>42385</v>
      </c>
      <c r="B14" s="2">
        <v>205</v>
      </c>
    </row>
    <row r="15" spans="1:5" x14ac:dyDescent="0.2">
      <c r="A15" s="21">
        <v>42429</v>
      </c>
      <c r="B15" s="2">
        <v>311</v>
      </c>
      <c r="D15" s="37" t="s">
        <v>350</v>
      </c>
      <c r="E15" t="s">
        <v>349</v>
      </c>
    </row>
    <row r="16" spans="1:5" x14ac:dyDescent="0.2">
      <c r="A16" s="21">
        <v>42404</v>
      </c>
      <c r="B16" s="2">
        <v>484</v>
      </c>
      <c r="D16" t="s">
        <v>346</v>
      </c>
      <c r="E16" s="38">
        <v>625</v>
      </c>
    </row>
    <row r="17" spans="1:5" x14ac:dyDescent="0.2">
      <c r="A17" s="21">
        <v>42438</v>
      </c>
      <c r="B17" s="2">
        <v>287</v>
      </c>
      <c r="D17" t="s">
        <v>347</v>
      </c>
      <c r="E17" s="38">
        <v>1199</v>
      </c>
    </row>
    <row r="18" spans="1:5" x14ac:dyDescent="0.2">
      <c r="A18" s="21">
        <v>42377</v>
      </c>
      <c r="B18" s="2">
        <v>296</v>
      </c>
      <c r="D18" t="s">
        <v>348</v>
      </c>
      <c r="E18" s="38">
        <v>1181</v>
      </c>
    </row>
    <row r="19" spans="1:5" x14ac:dyDescent="0.2">
      <c r="A19" s="21">
        <v>42405</v>
      </c>
      <c r="B19" s="2">
        <v>167</v>
      </c>
      <c r="D19" t="s">
        <v>155</v>
      </c>
      <c r="E19" s="38">
        <v>3005</v>
      </c>
    </row>
    <row r="20" spans="1:5" x14ac:dyDescent="0.2">
      <c r="A20" s="21">
        <v>42421</v>
      </c>
      <c r="B20" s="2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0000FF"/>
  </sheetPr>
  <dimension ref="A1:J45"/>
  <sheetViews>
    <sheetView zoomScale="85" zoomScaleNormal="85" workbookViewId="0"/>
  </sheetViews>
  <sheetFormatPr baseColWidth="10" defaultColWidth="8.83203125" defaultRowHeight="15" x14ac:dyDescent="0.2"/>
  <cols>
    <col min="3" max="3" width="19.1640625" customWidth="1"/>
    <col min="5" max="5" width="14" bestFit="1" customWidth="1"/>
    <col min="6" max="9" width="14" customWidth="1"/>
    <col min="10" max="10" width="17.83203125" bestFit="1" customWidth="1"/>
  </cols>
  <sheetData>
    <row r="1" spans="1:10" x14ac:dyDescent="0.2">
      <c r="A1" s="25" t="s">
        <v>173</v>
      </c>
      <c r="B1" s="26"/>
      <c r="C1" s="26"/>
      <c r="D1" s="26"/>
      <c r="E1" s="26"/>
      <c r="F1" s="27"/>
    </row>
    <row r="3" spans="1:10" x14ac:dyDescent="0.2">
      <c r="A3" s="1" t="s">
        <v>160</v>
      </c>
      <c r="B3" s="1" t="s">
        <v>10</v>
      </c>
      <c r="C3" s="1" t="s">
        <v>5</v>
      </c>
      <c r="F3" s="62" t="s">
        <v>172</v>
      </c>
      <c r="G3" s="62" t="s">
        <v>171</v>
      </c>
      <c r="H3" s="62" t="s">
        <v>170</v>
      </c>
      <c r="I3" s="62" t="s">
        <v>169</v>
      </c>
    </row>
    <row r="4" spans="1:10" x14ac:dyDescent="0.2">
      <c r="A4" s="2" t="s">
        <v>168</v>
      </c>
      <c r="B4" s="2">
        <v>457</v>
      </c>
      <c r="C4" s="2" t="s">
        <v>150</v>
      </c>
      <c r="F4" s="56" t="s">
        <v>163</v>
      </c>
      <c r="G4" s="56" t="s">
        <v>14</v>
      </c>
      <c r="H4" s="56" t="s">
        <v>151</v>
      </c>
      <c r="I4" s="56" t="s">
        <v>161</v>
      </c>
    </row>
    <row r="5" spans="1:10" x14ac:dyDescent="0.2">
      <c r="A5" s="2" t="s">
        <v>163</v>
      </c>
      <c r="B5" s="2">
        <v>368</v>
      </c>
      <c r="C5" s="2" t="s">
        <v>150</v>
      </c>
      <c r="F5" s="2" t="s">
        <v>112</v>
      </c>
      <c r="G5" s="2" t="s">
        <v>164</v>
      </c>
      <c r="H5" s="2" t="s">
        <v>168</v>
      </c>
      <c r="I5" s="2" t="s">
        <v>167</v>
      </c>
    </row>
    <row r="6" spans="1:10" x14ac:dyDescent="0.2">
      <c r="A6" s="2" t="s">
        <v>14</v>
      </c>
      <c r="B6" s="2">
        <v>725</v>
      </c>
      <c r="C6" s="2" t="s">
        <v>152</v>
      </c>
      <c r="F6" s="2" t="s">
        <v>158</v>
      </c>
      <c r="G6" s="2" t="s">
        <v>153</v>
      </c>
      <c r="H6" s="2" t="s">
        <v>154</v>
      </c>
      <c r="I6" s="2" t="s">
        <v>162</v>
      </c>
    </row>
    <row r="7" spans="1:10" x14ac:dyDescent="0.2">
      <c r="A7" s="2" t="s">
        <v>162</v>
      </c>
      <c r="B7" s="2">
        <v>736</v>
      </c>
      <c r="C7" s="2" t="s">
        <v>152</v>
      </c>
      <c r="F7" s="2" t="s">
        <v>159</v>
      </c>
      <c r="G7" s="2" t="s">
        <v>27</v>
      </c>
      <c r="H7" s="2" t="s">
        <v>23</v>
      </c>
      <c r="I7" s="2" t="s">
        <v>20</v>
      </c>
    </row>
    <row r="8" spans="1:10" x14ac:dyDescent="0.2">
      <c r="A8" s="2" t="s">
        <v>159</v>
      </c>
      <c r="B8" s="2">
        <v>606</v>
      </c>
      <c r="C8" s="2" t="s">
        <v>152</v>
      </c>
      <c r="E8" s="62" t="s">
        <v>150</v>
      </c>
      <c r="F8" s="4">
        <f t="shared" ref="F8:I9" si="0">SUMPRODUCT(SUMIFS($B$4:$B$45,$C$4:$C$45,$E8,$A$4:$A$45,F$4:F$7))</f>
        <v>5301</v>
      </c>
      <c r="G8" s="4">
        <f t="shared" si="0"/>
        <v>8162</v>
      </c>
      <c r="H8" s="4">
        <f t="shared" si="0"/>
        <v>6211</v>
      </c>
      <c r="I8" s="4">
        <f t="shared" si="0"/>
        <v>2499</v>
      </c>
    </row>
    <row r="9" spans="1:10" x14ac:dyDescent="0.2">
      <c r="A9" s="2" t="s">
        <v>164</v>
      </c>
      <c r="B9" s="2">
        <v>1418</v>
      </c>
      <c r="C9" s="2" t="s">
        <v>152</v>
      </c>
      <c r="E9" s="62" t="s">
        <v>152</v>
      </c>
      <c r="F9" s="4">
        <f t="shared" si="0"/>
        <v>4307</v>
      </c>
      <c r="G9" s="4">
        <f t="shared" si="0"/>
        <v>5469</v>
      </c>
      <c r="H9" s="4">
        <f t="shared" si="0"/>
        <v>2929</v>
      </c>
      <c r="I9" s="4">
        <f t="shared" si="0"/>
        <v>2025</v>
      </c>
    </row>
    <row r="10" spans="1:10" x14ac:dyDescent="0.2">
      <c r="A10" s="2" t="s">
        <v>154</v>
      </c>
      <c r="B10" s="2">
        <v>1110</v>
      </c>
      <c r="C10" s="2" t="s">
        <v>152</v>
      </c>
    </row>
    <row r="11" spans="1:10" x14ac:dyDescent="0.2">
      <c r="A11" s="2" t="s">
        <v>153</v>
      </c>
      <c r="B11" s="2">
        <v>1489</v>
      </c>
      <c r="C11" s="2" t="s">
        <v>150</v>
      </c>
      <c r="E11" s="9" t="s">
        <v>166</v>
      </c>
      <c r="F11" s="37" t="s">
        <v>160</v>
      </c>
      <c r="G11" t="s">
        <v>84</v>
      </c>
      <c r="J11" t="s">
        <v>165</v>
      </c>
    </row>
    <row r="12" spans="1:10" x14ac:dyDescent="0.2">
      <c r="A12" s="2" t="s">
        <v>163</v>
      </c>
      <c r="B12" s="2">
        <v>175</v>
      </c>
      <c r="C12" s="2" t="s">
        <v>150</v>
      </c>
    </row>
    <row r="13" spans="1:10" x14ac:dyDescent="0.2">
      <c r="A13" s="2" t="s">
        <v>27</v>
      </c>
      <c r="B13" s="2">
        <v>1354</v>
      </c>
      <c r="C13" s="2" t="s">
        <v>152</v>
      </c>
      <c r="F13" s="37" t="s">
        <v>157</v>
      </c>
      <c r="G13" t="s">
        <v>156</v>
      </c>
    </row>
    <row r="14" spans="1:10" x14ac:dyDescent="0.2">
      <c r="A14" s="2" t="s">
        <v>23</v>
      </c>
      <c r="B14" s="2">
        <v>132</v>
      </c>
      <c r="C14" s="2" t="s">
        <v>150</v>
      </c>
      <c r="F14" s="61" t="s">
        <v>150</v>
      </c>
      <c r="G14" s="38">
        <v>5301</v>
      </c>
    </row>
    <row r="15" spans="1:10" x14ac:dyDescent="0.2">
      <c r="A15" s="2" t="s">
        <v>14</v>
      </c>
      <c r="B15" s="2">
        <v>449</v>
      </c>
      <c r="C15" s="2" t="s">
        <v>152</v>
      </c>
      <c r="F15" s="61" t="s">
        <v>152</v>
      </c>
      <c r="G15" s="38">
        <v>4307</v>
      </c>
    </row>
    <row r="16" spans="1:10" x14ac:dyDescent="0.2">
      <c r="A16" s="2" t="s">
        <v>20</v>
      </c>
      <c r="B16" s="2">
        <v>1333</v>
      </c>
      <c r="C16" s="2" t="s">
        <v>150</v>
      </c>
      <c r="F16" s="61" t="s">
        <v>155</v>
      </c>
      <c r="G16" s="38">
        <v>9608</v>
      </c>
    </row>
    <row r="17" spans="1:10" x14ac:dyDescent="0.2">
      <c r="A17" s="2" t="s">
        <v>153</v>
      </c>
      <c r="B17" s="2">
        <v>1571</v>
      </c>
      <c r="C17" s="2" t="s">
        <v>150</v>
      </c>
    </row>
    <row r="18" spans="1:10" x14ac:dyDescent="0.2">
      <c r="A18" s="2" t="s">
        <v>164</v>
      </c>
      <c r="B18" s="2">
        <v>1553</v>
      </c>
      <c r="C18" s="2" t="s">
        <v>150</v>
      </c>
      <c r="G18" s="37" t="s">
        <v>160</v>
      </c>
      <c r="H18" t="s">
        <v>84</v>
      </c>
    </row>
    <row r="19" spans="1:10" x14ac:dyDescent="0.2">
      <c r="A19" s="2" t="s">
        <v>159</v>
      </c>
      <c r="B19" s="2">
        <v>1196</v>
      </c>
      <c r="C19" s="2" t="s">
        <v>152</v>
      </c>
    </row>
    <row r="20" spans="1:10" x14ac:dyDescent="0.2">
      <c r="A20" s="2" t="s">
        <v>163</v>
      </c>
      <c r="B20" s="2">
        <v>679</v>
      </c>
      <c r="C20" s="2" t="s">
        <v>150</v>
      </c>
      <c r="G20" s="37" t="s">
        <v>157</v>
      </c>
      <c r="H20" t="s">
        <v>156</v>
      </c>
    </row>
    <row r="21" spans="1:10" x14ac:dyDescent="0.2">
      <c r="A21" s="2" t="s">
        <v>23</v>
      </c>
      <c r="B21" s="2">
        <v>221</v>
      </c>
      <c r="C21" s="2" t="s">
        <v>152</v>
      </c>
      <c r="G21" s="61" t="s">
        <v>150</v>
      </c>
      <c r="H21" s="38">
        <v>8162</v>
      </c>
    </row>
    <row r="22" spans="1:10" x14ac:dyDescent="0.2">
      <c r="A22" s="2" t="s">
        <v>23</v>
      </c>
      <c r="B22" s="2">
        <v>1097</v>
      </c>
      <c r="C22" s="2" t="s">
        <v>150</v>
      </c>
      <c r="G22" s="61" t="s">
        <v>152</v>
      </c>
      <c r="H22" s="38">
        <v>5469</v>
      </c>
    </row>
    <row r="23" spans="1:10" x14ac:dyDescent="0.2">
      <c r="A23" s="2" t="s">
        <v>14</v>
      </c>
      <c r="B23" s="2">
        <v>473</v>
      </c>
      <c r="C23" s="2" t="s">
        <v>150</v>
      </c>
      <c r="G23" s="61" t="s">
        <v>155</v>
      </c>
      <c r="H23" s="38">
        <v>13631</v>
      </c>
    </row>
    <row r="24" spans="1:10" x14ac:dyDescent="0.2">
      <c r="A24" s="2" t="s">
        <v>159</v>
      </c>
      <c r="B24" s="2">
        <v>573</v>
      </c>
      <c r="C24" s="2" t="s">
        <v>152</v>
      </c>
    </row>
    <row r="25" spans="1:10" x14ac:dyDescent="0.2">
      <c r="A25" s="2" t="s">
        <v>14</v>
      </c>
      <c r="B25" s="2">
        <v>1160</v>
      </c>
      <c r="C25" s="2" t="s">
        <v>152</v>
      </c>
      <c r="H25" s="37" t="s">
        <v>160</v>
      </c>
      <c r="I25" t="s">
        <v>84</v>
      </c>
    </row>
    <row r="26" spans="1:10" x14ac:dyDescent="0.2">
      <c r="A26" s="2" t="s">
        <v>163</v>
      </c>
      <c r="B26" s="2">
        <v>1268</v>
      </c>
      <c r="C26" s="2" t="s">
        <v>150</v>
      </c>
    </row>
    <row r="27" spans="1:10" x14ac:dyDescent="0.2">
      <c r="A27" s="2" t="s">
        <v>153</v>
      </c>
      <c r="B27" s="2">
        <v>1635</v>
      </c>
      <c r="C27" s="2" t="s">
        <v>150</v>
      </c>
      <c r="H27" s="37" t="s">
        <v>157</v>
      </c>
      <c r="I27" t="s">
        <v>156</v>
      </c>
    </row>
    <row r="28" spans="1:10" x14ac:dyDescent="0.2">
      <c r="A28" s="2" t="s">
        <v>162</v>
      </c>
      <c r="B28" s="2">
        <v>152</v>
      </c>
      <c r="C28" s="2" t="s">
        <v>150</v>
      </c>
      <c r="H28" s="61" t="s">
        <v>150</v>
      </c>
      <c r="I28" s="38">
        <v>6211</v>
      </c>
    </row>
    <row r="29" spans="1:10" x14ac:dyDescent="0.2">
      <c r="A29" s="2" t="s">
        <v>158</v>
      </c>
      <c r="B29" s="2">
        <v>603</v>
      </c>
      <c r="C29" s="2" t="s">
        <v>150</v>
      </c>
      <c r="H29" s="61" t="s">
        <v>152</v>
      </c>
      <c r="I29" s="38">
        <v>2929</v>
      </c>
    </row>
    <row r="30" spans="1:10" x14ac:dyDescent="0.2">
      <c r="A30" s="2" t="s">
        <v>161</v>
      </c>
      <c r="B30" s="2">
        <v>458</v>
      </c>
      <c r="C30" s="2" t="s">
        <v>150</v>
      </c>
      <c r="H30" s="61" t="s">
        <v>155</v>
      </c>
      <c r="I30" s="38">
        <v>9140</v>
      </c>
    </row>
    <row r="31" spans="1:10" x14ac:dyDescent="0.2">
      <c r="A31" s="2" t="s">
        <v>112</v>
      </c>
      <c r="B31" s="2">
        <v>741</v>
      </c>
      <c r="C31" s="2" t="s">
        <v>152</v>
      </c>
    </row>
    <row r="32" spans="1:10" x14ac:dyDescent="0.2">
      <c r="A32" s="2" t="s">
        <v>151</v>
      </c>
      <c r="B32" s="2">
        <v>486</v>
      </c>
      <c r="C32" s="2" t="s">
        <v>150</v>
      </c>
      <c r="I32" s="37" t="s">
        <v>160</v>
      </c>
      <c r="J32" t="s">
        <v>84</v>
      </c>
    </row>
    <row r="33" spans="1:10" x14ac:dyDescent="0.2">
      <c r="A33" s="2" t="s">
        <v>159</v>
      </c>
      <c r="B33" s="2">
        <v>1227</v>
      </c>
      <c r="C33" s="2" t="s">
        <v>150</v>
      </c>
    </row>
    <row r="34" spans="1:10" x14ac:dyDescent="0.2">
      <c r="A34" s="2" t="s">
        <v>158</v>
      </c>
      <c r="B34" s="2">
        <v>981</v>
      </c>
      <c r="C34" s="2" t="s">
        <v>150</v>
      </c>
      <c r="I34" s="37" t="s">
        <v>157</v>
      </c>
      <c r="J34" t="s">
        <v>156</v>
      </c>
    </row>
    <row r="35" spans="1:10" x14ac:dyDescent="0.2">
      <c r="A35" s="2" t="s">
        <v>151</v>
      </c>
      <c r="B35" s="2">
        <v>798</v>
      </c>
      <c r="C35" s="2" t="s">
        <v>150</v>
      </c>
      <c r="I35" s="61" t="s">
        <v>150</v>
      </c>
      <c r="J35" s="38">
        <v>2499</v>
      </c>
    </row>
    <row r="36" spans="1:10" x14ac:dyDescent="0.2">
      <c r="A36" s="2" t="s">
        <v>112</v>
      </c>
      <c r="B36" s="2">
        <v>1191</v>
      </c>
      <c r="C36" s="2" t="s">
        <v>152</v>
      </c>
      <c r="I36" s="61" t="s">
        <v>152</v>
      </c>
      <c r="J36" s="38">
        <v>2025</v>
      </c>
    </row>
    <row r="37" spans="1:10" x14ac:dyDescent="0.2">
      <c r="A37" s="2" t="s">
        <v>14</v>
      </c>
      <c r="B37" s="2">
        <v>363</v>
      </c>
      <c r="C37" s="2" t="s">
        <v>152</v>
      </c>
      <c r="I37" s="61" t="s">
        <v>155</v>
      </c>
      <c r="J37" s="38">
        <v>4524</v>
      </c>
    </row>
    <row r="38" spans="1:10" x14ac:dyDescent="0.2">
      <c r="A38" s="2" t="s">
        <v>154</v>
      </c>
      <c r="B38" s="2">
        <v>1332</v>
      </c>
      <c r="C38" s="2" t="s">
        <v>150</v>
      </c>
    </row>
    <row r="39" spans="1:10" x14ac:dyDescent="0.2">
      <c r="A39" s="2" t="s">
        <v>20</v>
      </c>
      <c r="B39" s="2">
        <v>1289</v>
      </c>
      <c r="C39" s="2" t="s">
        <v>152</v>
      </c>
    </row>
    <row r="40" spans="1:10" x14ac:dyDescent="0.2">
      <c r="A40" s="2" t="s">
        <v>151</v>
      </c>
      <c r="B40" s="2">
        <v>1625</v>
      </c>
      <c r="C40" s="2" t="s">
        <v>150</v>
      </c>
    </row>
    <row r="41" spans="1:10" x14ac:dyDescent="0.2">
      <c r="A41" s="2" t="s">
        <v>23</v>
      </c>
      <c r="B41" s="2">
        <v>1261</v>
      </c>
      <c r="C41" s="2" t="s">
        <v>152</v>
      </c>
    </row>
    <row r="42" spans="1:10" x14ac:dyDescent="0.2">
      <c r="A42" s="2" t="s">
        <v>20</v>
      </c>
      <c r="B42" s="2">
        <v>556</v>
      </c>
      <c r="C42" s="2" t="s">
        <v>150</v>
      </c>
    </row>
    <row r="43" spans="1:10" x14ac:dyDescent="0.2">
      <c r="A43" s="2" t="s">
        <v>153</v>
      </c>
      <c r="B43" s="2">
        <v>1441</v>
      </c>
      <c r="C43" s="2" t="s">
        <v>150</v>
      </c>
    </row>
    <row r="44" spans="1:10" x14ac:dyDescent="0.2">
      <c r="A44" s="2" t="s">
        <v>151</v>
      </c>
      <c r="B44" s="2">
        <v>337</v>
      </c>
      <c r="C44" s="2" t="s">
        <v>152</v>
      </c>
    </row>
    <row r="45" spans="1:10" x14ac:dyDescent="0.2">
      <c r="A45" s="2" t="s">
        <v>151</v>
      </c>
      <c r="B45" s="2">
        <v>284</v>
      </c>
      <c r="C45" s="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0000FF"/>
  </sheetPr>
  <dimension ref="A1:L7"/>
  <sheetViews>
    <sheetView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8.33203125" customWidth="1"/>
    <col min="2" max="2" width="10.5" customWidth="1"/>
    <col min="3" max="3" width="10.33203125" customWidth="1"/>
    <col min="4" max="9" width="8.83203125" customWidth="1"/>
  </cols>
  <sheetData>
    <row r="1" spans="1:12" x14ac:dyDescent="0.2">
      <c r="A1" s="77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8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">
      <c r="A7" s="1" t="s">
        <v>217</v>
      </c>
      <c r="B7" s="51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sortState xmlns:xlrd2="http://schemas.microsoft.com/office/spreadsheetml/2017/richdata2" columnSort="1" ref="B4:L5">
    <sortCondition ref="B4:L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rgb="FFFF0000"/>
  </sheetPr>
  <dimension ref="A1:L7"/>
  <sheetViews>
    <sheetView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8.33203125" customWidth="1"/>
    <col min="2" max="2" width="12.83203125" customWidth="1"/>
    <col min="3" max="3" width="10.33203125" customWidth="1"/>
    <col min="4" max="9" width="8.83203125" customWidth="1"/>
  </cols>
  <sheetData>
    <row r="1" spans="1:12" x14ac:dyDescent="0.2">
      <c r="A1" s="77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8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">
      <c r="A7" s="1" t="s">
        <v>217</v>
      </c>
      <c r="B7" s="79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rgb="FF0000FF"/>
  </sheetPr>
  <dimension ref="A1:N119"/>
  <sheetViews>
    <sheetView topLeftCell="A4" zoomScale="115" zoomScaleNormal="115" workbookViewId="0">
      <selection activeCell="P14" sqref="P14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4" max="14" width="11.6640625" customWidth="1"/>
  </cols>
  <sheetData>
    <row r="1" spans="1:14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4" spans="1:14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4" x14ac:dyDescent="0.2">
      <c r="A5" s="62" t="s">
        <v>164</v>
      </c>
      <c r="B5" s="71">
        <f>COUNTIFS($C$15:$C$119,B$4,$D$15:$D$119,$A5)</f>
        <v>6</v>
      </c>
      <c r="C5" s="71">
        <f t="shared" ref="C5:E10" si="0">COUNTIFS($C$15:$C$119,C$4,$D$15:$D$119,$A5)</f>
        <v>5</v>
      </c>
      <c r="D5" s="71">
        <f t="shared" si="0"/>
        <v>4</v>
      </c>
      <c r="E5" s="71">
        <f t="shared" si="0"/>
        <v>7</v>
      </c>
      <c r="F5" s="73">
        <f t="shared" ref="F5:F11" si="1">SUM(B5:E5)</f>
        <v>22</v>
      </c>
    </row>
    <row r="6" spans="1:14" x14ac:dyDescent="0.2">
      <c r="A6" s="62" t="s">
        <v>176</v>
      </c>
      <c r="B6" s="71">
        <f t="shared" ref="B6:B10" si="2">COUNTIFS($C$15:$C$119,B$4,$D$15:$D$119,$A6)</f>
        <v>7</v>
      </c>
      <c r="C6" s="71">
        <f t="shared" si="0"/>
        <v>9</v>
      </c>
      <c r="D6" s="71">
        <f t="shared" si="0"/>
        <v>3</v>
      </c>
      <c r="E6" s="71">
        <f t="shared" si="0"/>
        <v>7</v>
      </c>
      <c r="F6" s="67">
        <f t="shared" si="1"/>
        <v>26</v>
      </c>
    </row>
    <row r="7" spans="1:14" x14ac:dyDescent="0.2">
      <c r="A7" s="62" t="s">
        <v>177</v>
      </c>
      <c r="B7" s="71">
        <f t="shared" si="2"/>
        <v>4</v>
      </c>
      <c r="C7" s="71">
        <f t="shared" si="0"/>
        <v>2</v>
      </c>
      <c r="D7" s="71">
        <f t="shared" si="0"/>
        <v>2</v>
      </c>
      <c r="E7" s="71">
        <f t="shared" si="0"/>
        <v>1</v>
      </c>
      <c r="F7" s="67">
        <f t="shared" si="1"/>
        <v>9</v>
      </c>
    </row>
    <row r="8" spans="1:14" x14ac:dyDescent="0.2">
      <c r="A8" s="62" t="s">
        <v>23</v>
      </c>
      <c r="B8" s="71">
        <f t="shared" si="2"/>
        <v>3</v>
      </c>
      <c r="C8" s="71">
        <f t="shared" si="0"/>
        <v>3</v>
      </c>
      <c r="D8" s="71">
        <f t="shared" si="0"/>
        <v>5</v>
      </c>
      <c r="E8" s="71">
        <f t="shared" si="0"/>
        <v>5</v>
      </c>
      <c r="F8" s="67">
        <f t="shared" si="1"/>
        <v>16</v>
      </c>
    </row>
    <row r="9" spans="1:14" x14ac:dyDescent="0.2">
      <c r="A9" s="62" t="s">
        <v>112</v>
      </c>
      <c r="B9" s="71">
        <f t="shared" si="2"/>
        <v>5</v>
      </c>
      <c r="C9" s="71">
        <f t="shared" si="0"/>
        <v>6</v>
      </c>
      <c r="D9" s="71">
        <f t="shared" si="0"/>
        <v>5</v>
      </c>
      <c r="E9" s="71">
        <f t="shared" si="0"/>
        <v>2</v>
      </c>
      <c r="F9" s="67">
        <f t="shared" si="1"/>
        <v>18</v>
      </c>
    </row>
    <row r="10" spans="1:14" x14ac:dyDescent="0.2">
      <c r="A10" s="62" t="s">
        <v>178</v>
      </c>
      <c r="B10" s="71">
        <f t="shared" si="2"/>
        <v>1</v>
      </c>
      <c r="C10" s="71">
        <f t="shared" si="0"/>
        <v>5</v>
      </c>
      <c r="D10" s="71">
        <f t="shared" si="0"/>
        <v>3</v>
      </c>
      <c r="E10" s="71">
        <f t="shared" si="0"/>
        <v>5</v>
      </c>
      <c r="F10" s="67">
        <f t="shared" si="1"/>
        <v>14</v>
      </c>
    </row>
    <row r="11" spans="1:14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</row>
    <row r="14" spans="1:14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4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4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>
    <tabColor rgb="FFFF0000"/>
  </sheetPr>
  <dimension ref="A1:P119"/>
  <sheetViews>
    <sheetView zoomScale="115" zoomScaleNormal="115" workbookViewId="0">
      <selection activeCell="M9" sqref="M9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7.33203125" customWidth="1"/>
    <col min="12" max="15" width="9.5" customWidth="1"/>
    <col min="16" max="16" width="11.33203125" bestFit="1" customWidth="1"/>
  </cols>
  <sheetData>
    <row r="1" spans="1:16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6" x14ac:dyDescent="0.2">
      <c r="K3" s="9" t="s">
        <v>166</v>
      </c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6" x14ac:dyDescent="0.2">
      <c r="A5" s="62" t="s">
        <v>164</v>
      </c>
      <c r="B5" s="71">
        <f t="shared" ref="B5:E10" si="0">COUNTIFS($D$15:$D$119,$A5,$C$15:$C$119,B$4)</f>
        <v>6</v>
      </c>
      <c r="C5" s="57">
        <f t="shared" si="0"/>
        <v>5</v>
      </c>
      <c r="D5" s="57">
        <f t="shared" si="0"/>
        <v>4</v>
      </c>
      <c r="E5" s="72">
        <f t="shared" si="0"/>
        <v>7</v>
      </c>
      <c r="F5" s="73">
        <f t="shared" ref="F5:F11" si="1">SUM(B5:E5)</f>
        <v>22</v>
      </c>
      <c r="K5" s="37" t="s">
        <v>221</v>
      </c>
      <c r="L5" s="37" t="s">
        <v>5</v>
      </c>
    </row>
    <row r="6" spans="1:16" x14ac:dyDescent="0.2">
      <c r="A6" s="62" t="s">
        <v>176</v>
      </c>
      <c r="B6" s="68">
        <f t="shared" si="0"/>
        <v>7</v>
      </c>
      <c r="C6" s="4">
        <f t="shared" si="0"/>
        <v>9</v>
      </c>
      <c r="D6" s="4">
        <f t="shared" si="0"/>
        <v>3</v>
      </c>
      <c r="E6" s="66">
        <f t="shared" si="0"/>
        <v>7</v>
      </c>
      <c r="F6" s="67">
        <f t="shared" si="1"/>
        <v>26</v>
      </c>
      <c r="K6" s="37" t="s">
        <v>6</v>
      </c>
      <c r="L6" t="s">
        <v>175</v>
      </c>
      <c r="M6" t="s">
        <v>28</v>
      </c>
      <c r="N6" t="s">
        <v>17</v>
      </c>
      <c r="O6" t="s">
        <v>13</v>
      </c>
      <c r="P6" t="s">
        <v>155</v>
      </c>
    </row>
    <row r="7" spans="1:16" x14ac:dyDescent="0.2">
      <c r="A7" s="62" t="s">
        <v>177</v>
      </c>
      <c r="B7" s="68">
        <f t="shared" si="0"/>
        <v>4</v>
      </c>
      <c r="C7" s="4">
        <f t="shared" si="0"/>
        <v>2</v>
      </c>
      <c r="D7" s="4">
        <f t="shared" si="0"/>
        <v>2</v>
      </c>
      <c r="E7" s="66">
        <f t="shared" si="0"/>
        <v>1</v>
      </c>
      <c r="F7" s="67">
        <f t="shared" si="1"/>
        <v>9</v>
      </c>
      <c r="K7" t="s">
        <v>164</v>
      </c>
      <c r="L7" s="38">
        <v>6</v>
      </c>
      <c r="M7" s="38">
        <v>5</v>
      </c>
      <c r="N7" s="38">
        <v>4</v>
      </c>
      <c r="O7" s="38">
        <v>7</v>
      </c>
      <c r="P7" s="38">
        <v>22</v>
      </c>
    </row>
    <row r="8" spans="1:16" x14ac:dyDescent="0.2">
      <c r="A8" s="62" t="s">
        <v>23</v>
      </c>
      <c r="B8" s="68">
        <f t="shared" si="0"/>
        <v>3</v>
      </c>
      <c r="C8" s="4">
        <f t="shared" si="0"/>
        <v>3</v>
      </c>
      <c r="D8" s="4">
        <f t="shared" si="0"/>
        <v>5</v>
      </c>
      <c r="E8" s="66">
        <f t="shared" si="0"/>
        <v>5</v>
      </c>
      <c r="F8" s="67">
        <f t="shared" si="1"/>
        <v>16</v>
      </c>
      <c r="K8" t="s">
        <v>176</v>
      </c>
      <c r="L8" s="38">
        <v>7</v>
      </c>
      <c r="M8" s="38">
        <v>9</v>
      </c>
      <c r="N8" s="38">
        <v>3</v>
      </c>
      <c r="O8" s="38">
        <v>7</v>
      </c>
      <c r="P8" s="38">
        <v>26</v>
      </c>
    </row>
    <row r="9" spans="1:16" x14ac:dyDescent="0.2">
      <c r="A9" s="62" t="s">
        <v>112</v>
      </c>
      <c r="B9" s="68">
        <f t="shared" si="0"/>
        <v>5</v>
      </c>
      <c r="C9" s="4">
        <f t="shared" si="0"/>
        <v>6</v>
      </c>
      <c r="D9" s="4">
        <f t="shared" si="0"/>
        <v>5</v>
      </c>
      <c r="E9" s="66">
        <f t="shared" si="0"/>
        <v>2</v>
      </c>
      <c r="F9" s="67">
        <f t="shared" si="1"/>
        <v>18</v>
      </c>
      <c r="K9" t="s">
        <v>177</v>
      </c>
      <c r="L9" s="38">
        <v>4</v>
      </c>
      <c r="M9" s="38">
        <v>2</v>
      </c>
      <c r="N9" s="38">
        <v>2</v>
      </c>
      <c r="O9" s="38">
        <v>1</v>
      </c>
      <c r="P9" s="38">
        <v>9</v>
      </c>
    </row>
    <row r="10" spans="1:16" x14ac:dyDescent="0.2">
      <c r="A10" s="62" t="s">
        <v>178</v>
      </c>
      <c r="B10" s="68">
        <f t="shared" si="0"/>
        <v>1</v>
      </c>
      <c r="C10" s="4">
        <f t="shared" si="0"/>
        <v>5</v>
      </c>
      <c r="D10" s="4">
        <f t="shared" si="0"/>
        <v>3</v>
      </c>
      <c r="E10" s="66">
        <f t="shared" si="0"/>
        <v>5</v>
      </c>
      <c r="F10" s="67">
        <f t="shared" si="1"/>
        <v>14</v>
      </c>
      <c r="K10" t="s">
        <v>23</v>
      </c>
      <c r="L10" s="38">
        <v>3</v>
      </c>
      <c r="M10" s="38">
        <v>3</v>
      </c>
      <c r="N10" s="38">
        <v>5</v>
      </c>
      <c r="O10" s="38">
        <v>5</v>
      </c>
      <c r="P10" s="38">
        <v>16</v>
      </c>
    </row>
    <row r="11" spans="1:16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  <c r="K11" t="s">
        <v>112</v>
      </c>
      <c r="L11" s="38">
        <v>5</v>
      </c>
      <c r="M11" s="38">
        <v>6</v>
      </c>
      <c r="N11" s="38">
        <v>5</v>
      </c>
      <c r="O11" s="38">
        <v>2</v>
      </c>
      <c r="P11" s="38">
        <v>18</v>
      </c>
    </row>
    <row r="12" spans="1:16" x14ac:dyDescent="0.2">
      <c r="K12" t="s">
        <v>178</v>
      </c>
      <c r="L12" s="38">
        <v>1</v>
      </c>
      <c r="M12" s="38">
        <v>5</v>
      </c>
      <c r="N12" s="38">
        <v>3</v>
      </c>
      <c r="O12" s="38">
        <v>5</v>
      </c>
      <c r="P12" s="38">
        <v>14</v>
      </c>
    </row>
    <row r="13" spans="1:16" x14ac:dyDescent="0.2">
      <c r="K13" t="s">
        <v>155</v>
      </c>
      <c r="L13" s="38">
        <v>26</v>
      </c>
      <c r="M13" s="38">
        <v>30</v>
      </c>
      <c r="N13" s="38">
        <v>22</v>
      </c>
      <c r="O13" s="38">
        <v>27</v>
      </c>
      <c r="P13" s="38">
        <v>105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0000FF"/>
  </sheetPr>
  <dimension ref="A1:M119"/>
  <sheetViews>
    <sheetView zoomScale="115" zoomScaleNormal="115" workbookViewId="0">
      <selection activeCell="J8" sqref="J8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</cols>
  <sheetData>
    <row r="1" spans="1:13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3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3" x14ac:dyDescent="0.2">
      <c r="A5" s="62" t="s">
        <v>164</v>
      </c>
      <c r="B5" s="71">
        <f>SUMIFS($G$15:$G$119, $D$15:$D$119, $A5,$C$15:$C$119, B$4)</f>
        <v>3610</v>
      </c>
      <c r="C5" s="71">
        <f t="shared" ref="C5:E10" si="0">SUMIFS($G$15:$G$119, $D$15:$D$119, $A5,$C$15:$C$119, C$4)</f>
        <v>5403</v>
      </c>
      <c r="D5" s="71">
        <f t="shared" si="0"/>
        <v>2122</v>
      </c>
      <c r="E5" s="71">
        <f t="shared" si="0"/>
        <v>7614</v>
      </c>
      <c r="F5" s="73">
        <f t="shared" ref="F5:F11" si="1">SUM(B5:E5)</f>
        <v>18749</v>
      </c>
    </row>
    <row r="6" spans="1:13" x14ac:dyDescent="0.2">
      <c r="A6" s="62" t="s">
        <v>176</v>
      </c>
      <c r="B6" s="71">
        <f t="shared" ref="B6:B10" si="2">SUMIFS($G$15:$G$119, $D$15:$D$119, $A6,$C$15:$C$119, B$4)</f>
        <v>4454</v>
      </c>
      <c r="C6" s="71">
        <f t="shared" si="0"/>
        <v>7626</v>
      </c>
      <c r="D6" s="71">
        <f t="shared" si="0"/>
        <v>2479</v>
      </c>
      <c r="E6" s="71">
        <f t="shared" si="0"/>
        <v>3925</v>
      </c>
      <c r="F6" s="67">
        <f t="shared" si="1"/>
        <v>18484</v>
      </c>
    </row>
    <row r="7" spans="1:13" x14ac:dyDescent="0.2">
      <c r="A7" s="62" t="s">
        <v>177</v>
      </c>
      <c r="B7" s="71">
        <f t="shared" si="2"/>
        <v>2273</v>
      </c>
      <c r="C7" s="71">
        <f t="shared" si="0"/>
        <v>1260</v>
      </c>
      <c r="D7" s="71">
        <f t="shared" si="0"/>
        <v>903</v>
      </c>
      <c r="E7" s="71">
        <f t="shared" si="0"/>
        <v>672</v>
      </c>
      <c r="F7" s="67">
        <f t="shared" si="1"/>
        <v>5108</v>
      </c>
    </row>
    <row r="8" spans="1:13" x14ac:dyDescent="0.2">
      <c r="A8" s="62" t="s">
        <v>23</v>
      </c>
      <c r="B8" s="71">
        <f t="shared" si="2"/>
        <v>3583</v>
      </c>
      <c r="C8" s="71">
        <f t="shared" si="0"/>
        <v>2161</v>
      </c>
      <c r="D8" s="71">
        <f t="shared" si="0"/>
        <v>5235</v>
      </c>
      <c r="E8" s="71">
        <f t="shared" si="0"/>
        <v>3560</v>
      </c>
      <c r="F8" s="67">
        <f t="shared" si="1"/>
        <v>14539</v>
      </c>
    </row>
    <row r="9" spans="1:13" x14ac:dyDescent="0.2">
      <c r="A9" s="62" t="s">
        <v>112</v>
      </c>
      <c r="B9" s="71">
        <f t="shared" si="2"/>
        <v>2294</v>
      </c>
      <c r="C9" s="71">
        <f t="shared" si="0"/>
        <v>6130</v>
      </c>
      <c r="D9" s="71">
        <f t="shared" si="0"/>
        <v>3906</v>
      </c>
      <c r="E9" s="71">
        <f t="shared" si="0"/>
        <v>1197</v>
      </c>
      <c r="F9" s="67">
        <f t="shared" si="1"/>
        <v>13527</v>
      </c>
    </row>
    <row r="10" spans="1:13" x14ac:dyDescent="0.2">
      <c r="A10" s="62" t="s">
        <v>178</v>
      </c>
      <c r="B10" s="71">
        <f t="shared" si="2"/>
        <v>440</v>
      </c>
      <c r="C10" s="71">
        <f t="shared" si="0"/>
        <v>4575</v>
      </c>
      <c r="D10" s="71">
        <f t="shared" si="0"/>
        <v>1697</v>
      </c>
      <c r="E10" s="71">
        <f t="shared" si="0"/>
        <v>4844</v>
      </c>
      <c r="F10" s="67">
        <f t="shared" si="1"/>
        <v>11556</v>
      </c>
    </row>
    <row r="11" spans="1:13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</row>
    <row r="14" spans="1:13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3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3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0000"/>
  </sheetPr>
  <dimension ref="A1:P119"/>
  <sheetViews>
    <sheetView zoomScale="115" zoomScaleNormal="115" workbookViewId="0">
      <selection activeCell="L7" sqref="L7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2.1640625" customWidth="1"/>
    <col min="12" max="15" width="11.1640625" customWidth="1"/>
    <col min="16" max="16" width="11.33203125" customWidth="1"/>
    <col min="17" max="19" width="15.83203125" bestFit="1" customWidth="1"/>
    <col min="20" max="20" width="20.6640625" bestFit="1" customWidth="1"/>
    <col min="21" max="21" width="17.33203125" bestFit="1" customWidth="1"/>
  </cols>
  <sheetData>
    <row r="1" spans="1:16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  <c r="K4" s="9" t="s">
        <v>166</v>
      </c>
    </row>
    <row r="5" spans="1:16" x14ac:dyDescent="0.2">
      <c r="A5" s="62" t="s">
        <v>164</v>
      </c>
      <c r="B5" s="71">
        <f t="shared" ref="B5:E10" si="0">SUMIFS($G$15:$G$119,$D$15:$D$119,$A5,$C$15:$C$119,B$4)</f>
        <v>3610</v>
      </c>
      <c r="C5" s="57">
        <f t="shared" si="0"/>
        <v>5403</v>
      </c>
      <c r="D5" s="57">
        <f t="shared" si="0"/>
        <v>2122</v>
      </c>
      <c r="E5" s="72">
        <f t="shared" si="0"/>
        <v>7614</v>
      </c>
      <c r="F5" s="73">
        <f t="shared" ref="F5:F11" si="1">SUM(B5:E5)</f>
        <v>18749</v>
      </c>
    </row>
    <row r="6" spans="1:16" x14ac:dyDescent="0.2">
      <c r="A6" s="62" t="s">
        <v>176</v>
      </c>
      <c r="B6" s="68">
        <f t="shared" si="0"/>
        <v>4454</v>
      </c>
      <c r="C6" s="4">
        <f t="shared" si="0"/>
        <v>7626</v>
      </c>
      <c r="D6" s="4">
        <f t="shared" si="0"/>
        <v>2479</v>
      </c>
      <c r="E6" s="66">
        <f t="shared" si="0"/>
        <v>3925</v>
      </c>
      <c r="F6" s="67">
        <f t="shared" si="1"/>
        <v>18484</v>
      </c>
      <c r="K6" s="37" t="s">
        <v>156</v>
      </c>
      <c r="L6" s="37" t="s">
        <v>5</v>
      </c>
    </row>
    <row r="7" spans="1:16" x14ac:dyDescent="0.2">
      <c r="A7" s="62" t="s">
        <v>177</v>
      </c>
      <c r="B7" s="68">
        <f t="shared" si="0"/>
        <v>2273</v>
      </c>
      <c r="C7" s="4">
        <f t="shared" si="0"/>
        <v>1260</v>
      </c>
      <c r="D7" s="4">
        <f t="shared" si="0"/>
        <v>903</v>
      </c>
      <c r="E7" s="66">
        <f t="shared" si="0"/>
        <v>672</v>
      </c>
      <c r="F7" s="67">
        <f t="shared" si="1"/>
        <v>5108</v>
      </c>
      <c r="K7" s="37" t="s">
        <v>6</v>
      </c>
      <c r="L7" t="s">
        <v>175</v>
      </c>
      <c r="M7" t="s">
        <v>28</v>
      </c>
      <c r="N7" t="s">
        <v>17</v>
      </c>
      <c r="O7" t="s">
        <v>13</v>
      </c>
      <c r="P7" t="s">
        <v>155</v>
      </c>
    </row>
    <row r="8" spans="1:16" x14ac:dyDescent="0.2">
      <c r="A8" s="62" t="s">
        <v>23</v>
      </c>
      <c r="B8" s="68">
        <f t="shared" si="0"/>
        <v>3583</v>
      </c>
      <c r="C8" s="4">
        <f t="shared" si="0"/>
        <v>2161</v>
      </c>
      <c r="D8" s="4">
        <f t="shared" si="0"/>
        <v>5235</v>
      </c>
      <c r="E8" s="66">
        <f t="shared" si="0"/>
        <v>3560</v>
      </c>
      <c r="F8" s="67">
        <f t="shared" si="1"/>
        <v>14539</v>
      </c>
      <c r="K8" t="s">
        <v>164</v>
      </c>
      <c r="L8" s="80">
        <v>3610</v>
      </c>
      <c r="M8" s="80">
        <v>5403</v>
      </c>
      <c r="N8" s="80">
        <v>2122</v>
      </c>
      <c r="O8" s="80">
        <v>7614</v>
      </c>
      <c r="P8" s="80">
        <v>18749</v>
      </c>
    </row>
    <row r="9" spans="1:16" x14ac:dyDescent="0.2">
      <c r="A9" s="62" t="s">
        <v>112</v>
      </c>
      <c r="B9" s="68">
        <f t="shared" si="0"/>
        <v>2294</v>
      </c>
      <c r="C9" s="4">
        <f t="shared" si="0"/>
        <v>6130</v>
      </c>
      <c r="D9" s="4">
        <f t="shared" si="0"/>
        <v>3906</v>
      </c>
      <c r="E9" s="66">
        <f t="shared" si="0"/>
        <v>1197</v>
      </c>
      <c r="F9" s="67">
        <f t="shared" si="1"/>
        <v>13527</v>
      </c>
      <c r="K9" t="s">
        <v>176</v>
      </c>
      <c r="L9" s="80">
        <v>4454</v>
      </c>
      <c r="M9" s="80">
        <v>7626</v>
      </c>
      <c r="N9" s="80">
        <v>2479</v>
      </c>
      <c r="O9" s="80">
        <v>3925</v>
      </c>
      <c r="P9" s="80">
        <v>18484</v>
      </c>
    </row>
    <row r="10" spans="1:16" x14ac:dyDescent="0.2">
      <c r="A10" s="62" t="s">
        <v>178</v>
      </c>
      <c r="B10" s="68">
        <f t="shared" si="0"/>
        <v>440</v>
      </c>
      <c r="C10" s="4">
        <f t="shared" si="0"/>
        <v>4575</v>
      </c>
      <c r="D10" s="4">
        <f t="shared" si="0"/>
        <v>1697</v>
      </c>
      <c r="E10" s="66">
        <f t="shared" si="0"/>
        <v>4844</v>
      </c>
      <c r="F10" s="67">
        <f t="shared" si="1"/>
        <v>11556</v>
      </c>
      <c r="K10" t="s">
        <v>177</v>
      </c>
      <c r="L10" s="80">
        <v>2273</v>
      </c>
      <c r="M10" s="80">
        <v>1260</v>
      </c>
      <c r="N10" s="80">
        <v>903</v>
      </c>
      <c r="O10" s="80">
        <v>672</v>
      </c>
      <c r="P10" s="80">
        <v>5108</v>
      </c>
    </row>
    <row r="11" spans="1:16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  <c r="K11" t="s">
        <v>23</v>
      </c>
      <c r="L11" s="80">
        <v>3583</v>
      </c>
      <c r="M11" s="80">
        <v>2161</v>
      </c>
      <c r="N11" s="80">
        <v>5235</v>
      </c>
      <c r="O11" s="80">
        <v>3560</v>
      </c>
      <c r="P11" s="80">
        <v>14539</v>
      </c>
    </row>
    <row r="12" spans="1:16" x14ac:dyDescent="0.2">
      <c r="K12" t="s">
        <v>112</v>
      </c>
      <c r="L12" s="80">
        <v>2294</v>
      </c>
      <c r="M12" s="80">
        <v>6130</v>
      </c>
      <c r="N12" s="80">
        <v>3906</v>
      </c>
      <c r="O12" s="80">
        <v>1197</v>
      </c>
      <c r="P12" s="80">
        <v>13527</v>
      </c>
    </row>
    <row r="13" spans="1:16" x14ac:dyDescent="0.2">
      <c r="K13" t="s">
        <v>178</v>
      </c>
      <c r="L13" s="80">
        <v>440</v>
      </c>
      <c r="M13" s="80">
        <v>4575</v>
      </c>
      <c r="N13" s="80">
        <v>1697</v>
      </c>
      <c r="O13" s="80">
        <v>4844</v>
      </c>
      <c r="P13" s="80">
        <v>11556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  <c r="K14" t="s">
        <v>155</v>
      </c>
      <c r="L14" s="80">
        <v>16654</v>
      </c>
      <c r="M14" s="80">
        <v>27155</v>
      </c>
      <c r="N14" s="80">
        <v>16342</v>
      </c>
      <c r="O14" s="80">
        <v>21812</v>
      </c>
      <c r="P14" s="80">
        <v>81963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7">
    <tabColor rgb="FF0000FF"/>
  </sheetPr>
  <dimension ref="A1:K2010"/>
  <sheetViews>
    <sheetView zoomScale="130" zoomScaleNormal="130" workbookViewId="0">
      <selection activeCell="J9" sqref="J9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8">
        <f>SUMPRODUCT(A9:A14,B9:B14)</f>
        <v>3428</v>
      </c>
      <c r="D6" s="58" t="s">
        <v>285</v>
      </c>
      <c r="E6" s="108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09">
        <f>COUNTIF(J12:J2010,MATCH(J2:J7,J12:J2010,0))</f>
        <v>0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7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7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7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7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7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7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7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7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7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7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7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7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7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7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7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7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7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7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7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7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7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7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7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7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7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7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7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7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7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7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7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7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7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7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7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7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7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7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7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7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7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7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7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7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7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7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7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7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7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7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7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7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7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7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7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7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7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7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7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7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7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7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7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7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7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7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7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7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7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7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7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7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7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7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7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7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7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7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7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7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7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7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7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7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7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7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7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7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7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7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7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7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7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7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7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7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7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7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7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7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7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7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7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7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7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7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7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7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7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7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7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7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7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7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7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7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7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7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7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7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7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7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7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7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7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7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7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7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7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7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7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7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7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7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7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7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7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7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7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7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7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7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7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7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7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7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7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7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7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7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7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7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7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7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7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7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7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7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7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7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7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7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7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7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7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7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7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7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7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7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7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7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7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7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7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7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7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7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7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7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7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7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7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7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7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7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7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7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7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7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7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7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7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7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7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7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7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7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7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7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7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7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7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7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7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7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7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7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7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7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7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7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7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7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7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7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7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7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7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7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7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7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7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7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7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7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7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7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7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7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7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7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7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7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7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7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7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7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7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7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7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7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7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7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7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7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7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7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7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7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7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7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7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7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7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7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7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7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7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7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7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7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7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7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7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7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7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7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7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7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7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7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7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7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7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7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7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7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7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7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7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7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7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7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7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7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7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7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7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7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7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7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7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7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7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7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7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7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7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7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7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7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7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7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7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7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7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7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7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7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7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7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7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7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7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7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7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7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7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7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7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7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7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7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7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7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7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7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7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7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7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7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7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7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7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7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7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7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7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7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7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7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7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7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7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7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7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7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7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7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7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7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7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7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7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7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7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7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7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7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7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7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7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7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7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7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7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7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7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7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7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7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7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7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7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7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7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7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7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7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7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7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7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7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7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7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7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7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7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7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7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7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7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7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7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7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7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7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7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7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7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7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7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7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7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7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7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7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7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7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7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7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7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7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7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7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7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7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7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7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7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7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7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7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7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7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7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7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7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7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7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7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7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7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7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7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7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7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7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7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7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7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7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7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7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7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7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7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7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7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7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7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7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7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7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7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7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7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7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7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7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7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7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7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7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7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7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7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7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7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7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7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7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7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7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7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7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7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7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7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7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7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7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7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7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7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7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7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7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7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7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7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7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7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7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7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7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7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7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7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7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7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7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7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7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7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7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7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7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7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7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7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7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7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7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7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7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7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7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7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7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7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7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7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7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7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7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7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7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7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7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7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7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7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7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7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7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7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7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7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7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7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7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7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7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7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7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7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7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7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7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7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7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7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7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7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7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7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7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7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7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7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7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7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7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7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7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7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7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7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7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7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7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7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7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7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7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7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7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7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7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7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7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7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7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7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7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7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7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7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7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7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7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7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7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7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7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7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7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7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7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7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7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7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7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7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7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7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7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7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7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7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7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7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7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7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7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7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7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7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7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7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7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7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7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7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7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7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7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7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7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7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7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7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7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7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7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7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7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7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7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7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7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7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7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7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7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7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7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7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7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7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7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7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7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7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7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7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7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7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7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7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7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7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7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7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7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7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7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7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7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7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7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7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7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7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7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7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7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7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7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7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7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7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7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7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7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7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7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7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7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7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7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7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7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7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7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7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7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7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7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7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7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7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7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7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7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7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7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7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7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7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7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7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7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7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7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7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7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7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7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7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7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7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7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7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7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7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7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7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7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7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7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7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7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7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7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7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7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7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7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7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7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7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7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7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7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7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7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7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7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7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7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7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7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7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7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7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7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7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7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7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7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7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7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7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7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7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7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7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7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7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7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7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7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7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7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7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7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7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7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7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7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7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7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7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7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7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7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7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7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7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7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7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7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7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7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7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7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7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7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7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7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7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7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7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7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7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7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7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7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7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7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7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7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7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7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7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7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7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7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7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7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7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7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7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7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7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7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7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7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7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7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7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7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7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7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7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7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7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7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7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7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7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7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7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7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7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7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7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7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7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7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7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7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7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7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7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7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7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7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7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7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7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7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7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7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7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7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7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7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7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7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7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7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7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7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7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7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7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7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7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7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7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7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7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7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7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7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7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7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7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7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7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7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7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7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7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7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7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7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7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7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7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7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7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7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7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7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7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7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7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7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7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7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7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7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7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7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7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7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7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7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7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7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7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7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7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7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7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7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7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7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7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7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7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7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7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7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7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7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7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7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7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7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7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7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7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7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7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7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7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7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7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7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7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7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7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7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7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7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7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7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7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7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7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7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7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7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7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7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7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7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7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7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7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7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7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7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7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7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7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7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7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7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7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7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7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7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7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7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7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7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7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7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7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7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7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7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7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7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7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7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7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7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7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7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7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7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7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7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7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7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7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7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7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7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7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7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7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7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7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7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7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7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7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7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7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7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7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7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7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7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7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7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7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7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7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7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7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7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7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7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7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7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7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7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7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7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7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7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7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7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7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7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7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7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7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7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7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7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7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7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7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7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7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7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7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7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7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7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7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7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7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7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7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7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7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7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7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7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7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7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7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7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7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7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7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7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7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7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7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7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7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7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7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7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7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7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7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7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7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7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7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7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7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7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7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7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7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7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7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7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7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7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7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7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7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7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7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7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7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7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7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7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7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7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7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7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7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7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7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7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7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7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7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7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7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7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7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7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7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7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7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7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7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7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7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7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7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7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7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7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7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7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7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7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7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7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7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7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7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7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7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7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7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7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7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7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7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7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7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7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7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7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7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7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7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7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7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7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7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7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7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7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7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7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7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7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7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7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7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7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7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7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7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7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7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7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7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7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7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7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7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7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7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7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7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7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7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7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7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7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7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7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7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7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7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7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7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7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7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7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7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7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7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7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7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7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7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7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7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7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7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7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7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7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7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7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7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7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7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7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7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7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7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7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7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7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7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7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7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7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7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7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7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7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7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7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7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7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7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7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7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7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7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7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7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7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7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7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7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7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7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7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7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7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7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7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7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7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7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7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7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7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7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7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7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7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7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7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7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7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7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7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7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7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7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7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7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7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7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7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7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7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7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7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7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7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7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7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7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7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7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7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7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7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7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7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7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7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7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7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7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7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7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7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7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7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7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7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7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7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7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7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7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7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7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7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7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7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7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7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7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7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7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7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7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7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7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7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7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7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7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7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7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7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7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7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7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7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7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7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7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7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7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7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7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7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7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7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7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7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7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7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7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7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7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7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7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7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7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7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7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7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7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7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7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7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7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7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7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7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7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7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7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7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7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7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7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7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7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7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7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7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7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7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7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7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7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7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7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7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7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7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7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7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7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7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7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7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7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7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7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7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7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7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7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7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7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7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7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7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7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7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7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7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7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7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7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7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7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7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7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7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7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7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7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7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7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7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7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7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7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7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7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7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7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7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7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7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7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7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7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7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7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7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7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7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7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7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7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7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7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7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7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7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7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7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7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7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7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7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7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7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7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7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7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7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7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7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7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7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7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7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7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7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7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7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7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7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7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7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7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7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7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7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7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7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7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7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7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7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7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7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7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7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7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7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7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7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7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7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7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7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7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7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7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7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7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7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7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7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7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7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7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7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7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7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7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7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7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7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7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7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7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7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7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7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7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7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7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7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7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7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7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7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7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7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7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7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7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7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7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7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7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7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7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7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7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7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7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7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7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7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7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7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7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7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7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7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7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7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7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7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7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7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7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7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7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7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7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7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7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7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7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7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7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7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7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7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7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7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7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7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7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7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7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7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7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7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7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7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7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7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7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7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7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7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7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7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7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7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7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7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7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7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7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7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7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7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7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7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7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7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7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7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7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7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7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7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7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7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7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7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7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7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7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7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7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7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7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7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7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7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7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7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7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7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7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7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7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7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7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7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7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7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7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7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7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7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7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7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7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7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7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7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7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7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7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7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7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7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7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7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7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7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7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7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7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7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7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7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7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7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7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7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7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7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7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7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7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7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7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7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7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7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7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7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7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7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7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7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7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7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7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7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7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7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7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7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7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7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7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7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7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7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7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7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7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7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7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7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7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7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7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7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7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7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7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7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7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7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7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7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7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7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7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7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7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7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7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7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7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7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7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7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7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7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7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7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7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7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7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7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7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7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7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7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7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7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7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7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7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7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7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7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7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7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7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7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7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7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7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7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7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7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7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7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7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7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7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7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7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7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7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7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7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7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7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7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7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7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7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7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7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7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7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7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7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7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7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7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7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7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7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7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7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7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7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7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7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7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7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7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7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7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7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7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7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7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7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7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7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7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7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7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7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7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7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7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7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7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7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7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7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7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7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7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7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7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7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7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7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7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7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7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7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7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7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7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7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7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7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7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7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7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7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7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7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7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7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7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7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7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7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7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7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7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7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7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7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7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7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7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7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7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7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7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7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7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7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7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7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7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7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7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7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7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7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7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7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7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7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7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7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7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7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7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7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7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7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7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7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7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7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7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7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7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7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7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7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7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7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7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7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7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7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7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7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7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7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7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7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7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7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7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7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7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7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7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7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7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7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7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7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7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7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7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7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7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7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7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7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7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7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7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7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7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7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7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7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7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7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7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7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7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7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7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7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7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7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7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7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7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7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7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7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7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7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7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7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7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7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7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7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7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7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7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7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7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7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7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7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7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7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7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7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7">
        <v>1013.75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8">
    <tabColor rgb="FFFF0000"/>
  </sheetPr>
  <dimension ref="A1:K2010"/>
  <sheetViews>
    <sheetView zoomScale="115" zoomScaleNormal="115" workbookViewId="0">
      <selection activeCell="O16" sqref="O16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8">
        <f>SUMPRODUCT(A9:A14,B9:B14)</f>
        <v>3428</v>
      </c>
      <c r="D6" s="58" t="s">
        <v>285</v>
      </c>
      <c r="E6" s="108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09">
        <f>SUMPRODUCT(COUNTIFS(J12:J2010,J2:J7))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7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7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7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7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7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7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7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7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7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7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7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7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7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7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7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7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7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7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7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7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7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7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7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7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7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7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7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7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7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7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7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7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7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7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7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7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7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7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7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7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7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7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7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7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7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7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7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7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7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7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7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7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7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7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7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7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7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7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7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7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7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7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7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7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7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7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7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7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7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7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7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7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7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7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7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7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7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7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7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7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7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7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7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7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7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7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7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7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7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7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7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7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7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7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7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7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7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7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7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7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7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7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7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7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7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7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7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7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7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7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7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7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7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7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7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7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7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7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7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7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7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7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7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7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7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7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7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7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7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7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7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7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7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7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7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7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7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7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7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7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7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7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7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7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7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7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7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7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7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7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7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7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7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7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7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7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7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7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7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7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7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7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7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7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7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7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7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7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7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7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7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7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7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7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7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7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7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7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7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7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7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7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7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7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7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7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7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7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7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7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7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7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7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7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7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7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7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7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7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7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7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7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7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7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7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7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7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7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7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7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7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7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7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7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7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7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7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7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7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7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7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7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7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7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7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7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7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7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7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7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7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7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7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7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7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7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7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7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7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7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7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7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7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7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7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7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7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7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7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7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7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7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7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7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7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7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7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7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7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7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7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7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7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7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7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7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7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7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7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7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7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7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7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7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7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7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7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7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7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7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7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7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7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7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7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7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7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7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7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7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7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7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7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7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7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7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7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7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7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7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7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7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7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7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7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7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7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7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7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7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7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7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7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7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7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7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7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7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7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7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7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7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7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7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7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7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7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7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7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7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7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7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7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7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7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7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7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7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7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7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7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7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7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7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7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7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7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7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7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7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7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7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7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7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7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7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7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7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7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7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7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7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7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7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7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7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7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7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7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7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7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7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7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7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7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7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7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7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7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7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7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7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7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7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7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7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7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7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7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7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7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7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7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7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7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7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7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7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7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7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7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7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7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7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7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7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7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7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7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7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7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7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7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7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7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7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7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7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7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7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7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7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7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7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7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7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7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7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7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7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7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7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7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7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7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7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7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7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7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7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7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7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7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7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7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7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7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7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7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7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7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7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7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7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7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7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7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7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7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7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7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7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7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7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7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7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7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7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7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7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7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7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7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7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7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7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7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7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7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7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7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7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7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7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7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7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7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7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7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7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7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7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7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7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7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7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7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7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7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7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7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7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7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7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7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7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7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7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7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7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7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7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7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7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7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7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7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7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7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7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7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7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7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7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7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7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7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7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7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7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7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7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7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7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7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7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7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7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7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7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7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7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7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7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7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7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7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7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7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7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7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7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7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7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7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7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7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7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7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7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7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7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7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7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7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7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7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7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7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7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7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7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7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7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7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7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7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7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7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7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7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7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7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7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7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7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7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7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7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7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7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7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7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7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7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7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7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7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7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7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7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7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7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7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7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7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7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7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7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7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7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7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7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7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7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7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7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7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7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7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7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7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7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7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7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7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7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7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7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7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7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7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7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7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7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7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7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7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7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7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7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7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7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7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7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7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7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7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7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7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7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7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7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7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7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7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7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7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7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7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7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7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7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7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7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7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7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7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7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7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7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7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7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7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7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7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7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7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7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7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7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7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7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7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7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7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7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7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7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7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7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7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7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7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7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7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7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7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7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7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7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7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7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7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7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7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7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7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7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7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7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7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7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7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7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7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7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7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7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7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7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7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7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7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7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7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7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7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7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7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7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7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7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7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7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7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7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7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7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7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7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7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7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7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7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7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7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7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7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7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7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7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7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7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7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7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7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7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7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7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7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7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7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7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7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7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7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7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7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7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7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7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7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7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7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7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7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7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7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7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7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7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7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7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7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7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7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7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7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7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7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7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7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7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7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7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7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7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7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7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7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7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7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7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7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7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7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7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7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7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7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7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7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7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7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7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7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7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7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7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7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7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7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7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7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7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7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7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7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7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7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7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7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7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7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7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7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7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7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7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7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7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7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7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7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7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7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7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7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7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7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7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7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7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7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7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7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7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7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7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7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7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7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7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7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7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7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7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7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7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7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7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7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7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7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7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7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7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7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7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7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7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7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7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7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7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7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7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7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7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7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7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7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7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7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7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7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7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7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7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7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7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7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7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7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7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7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7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7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7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7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7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7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7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7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7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7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7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7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7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7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7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7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7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7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7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7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7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7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7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7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7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7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7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7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7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7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7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7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7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7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7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7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7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7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7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7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7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7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7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7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7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7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7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7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7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7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7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7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7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7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7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7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7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7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7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7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7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7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7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7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7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7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7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7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7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7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7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7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7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7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7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7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7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7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7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7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7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7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7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7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7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7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7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7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7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7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7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7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7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7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7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7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7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7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7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7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7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7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7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7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7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7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7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7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7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7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7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7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7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7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7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7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7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7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7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7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7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7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7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7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7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7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7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7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7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7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7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7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7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7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7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7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7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7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7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7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7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7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7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7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7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7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7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7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7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7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7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7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7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7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7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7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7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7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7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7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7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7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7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7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7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7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7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7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7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7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7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7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7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7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7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7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7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7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7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7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7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7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7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7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7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7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7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7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7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7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7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7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7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7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7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7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7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7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7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7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7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7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7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7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7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7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7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7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7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7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7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7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7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7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7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7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7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7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7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7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7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7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7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7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7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7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7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7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7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7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7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7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7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7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7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7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7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7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7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7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7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7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7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7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7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7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7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7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7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7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7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7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7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7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7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7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7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7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7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7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7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7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7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7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7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7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7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7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7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7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7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7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7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7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7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7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7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7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7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7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7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7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7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7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7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7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7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7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7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7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7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7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7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7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7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7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7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7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7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7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7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7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7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7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7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7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7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7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7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7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7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7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7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7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7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7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7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7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7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7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7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7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7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7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7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7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7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7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7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7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7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7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7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7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7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7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7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7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7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7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7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7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7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7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7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7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7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7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7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7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7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7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7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7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7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7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7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7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7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7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7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7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7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7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7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7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7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7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7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7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7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7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7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7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7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7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7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7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7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7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7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7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7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7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7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7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7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7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7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7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7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7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7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7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7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7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7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7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7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7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7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7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7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7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7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7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7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7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7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7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7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7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7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7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7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7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7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7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7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7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7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7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7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7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7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7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7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7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7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7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7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7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7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7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7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7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7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7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7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7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7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7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7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7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7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7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7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7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7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7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7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7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7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7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7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7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7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7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7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7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7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7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7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7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7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7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7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7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7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7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7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7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7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7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7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7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7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7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7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7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7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7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7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7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7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7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7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7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7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7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7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7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7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7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7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7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7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7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7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7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7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7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7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7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7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7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7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7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7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7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7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7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7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7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7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7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7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7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7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7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7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7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7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7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7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7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7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7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7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7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7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7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7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7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7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7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7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7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7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7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7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7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7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7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7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7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7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7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7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7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7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7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7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7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7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7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7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7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7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7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7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7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7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7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7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7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7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7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7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7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7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7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7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7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7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7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7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7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7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7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7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7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7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7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7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7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7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7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7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7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7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7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7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7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7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7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7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7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7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7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7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7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7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7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7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7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7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7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7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7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7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7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7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7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7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7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7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7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7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7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7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7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7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7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7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7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7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7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7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7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7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7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7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7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7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7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7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7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7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7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7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7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7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7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7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7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7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7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7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7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7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7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7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7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7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7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7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7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7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7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7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7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7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7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7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7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7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7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7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7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7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7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7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7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7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7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7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7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7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7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7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7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7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7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7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7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7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7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7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7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7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7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7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7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7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7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7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7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7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7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7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7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7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7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7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7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7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7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7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7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7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7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7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7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7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7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7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7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7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7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7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7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7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7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7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7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7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7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7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7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7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7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7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7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7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7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7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7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7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7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7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7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7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7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7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7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7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7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7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7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7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7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7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7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7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7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7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7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7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7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7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7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7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7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7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7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7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7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7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7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7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7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7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7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7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7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7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7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7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7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7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7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7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7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7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7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7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7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7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7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7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7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7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7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7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7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7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7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7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7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7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7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7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7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7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7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7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7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7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7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7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7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7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7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7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7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7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7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7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7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7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7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7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7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7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7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7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7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7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7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7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7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7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7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7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7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7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7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7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7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7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7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7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7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7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7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7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7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7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7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7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7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7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7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7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7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7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7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7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7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7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7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7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7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7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7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7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7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7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7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7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7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7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7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7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7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7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7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7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7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7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7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7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7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7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7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7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7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7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7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7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7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7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7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7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7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7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7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7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7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7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7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7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7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7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7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7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7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7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7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7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7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7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7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7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7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7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7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7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7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7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7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7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7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7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7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7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7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7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7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7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7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7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7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7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7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7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7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7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7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7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7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7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7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7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7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7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7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7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7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7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7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7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7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7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7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7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7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7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7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7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7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7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7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7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7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7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7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7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7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7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7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7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7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7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7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7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7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7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7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7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7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7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7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7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7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7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7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7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7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7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7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7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7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7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7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7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7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7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7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7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7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7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7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7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7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7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7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7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7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7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7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7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7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7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7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7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7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7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7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7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7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7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7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7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7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7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7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7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7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7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7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7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7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7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7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7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7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7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7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7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7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7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7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7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7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7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7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7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7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7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7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7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7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7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7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7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7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7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7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7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7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7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7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7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7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7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7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7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7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7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7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7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7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7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7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7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7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7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7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7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7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7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7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7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7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7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7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7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7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7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7">
        <v>1013.75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3">
    <tabColor rgb="FF0000FF"/>
  </sheetPr>
  <dimension ref="A1:L684"/>
  <sheetViews>
    <sheetView topLeftCell="C1" zoomScale="125" zoomScaleNormal="125" workbookViewId="0">
      <selection activeCell="G9" sqref="G9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1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1"/>
      <c r="C1" s="81"/>
      <c r="D1" s="81"/>
      <c r="E1" s="81"/>
      <c r="F1" s="81"/>
      <c r="G1" s="81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2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2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3">
        <v>40330</v>
      </c>
      <c r="H5" s="84" t="s">
        <v>229</v>
      </c>
      <c r="I5" s="84"/>
      <c r="J5" s="84"/>
      <c r="K5" s="84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2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5">
        <f>G6</f>
        <v>40330</v>
      </c>
      <c r="G9" s="4">
        <f>SUMIFS($D$4:$D$684, $A$4:$A$684, "&gt;="&amp;$F9, $A$4:$A$684, "&lt;="&amp;EOMONTH($F9,0),$B$4:$B$684,G$8)</f>
        <v>165</v>
      </c>
      <c r="H9" s="4">
        <f t="shared" ref="H9:L19" si="0">SUMIFS($D$4:$D$684, $A$4:$A$684, "&gt;="&amp;$F9, $A$4:$A$684, "&lt;="&amp;EOMONTH($F9,0),$B$4:$B$684,H$8)</f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5">
        <f>EDATE(F9,1)</f>
        <v>40360</v>
      </c>
      <c r="G10" s="4">
        <f t="shared" ref="G10:G19" si="1">SUMIFS($D$4:$D$684, $A$4:$A$684, "&gt;="&amp;$F10, $A$4:$A$684, "&lt;="&amp;EOMONTH($F10,0),$B$4:$B$684,G$8)</f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5">
        <f t="shared" ref="F11:F19" si="2">EDATE(F10,1)</f>
        <v>40391</v>
      </c>
      <c r="G11" s="4">
        <f t="shared" si="1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5">
        <f t="shared" si="2"/>
        <v>40422</v>
      </c>
      <c r="G12" s="4">
        <f t="shared" si="1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5">
        <f t="shared" si="2"/>
        <v>40452</v>
      </c>
      <c r="G13" s="4">
        <f t="shared" si="1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5">
        <f t="shared" si="2"/>
        <v>40483</v>
      </c>
      <c r="G14" s="4">
        <f t="shared" si="1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5">
        <f t="shared" si="2"/>
        <v>40513</v>
      </c>
      <c r="G15" s="4">
        <f t="shared" si="1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5">
        <f t="shared" si="2"/>
        <v>40544</v>
      </c>
      <c r="G16" s="4">
        <f t="shared" si="1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5">
        <f t="shared" si="2"/>
        <v>40575</v>
      </c>
      <c r="G17" s="4">
        <f t="shared" si="1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5">
        <f t="shared" si="2"/>
        <v>40603</v>
      </c>
      <c r="G18" s="4">
        <f t="shared" si="1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5">
        <f t="shared" si="2"/>
        <v>40634</v>
      </c>
      <c r="G19" s="4">
        <f t="shared" si="1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100-000000000000}">
      <formula1>G4</formula1>
      <formula2>G3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4">
    <tabColor rgb="FFFF0000"/>
  </sheetPr>
  <dimension ref="A1:L684"/>
  <sheetViews>
    <sheetView zoomScaleNormal="100" workbookViewId="0">
      <selection activeCell="I32" sqref="I32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1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1"/>
      <c r="C1" s="81"/>
      <c r="D1" s="81"/>
      <c r="E1" s="81"/>
      <c r="F1" s="81"/>
      <c r="G1" s="81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2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2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3">
        <v>40330</v>
      </c>
      <c r="H5" s="84" t="s">
        <v>229</v>
      </c>
      <c r="I5" s="84"/>
      <c r="J5" s="84"/>
      <c r="K5" s="84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2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5">
        <f>G6</f>
        <v>40330</v>
      </c>
      <c r="G9" s="4">
        <f t="shared" ref="G9:L19" si="0">SUMIFS($D$4:$D$684,$A$4:$A$684,"&gt;="&amp;$F9,$A$4:$A$684,"&lt;="&amp;EOMONTH($F9,0),$B$4:$B$684,G$8)</f>
        <v>165</v>
      </c>
      <c r="H9" s="4">
        <f t="shared" si="0"/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5">
        <f>EDATE(F9,1)</f>
        <v>40360</v>
      </c>
      <c r="G10" s="4">
        <f t="shared" si="0"/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5">
        <f t="shared" ref="F11:F19" si="1">EDATE(F10,1)</f>
        <v>40391</v>
      </c>
      <c r="G11" s="4">
        <f t="shared" si="0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5">
        <f t="shared" si="1"/>
        <v>40422</v>
      </c>
      <c r="G12" s="4">
        <f t="shared" si="0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5">
        <f t="shared" si="1"/>
        <v>40452</v>
      </c>
      <c r="G13" s="4">
        <f t="shared" si="0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5">
        <f t="shared" si="1"/>
        <v>40483</v>
      </c>
      <c r="G14" s="4">
        <f t="shared" si="0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5">
        <f t="shared" si="1"/>
        <v>40513</v>
      </c>
      <c r="G15" s="4">
        <f t="shared" si="0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5">
        <f t="shared" si="1"/>
        <v>40544</v>
      </c>
      <c r="G16" s="4">
        <f t="shared" si="0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5">
        <f t="shared" si="1"/>
        <v>40575</v>
      </c>
      <c r="G17" s="4">
        <f t="shared" si="0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5">
        <f t="shared" si="1"/>
        <v>40603</v>
      </c>
      <c r="G18" s="4">
        <f t="shared" si="0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5">
        <f t="shared" si="1"/>
        <v>40634</v>
      </c>
      <c r="G19" s="4">
        <f t="shared" si="0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200-000000000000}">
      <formula1>G4</formula1>
      <formula2>G3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>
    <tabColor rgb="FF0000FF"/>
  </sheetPr>
  <dimension ref="A1:I23"/>
  <sheetViews>
    <sheetView zoomScaleNormal="100" workbookViewId="0">
      <selection activeCell="E5" sqref="E5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9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9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6" t="s">
        <v>243</v>
      </c>
      <c r="H3" s="87"/>
      <c r="I3" s="88"/>
    </row>
    <row r="4" spans="1:9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str">
        <f>IF(AND(B4&gt;=$G$5, C4&gt;=$H$5, D4&gt;=$I$5), "Extend Credit", "No Credit")</f>
        <v>Extend Credit</v>
      </c>
      <c r="G4" s="1" t="s">
        <v>10</v>
      </c>
      <c r="H4" s="1" t="s">
        <v>97</v>
      </c>
      <c r="I4" s="1" t="s">
        <v>241</v>
      </c>
    </row>
    <row r="5" spans="1:9" x14ac:dyDescent="0.2">
      <c r="A5" s="2" t="s">
        <v>245</v>
      </c>
      <c r="B5" s="48">
        <v>275394</v>
      </c>
      <c r="C5" s="48">
        <v>1040339</v>
      </c>
      <c r="D5" s="2">
        <v>1.4</v>
      </c>
      <c r="E5" s="4" t="str">
        <f t="shared" ref="E5:E23" si="0">IF(AND(B5&gt;=$G$5, C5&gt;=$H$5, D5&gt;=$I$5), "Extend Credit", "No Credit")</f>
        <v>No Credit</v>
      </c>
      <c r="G5" s="48">
        <v>250000</v>
      </c>
      <c r="H5" s="48">
        <v>900000</v>
      </c>
      <c r="I5" s="2">
        <v>2.5</v>
      </c>
    </row>
    <row r="6" spans="1:9" x14ac:dyDescent="0.2">
      <c r="A6" s="2" t="s">
        <v>246</v>
      </c>
      <c r="B6" s="48">
        <v>256331</v>
      </c>
      <c r="C6" s="48">
        <v>1008433</v>
      </c>
      <c r="D6" s="2">
        <v>1.7</v>
      </c>
      <c r="E6" s="4" t="str">
        <f t="shared" si="0"/>
        <v>No Credit</v>
      </c>
      <c r="G6" t="s">
        <v>247</v>
      </c>
      <c r="H6" t="s">
        <v>247</v>
      </c>
      <c r="I6" t="s">
        <v>247</v>
      </c>
    </row>
    <row r="7" spans="1:9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str">
        <f t="shared" si="0"/>
        <v>No Credit</v>
      </c>
    </row>
    <row r="8" spans="1:9" x14ac:dyDescent="0.2">
      <c r="A8" s="2" t="s">
        <v>249</v>
      </c>
      <c r="B8" s="48">
        <v>283174</v>
      </c>
      <c r="C8" s="48">
        <v>963773</v>
      </c>
      <c r="D8" s="2">
        <v>3.6</v>
      </c>
      <c r="E8" s="4" t="str">
        <f t="shared" si="0"/>
        <v>Extend Credit</v>
      </c>
    </row>
    <row r="9" spans="1:9" x14ac:dyDescent="0.2">
      <c r="A9" s="2" t="s">
        <v>250</v>
      </c>
      <c r="B9" s="48">
        <v>296303</v>
      </c>
      <c r="C9" s="48">
        <v>839012</v>
      </c>
      <c r="D9" s="2">
        <v>3</v>
      </c>
      <c r="E9" s="4" t="str">
        <f t="shared" si="0"/>
        <v>No Credit</v>
      </c>
    </row>
    <row r="10" spans="1:9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str">
        <f t="shared" si="0"/>
        <v>No Credit</v>
      </c>
    </row>
    <row r="11" spans="1:9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str">
        <f t="shared" si="0"/>
        <v>No Credit</v>
      </c>
    </row>
    <row r="12" spans="1:9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str">
        <f t="shared" si="0"/>
        <v>No Credit</v>
      </c>
    </row>
    <row r="13" spans="1:9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str">
        <f t="shared" si="0"/>
        <v>No Credit</v>
      </c>
    </row>
    <row r="14" spans="1:9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str">
        <f t="shared" si="0"/>
        <v>No Credit</v>
      </c>
    </row>
    <row r="15" spans="1:9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str">
        <f t="shared" si="0"/>
        <v>Extend Credit</v>
      </c>
    </row>
    <row r="16" spans="1:9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str">
        <f t="shared" si="0"/>
        <v>No Credit</v>
      </c>
    </row>
    <row r="17" spans="1:5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str">
        <f t="shared" si="0"/>
        <v>No Credit</v>
      </c>
    </row>
    <row r="18" spans="1:5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str">
        <f t="shared" si="0"/>
        <v>No Credit</v>
      </c>
    </row>
    <row r="19" spans="1:5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str">
        <f t="shared" si="0"/>
        <v>No Credit</v>
      </c>
    </row>
    <row r="20" spans="1:5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str">
        <f t="shared" si="0"/>
        <v>No Credit</v>
      </c>
    </row>
    <row r="21" spans="1:5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str">
        <f t="shared" si="0"/>
        <v>Extend Credit</v>
      </c>
    </row>
    <row r="22" spans="1:5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str">
        <f t="shared" si="0"/>
        <v>No Credit</v>
      </c>
    </row>
    <row r="23" spans="1:5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str">
        <f t="shared" si="0"/>
        <v>No Credit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>
    <tabColor rgb="FFFF0000"/>
  </sheetPr>
  <dimension ref="A1:K23"/>
  <sheetViews>
    <sheetView zoomScaleNormal="100" workbookViewId="0">
      <selection activeCell="L5" sqref="L5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11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11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6" t="s">
        <v>243</v>
      </c>
      <c r="H3" s="87"/>
      <c r="I3" s="88"/>
    </row>
    <row r="4" spans="1:11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 t="shared" ref="E4:E23" si="0">AND(B4&gt;=G$5,C4&gt;=H$5,D4&gt;=I$5)</f>
        <v>1</v>
      </c>
      <c r="G4" s="1" t="s">
        <v>10</v>
      </c>
      <c r="H4" s="1" t="s">
        <v>97</v>
      </c>
      <c r="I4" s="1" t="s">
        <v>241</v>
      </c>
      <c r="K4" s="4" t="str">
        <f>IF(AND(B4&gt;=G$5,C4&gt;=H$5,D4&gt;=I$5),"Extend Credit", "No Credit")</f>
        <v>Extend Credit</v>
      </c>
    </row>
    <row r="5" spans="1:11" x14ac:dyDescent="0.2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si="0"/>
        <v>0</v>
      </c>
      <c r="G5" s="48">
        <v>250000</v>
      </c>
      <c r="H5" s="48">
        <v>900000</v>
      </c>
      <c r="I5" s="2">
        <v>2.5</v>
      </c>
      <c r="K5" s="4" t="str">
        <f t="shared" ref="K5:K23" si="1">IF(AND(B5&gt;=G$5,C5&gt;=H$5,D5&gt;=I$5),"Extend Credit", "No Credit")</f>
        <v>No Credit</v>
      </c>
    </row>
    <row r="6" spans="1:11" x14ac:dyDescent="0.2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  <c r="K6" s="4" t="str">
        <f t="shared" si="1"/>
        <v>No Credit</v>
      </c>
    </row>
    <row r="7" spans="1:11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  <c r="K7" s="4" t="str">
        <f t="shared" si="1"/>
        <v>No Credit</v>
      </c>
    </row>
    <row r="8" spans="1:11" x14ac:dyDescent="0.2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  <c r="K8" s="4" t="str">
        <f t="shared" si="1"/>
        <v>Extend Credit</v>
      </c>
    </row>
    <row r="9" spans="1:11" x14ac:dyDescent="0.2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  <c r="K9" s="4" t="str">
        <f t="shared" si="1"/>
        <v>No Credit</v>
      </c>
    </row>
    <row r="10" spans="1:11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  <c r="K10" s="4" t="str">
        <f t="shared" si="1"/>
        <v>No Credit</v>
      </c>
    </row>
    <row r="11" spans="1:11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  <c r="K11" s="4" t="str">
        <f t="shared" si="1"/>
        <v>No Credit</v>
      </c>
    </row>
    <row r="12" spans="1:11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  <c r="K12" s="4" t="str">
        <f t="shared" si="1"/>
        <v>No Credit</v>
      </c>
    </row>
    <row r="13" spans="1:11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  <c r="K13" s="4" t="str">
        <f t="shared" si="1"/>
        <v>No Credit</v>
      </c>
    </row>
    <row r="14" spans="1:11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  <c r="K14" s="4" t="str">
        <f t="shared" si="1"/>
        <v>No Credit</v>
      </c>
    </row>
    <row r="15" spans="1:11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  <c r="K15" s="4" t="str">
        <f t="shared" si="1"/>
        <v>Extend Credit</v>
      </c>
    </row>
    <row r="16" spans="1:11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  <c r="K16" s="4" t="str">
        <f t="shared" si="1"/>
        <v>No Credit</v>
      </c>
    </row>
    <row r="17" spans="1:11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  <c r="K17" s="4" t="str">
        <f t="shared" si="1"/>
        <v>No Credit</v>
      </c>
    </row>
    <row r="18" spans="1:11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  <c r="K18" s="4" t="str">
        <f t="shared" si="1"/>
        <v>No Credit</v>
      </c>
    </row>
    <row r="19" spans="1:11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  <c r="K19" s="4" t="str">
        <f t="shared" si="1"/>
        <v>No Credit</v>
      </c>
    </row>
    <row r="20" spans="1:11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  <c r="K20" s="4" t="str">
        <f t="shared" si="1"/>
        <v>No Credit</v>
      </c>
    </row>
    <row r="21" spans="1:11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  <c r="K21" s="4" t="str">
        <f t="shared" si="1"/>
        <v>Extend Credit</v>
      </c>
    </row>
    <row r="22" spans="1:11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  <c r="K22" s="4" t="str">
        <f t="shared" si="1"/>
        <v>No Credit</v>
      </c>
    </row>
    <row r="23" spans="1:11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  <c r="K23" s="4" t="str">
        <f t="shared" si="1"/>
        <v>No Credit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7">
    <tabColor rgb="FF0000FF"/>
  </sheetPr>
  <dimension ref="B1:I28"/>
  <sheetViews>
    <sheetView zoomScaleNormal="100" workbookViewId="0">
      <selection activeCell="I5" sqref="I5:I28"/>
    </sheetView>
  </sheetViews>
  <sheetFormatPr baseColWidth="10" defaultColWidth="8.83203125" defaultRowHeight="15" x14ac:dyDescent="0.2"/>
  <cols>
    <col min="2" max="2" width="14.5" bestFit="1" customWidth="1"/>
    <col min="8" max="8" width="18.33203125" bestFit="1" customWidth="1"/>
    <col min="9" max="9" width="9.5" bestFit="1" customWidth="1"/>
  </cols>
  <sheetData>
    <row r="1" spans="2:9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9" ht="32" x14ac:dyDescent="0.2">
      <c r="B3" s="89" t="s">
        <v>266</v>
      </c>
      <c r="C3" s="90" t="s">
        <v>4</v>
      </c>
      <c r="D3" s="90" t="s">
        <v>267</v>
      </c>
      <c r="E3" s="90" t="s">
        <v>268</v>
      </c>
      <c r="F3" s="91" t="s">
        <v>269</v>
      </c>
      <c r="G3" s="90" t="s">
        <v>270</v>
      </c>
      <c r="H3" s="90" t="s">
        <v>271</v>
      </c>
      <c r="I3" s="92" t="s">
        <v>117</v>
      </c>
    </row>
    <row r="4" spans="2:9" x14ac:dyDescent="0.2">
      <c r="B4" s="93"/>
      <c r="C4" s="94"/>
      <c r="D4" s="94"/>
      <c r="E4" s="94"/>
      <c r="F4" s="94"/>
      <c r="G4" s="94"/>
      <c r="H4" s="95" t="s">
        <v>272</v>
      </c>
      <c r="I4" s="96">
        <v>7083.88</v>
      </c>
    </row>
    <row r="5" spans="2:9" x14ac:dyDescent="0.2">
      <c r="B5" s="97">
        <v>2113</v>
      </c>
      <c r="C5" s="98">
        <v>3833</v>
      </c>
      <c r="D5" s="99" t="s">
        <v>273</v>
      </c>
      <c r="E5" s="100">
        <v>80</v>
      </c>
      <c r="F5" s="99"/>
      <c r="G5" s="98"/>
      <c r="H5" s="101"/>
      <c r="I5" s="102">
        <f>IF(C5="","",I4-E5+H5)</f>
        <v>7003.88</v>
      </c>
    </row>
    <row r="6" spans="2:9" x14ac:dyDescent="0.2">
      <c r="B6" s="97">
        <v>2114</v>
      </c>
      <c r="C6" s="98">
        <v>3834</v>
      </c>
      <c r="D6" s="99" t="s">
        <v>274</v>
      </c>
      <c r="E6" s="100">
        <v>446</v>
      </c>
      <c r="F6" s="99"/>
      <c r="G6" s="98"/>
      <c r="H6" s="101"/>
      <c r="I6" s="102">
        <f t="shared" ref="I6:I28" si="0">IF(C6="","",I5-E6+H6)</f>
        <v>6557.88</v>
      </c>
    </row>
    <row r="7" spans="2:9" x14ac:dyDescent="0.2">
      <c r="B7" s="97">
        <v>2115</v>
      </c>
      <c r="C7" s="98">
        <v>3835</v>
      </c>
      <c r="D7" s="99" t="s">
        <v>275</v>
      </c>
      <c r="E7" s="100">
        <v>35</v>
      </c>
      <c r="F7" s="99"/>
      <c r="G7" s="98"/>
      <c r="H7" s="101"/>
      <c r="I7" s="102">
        <f t="shared" si="0"/>
        <v>6522.88</v>
      </c>
    </row>
    <row r="8" spans="2:9" x14ac:dyDescent="0.2">
      <c r="B8" s="97">
        <v>2116</v>
      </c>
      <c r="C8" s="98">
        <v>3835</v>
      </c>
      <c r="D8" s="99" t="s">
        <v>275</v>
      </c>
      <c r="E8" s="100">
        <v>46</v>
      </c>
      <c r="F8" s="99"/>
      <c r="G8" s="98"/>
      <c r="H8" s="101"/>
      <c r="I8" s="102">
        <f t="shared" si="0"/>
        <v>6476.88</v>
      </c>
    </row>
    <row r="9" spans="2:9" x14ac:dyDescent="0.2">
      <c r="B9" s="103"/>
      <c r="C9" s="104">
        <v>3836</v>
      </c>
      <c r="D9" s="105" t="s">
        <v>276</v>
      </c>
      <c r="E9" s="100"/>
      <c r="F9" s="99"/>
      <c r="G9" s="104">
        <f>C9</f>
        <v>3836</v>
      </c>
      <c r="H9" s="106">
        <v>2405</v>
      </c>
      <c r="I9" s="102">
        <f t="shared" si="0"/>
        <v>8881.880000000001</v>
      </c>
    </row>
    <row r="10" spans="2:9" x14ac:dyDescent="0.2">
      <c r="B10" s="97">
        <v>2117</v>
      </c>
      <c r="C10" s="98">
        <v>3836</v>
      </c>
      <c r="D10" s="99" t="s">
        <v>36</v>
      </c>
      <c r="E10" s="100">
        <v>387</v>
      </c>
      <c r="F10" s="99"/>
      <c r="G10" s="98"/>
      <c r="H10" s="101"/>
      <c r="I10" s="102">
        <f t="shared" si="0"/>
        <v>8494.880000000001</v>
      </c>
    </row>
    <row r="11" spans="2:9" x14ac:dyDescent="0.2">
      <c r="B11" s="97">
        <v>2118</v>
      </c>
      <c r="C11" s="98">
        <v>3836</v>
      </c>
      <c r="D11" s="99" t="s">
        <v>274</v>
      </c>
      <c r="E11" s="100">
        <v>489</v>
      </c>
      <c r="F11" s="99"/>
      <c r="G11" s="98"/>
      <c r="H11" s="101"/>
      <c r="I11" s="102">
        <f t="shared" si="0"/>
        <v>8005.880000000001</v>
      </c>
    </row>
    <row r="12" spans="2:9" x14ac:dyDescent="0.2">
      <c r="B12" s="103"/>
      <c r="C12" s="104">
        <v>3838</v>
      </c>
      <c r="D12" s="105" t="s">
        <v>276</v>
      </c>
      <c r="E12" s="100"/>
      <c r="F12" s="99"/>
      <c r="G12" s="104">
        <f>C12</f>
        <v>3838</v>
      </c>
      <c r="H12" s="106">
        <v>1288</v>
      </c>
      <c r="I12" s="102">
        <f t="shared" si="0"/>
        <v>9293.880000000001</v>
      </c>
    </row>
    <row r="13" spans="2:9" x14ac:dyDescent="0.2">
      <c r="B13" s="97">
        <v>2119</v>
      </c>
      <c r="C13" s="98">
        <v>3839</v>
      </c>
      <c r="D13" s="99" t="s">
        <v>277</v>
      </c>
      <c r="E13" s="100">
        <v>467</v>
      </c>
      <c r="F13" s="99"/>
      <c r="G13" s="98"/>
      <c r="H13" s="101"/>
      <c r="I13" s="102">
        <f t="shared" si="0"/>
        <v>8826.880000000001</v>
      </c>
    </row>
    <row r="14" spans="2:9" x14ac:dyDescent="0.2">
      <c r="B14" s="97">
        <v>2120</v>
      </c>
      <c r="C14" s="98">
        <v>3839</v>
      </c>
      <c r="D14" s="99" t="s">
        <v>278</v>
      </c>
      <c r="E14" s="100">
        <v>169</v>
      </c>
      <c r="F14" s="99"/>
      <c r="G14" s="98"/>
      <c r="H14" s="101"/>
      <c r="I14" s="102">
        <f t="shared" si="0"/>
        <v>8657.880000000001</v>
      </c>
    </row>
    <row r="15" spans="2:9" x14ac:dyDescent="0.2">
      <c r="B15" s="97">
        <v>2121</v>
      </c>
      <c r="C15" s="98">
        <v>3839</v>
      </c>
      <c r="D15" s="99" t="s">
        <v>273</v>
      </c>
      <c r="E15" s="100">
        <v>323</v>
      </c>
      <c r="F15" s="99"/>
      <c r="G15" s="98"/>
      <c r="H15" s="101"/>
      <c r="I15" s="102">
        <f t="shared" si="0"/>
        <v>8334.880000000001</v>
      </c>
    </row>
    <row r="16" spans="2:9" x14ac:dyDescent="0.2">
      <c r="B16" s="97">
        <v>2122</v>
      </c>
      <c r="C16" s="98">
        <v>3839</v>
      </c>
      <c r="D16" s="99" t="s">
        <v>36</v>
      </c>
      <c r="E16" s="100">
        <v>296</v>
      </c>
      <c r="F16" s="99"/>
      <c r="G16" s="98"/>
      <c r="H16" s="101"/>
      <c r="I16" s="102">
        <f t="shared" si="0"/>
        <v>8038.880000000001</v>
      </c>
    </row>
    <row r="17" spans="2:9" x14ac:dyDescent="0.2">
      <c r="B17" s="97">
        <v>2123</v>
      </c>
      <c r="C17" s="98">
        <v>3840</v>
      </c>
      <c r="D17" s="99" t="s">
        <v>278</v>
      </c>
      <c r="E17" s="100">
        <v>229</v>
      </c>
      <c r="F17" s="99"/>
      <c r="G17" s="98"/>
      <c r="H17" s="101"/>
      <c r="I17" s="102">
        <f t="shared" si="0"/>
        <v>7809.880000000001</v>
      </c>
    </row>
    <row r="18" spans="2:9" x14ac:dyDescent="0.2">
      <c r="B18" s="103"/>
      <c r="C18" s="104">
        <v>3840</v>
      </c>
      <c r="D18" s="105" t="s">
        <v>276</v>
      </c>
      <c r="E18" s="100"/>
      <c r="F18" s="99"/>
      <c r="G18" s="104">
        <f>C18</f>
        <v>3840</v>
      </c>
      <c r="H18" s="106">
        <v>1029</v>
      </c>
      <c r="I18" s="102">
        <f t="shared" si="0"/>
        <v>8838.880000000001</v>
      </c>
    </row>
    <row r="19" spans="2:9" x14ac:dyDescent="0.2">
      <c r="B19" s="97"/>
      <c r="C19" s="98">
        <v>39846</v>
      </c>
      <c r="D19" s="99" t="s">
        <v>276</v>
      </c>
      <c r="E19" s="100"/>
      <c r="F19" s="99"/>
      <c r="G19" s="98">
        <f>C19</f>
        <v>39846</v>
      </c>
      <c r="H19" s="101">
        <v>1000</v>
      </c>
      <c r="I19" s="102">
        <f t="shared" si="0"/>
        <v>9838.880000000001</v>
      </c>
    </row>
    <row r="20" spans="2:9" x14ac:dyDescent="0.2">
      <c r="B20" s="97"/>
      <c r="C20" s="98"/>
      <c r="D20" s="99"/>
      <c r="E20" s="100"/>
      <c r="F20" s="99"/>
      <c r="G20" s="98"/>
      <c r="H20" s="101"/>
      <c r="I20" s="102" t="str">
        <f t="shared" si="0"/>
        <v/>
      </c>
    </row>
    <row r="21" spans="2:9" x14ac:dyDescent="0.2">
      <c r="B21" s="97"/>
      <c r="C21" s="98"/>
      <c r="D21" s="99"/>
      <c r="E21" s="100"/>
      <c r="F21" s="99"/>
      <c r="G21" s="98"/>
      <c r="H21" s="101"/>
      <c r="I21" s="102" t="str">
        <f t="shared" si="0"/>
        <v/>
      </c>
    </row>
    <row r="22" spans="2:9" x14ac:dyDescent="0.2">
      <c r="B22" s="97"/>
      <c r="C22" s="98"/>
      <c r="D22" s="99"/>
      <c r="E22" s="100"/>
      <c r="F22" s="99"/>
      <c r="G22" s="98"/>
      <c r="H22" s="101"/>
      <c r="I22" s="102" t="str">
        <f t="shared" si="0"/>
        <v/>
      </c>
    </row>
    <row r="23" spans="2:9" x14ac:dyDescent="0.2">
      <c r="B23" s="97"/>
      <c r="C23" s="98"/>
      <c r="D23" s="99"/>
      <c r="E23" s="100"/>
      <c r="F23" s="99"/>
      <c r="G23" s="98"/>
      <c r="H23" s="101"/>
      <c r="I23" s="102" t="str">
        <f t="shared" si="0"/>
        <v/>
      </c>
    </row>
    <row r="24" spans="2:9" x14ac:dyDescent="0.2">
      <c r="B24" s="97"/>
      <c r="C24" s="98"/>
      <c r="D24" s="99"/>
      <c r="E24" s="100"/>
      <c r="F24" s="99"/>
      <c r="G24" s="98"/>
      <c r="H24" s="101"/>
      <c r="I24" s="102" t="str">
        <f t="shared" si="0"/>
        <v/>
      </c>
    </row>
    <row r="25" spans="2:9" x14ac:dyDescent="0.2">
      <c r="B25" s="97"/>
      <c r="C25" s="98"/>
      <c r="D25" s="99"/>
      <c r="E25" s="100"/>
      <c r="F25" s="99"/>
      <c r="G25" s="98"/>
      <c r="H25" s="101"/>
      <c r="I25" s="102" t="str">
        <f t="shared" si="0"/>
        <v/>
      </c>
    </row>
    <row r="26" spans="2:9" x14ac:dyDescent="0.2">
      <c r="B26" s="97"/>
      <c r="C26" s="98"/>
      <c r="D26" s="99"/>
      <c r="E26" s="100"/>
      <c r="F26" s="99"/>
      <c r="G26" s="98"/>
      <c r="H26" s="101"/>
      <c r="I26" s="102" t="str">
        <f t="shared" si="0"/>
        <v/>
      </c>
    </row>
    <row r="27" spans="2:9" x14ac:dyDescent="0.2">
      <c r="B27" s="97"/>
      <c r="C27" s="98"/>
      <c r="D27" s="99"/>
      <c r="E27" s="100"/>
      <c r="F27" s="99"/>
      <c r="G27" s="98"/>
      <c r="H27" s="101"/>
      <c r="I27" s="102" t="str">
        <f t="shared" si="0"/>
        <v/>
      </c>
    </row>
    <row r="28" spans="2:9" x14ac:dyDescent="0.2">
      <c r="B28" s="97"/>
      <c r="C28" s="98"/>
      <c r="D28" s="99"/>
      <c r="E28" s="100"/>
      <c r="F28" s="99"/>
      <c r="G28" s="98"/>
      <c r="H28" s="101"/>
      <c r="I28" s="102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8">
    <tabColor rgb="FFFF0000"/>
  </sheetPr>
  <dimension ref="B1:K28"/>
  <sheetViews>
    <sheetView zoomScaleNormal="100" workbookViewId="0">
      <selection activeCell="I5" sqref="I5"/>
    </sheetView>
  </sheetViews>
  <sheetFormatPr baseColWidth="10" defaultColWidth="8.83203125" defaultRowHeight="15" x14ac:dyDescent="0.2"/>
  <cols>
    <col min="2" max="2" width="14.5" bestFit="1" customWidth="1"/>
    <col min="3" max="3" width="9.5" bestFit="1" customWidth="1"/>
    <col min="8" max="8" width="18.33203125" bestFit="1" customWidth="1"/>
    <col min="9" max="9" width="10.1640625" bestFit="1" customWidth="1"/>
  </cols>
  <sheetData>
    <row r="1" spans="2:11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11" ht="32" x14ac:dyDescent="0.2">
      <c r="B3" s="89" t="s">
        <v>266</v>
      </c>
      <c r="C3" s="90" t="s">
        <v>4</v>
      </c>
      <c r="D3" s="90" t="s">
        <v>267</v>
      </c>
      <c r="E3" s="90" t="s">
        <v>268</v>
      </c>
      <c r="F3" s="91" t="s">
        <v>269</v>
      </c>
      <c r="G3" s="90" t="s">
        <v>270</v>
      </c>
      <c r="H3" s="90" t="s">
        <v>271</v>
      </c>
      <c r="I3" s="92" t="s">
        <v>117</v>
      </c>
    </row>
    <row r="4" spans="2:11" x14ac:dyDescent="0.2">
      <c r="B4" s="93"/>
      <c r="C4" s="94"/>
      <c r="D4" s="94"/>
      <c r="E4" s="94"/>
      <c r="F4" s="94"/>
      <c r="G4" s="94"/>
      <c r="H4" s="95" t="s">
        <v>272</v>
      </c>
      <c r="I4" s="96">
        <v>7083.88</v>
      </c>
    </row>
    <row r="5" spans="2:11" x14ac:dyDescent="0.2">
      <c r="B5" s="97">
        <v>2113</v>
      </c>
      <c r="C5" s="98">
        <v>3833</v>
      </c>
      <c r="D5" s="99" t="s">
        <v>273</v>
      </c>
      <c r="E5" s="100">
        <v>80</v>
      </c>
      <c r="F5" s="99"/>
      <c r="G5" s="98"/>
      <c r="H5" s="101"/>
      <c r="I5" s="102">
        <f>IF(C5="","",I4-E5+H5)</f>
        <v>7003.88</v>
      </c>
      <c r="K5" t="s">
        <v>279</v>
      </c>
    </row>
    <row r="6" spans="2:11" x14ac:dyDescent="0.2">
      <c r="B6" s="97">
        <v>2114</v>
      </c>
      <c r="C6" s="98">
        <v>3834</v>
      </c>
      <c r="D6" s="99" t="s">
        <v>274</v>
      </c>
      <c r="E6" s="100">
        <v>446</v>
      </c>
      <c r="F6" s="99"/>
      <c r="G6" s="98"/>
      <c r="H6" s="101"/>
      <c r="I6" s="102">
        <f t="shared" ref="I6:I28" si="0">IF(C6="","",I5-E6+H6)</f>
        <v>6557.88</v>
      </c>
    </row>
    <row r="7" spans="2:11" x14ac:dyDescent="0.2">
      <c r="B7" s="97">
        <v>2115</v>
      </c>
      <c r="C7" s="98">
        <v>3835</v>
      </c>
      <c r="D7" s="99" t="s">
        <v>275</v>
      </c>
      <c r="E7" s="100">
        <v>35</v>
      </c>
      <c r="F7" s="99"/>
      <c r="G7" s="98"/>
      <c r="H7" s="101"/>
      <c r="I7" s="102">
        <f t="shared" si="0"/>
        <v>6522.88</v>
      </c>
    </row>
    <row r="8" spans="2:11" x14ac:dyDescent="0.2">
      <c r="B8" s="97">
        <v>2116</v>
      </c>
      <c r="C8" s="98">
        <v>3835</v>
      </c>
      <c r="D8" s="99" t="s">
        <v>275</v>
      </c>
      <c r="E8" s="100">
        <v>46</v>
      </c>
      <c r="F8" s="99"/>
      <c r="G8" s="98"/>
      <c r="H8" s="101"/>
      <c r="I8" s="102">
        <f t="shared" si="0"/>
        <v>6476.88</v>
      </c>
    </row>
    <row r="9" spans="2:11" x14ac:dyDescent="0.2">
      <c r="B9" s="103"/>
      <c r="C9" s="104">
        <v>3836</v>
      </c>
      <c r="D9" s="105" t="s">
        <v>276</v>
      </c>
      <c r="E9" s="100"/>
      <c r="F9" s="99"/>
      <c r="G9" s="104">
        <f>C9</f>
        <v>3836</v>
      </c>
      <c r="H9" s="106">
        <v>2405</v>
      </c>
      <c r="I9" s="102">
        <f t="shared" si="0"/>
        <v>8881.880000000001</v>
      </c>
    </row>
    <row r="10" spans="2:11" x14ac:dyDescent="0.2">
      <c r="B10" s="97">
        <v>2117</v>
      </c>
      <c r="C10" s="98">
        <v>3836</v>
      </c>
      <c r="D10" s="99" t="s">
        <v>36</v>
      </c>
      <c r="E10" s="100">
        <v>387</v>
      </c>
      <c r="F10" s="99"/>
      <c r="G10" s="98"/>
      <c r="H10" s="101"/>
      <c r="I10" s="102">
        <f t="shared" si="0"/>
        <v>8494.880000000001</v>
      </c>
    </row>
    <row r="11" spans="2:11" x14ac:dyDescent="0.2">
      <c r="B11" s="97">
        <v>2118</v>
      </c>
      <c r="C11" s="98">
        <v>3836</v>
      </c>
      <c r="D11" s="99" t="s">
        <v>274</v>
      </c>
      <c r="E11" s="100">
        <v>489</v>
      </c>
      <c r="F11" s="99"/>
      <c r="G11" s="98"/>
      <c r="H11" s="101"/>
      <c r="I11" s="102">
        <f t="shared" si="0"/>
        <v>8005.880000000001</v>
      </c>
    </row>
    <row r="12" spans="2:11" x14ac:dyDescent="0.2">
      <c r="B12" s="103"/>
      <c r="C12" s="104">
        <v>3838</v>
      </c>
      <c r="D12" s="105" t="s">
        <v>276</v>
      </c>
      <c r="E12" s="100"/>
      <c r="F12" s="99"/>
      <c r="G12" s="104">
        <f>C12</f>
        <v>3838</v>
      </c>
      <c r="H12" s="106">
        <v>1288</v>
      </c>
      <c r="I12" s="102">
        <f t="shared" si="0"/>
        <v>9293.880000000001</v>
      </c>
    </row>
    <row r="13" spans="2:11" x14ac:dyDescent="0.2">
      <c r="B13" s="97">
        <v>2119</v>
      </c>
      <c r="C13" s="98">
        <v>3839</v>
      </c>
      <c r="D13" s="99" t="s">
        <v>277</v>
      </c>
      <c r="E13" s="100">
        <v>467</v>
      </c>
      <c r="F13" s="99"/>
      <c r="G13" s="98"/>
      <c r="H13" s="101"/>
      <c r="I13" s="102">
        <f t="shared" si="0"/>
        <v>8826.880000000001</v>
      </c>
    </row>
    <row r="14" spans="2:11" x14ac:dyDescent="0.2">
      <c r="B14" s="97">
        <v>2120</v>
      </c>
      <c r="C14" s="98">
        <v>3839</v>
      </c>
      <c r="D14" s="99" t="s">
        <v>278</v>
      </c>
      <c r="E14" s="100">
        <v>169</v>
      </c>
      <c r="F14" s="99"/>
      <c r="G14" s="98"/>
      <c r="H14" s="101"/>
      <c r="I14" s="102">
        <f t="shared" si="0"/>
        <v>8657.880000000001</v>
      </c>
    </row>
    <row r="15" spans="2:11" x14ac:dyDescent="0.2">
      <c r="B15" s="97">
        <v>2121</v>
      </c>
      <c r="C15" s="98">
        <v>3839</v>
      </c>
      <c r="D15" s="99" t="s">
        <v>273</v>
      </c>
      <c r="E15" s="100">
        <v>323</v>
      </c>
      <c r="F15" s="99"/>
      <c r="G15" s="98"/>
      <c r="H15" s="101"/>
      <c r="I15" s="102">
        <f t="shared" si="0"/>
        <v>8334.880000000001</v>
      </c>
    </row>
    <row r="16" spans="2:11" x14ac:dyDescent="0.2">
      <c r="B16" s="97">
        <v>2122</v>
      </c>
      <c r="C16" s="98">
        <v>3839</v>
      </c>
      <c r="D16" s="99" t="s">
        <v>36</v>
      </c>
      <c r="E16" s="100">
        <v>296</v>
      </c>
      <c r="F16" s="99"/>
      <c r="G16" s="98"/>
      <c r="H16" s="101"/>
      <c r="I16" s="102">
        <f t="shared" si="0"/>
        <v>8038.880000000001</v>
      </c>
    </row>
    <row r="17" spans="2:9" x14ac:dyDescent="0.2">
      <c r="B17" s="97">
        <v>2123</v>
      </c>
      <c r="C17" s="98">
        <v>3840</v>
      </c>
      <c r="D17" s="99" t="s">
        <v>278</v>
      </c>
      <c r="E17" s="100">
        <v>229</v>
      </c>
      <c r="F17" s="99"/>
      <c r="G17" s="98"/>
      <c r="H17" s="101"/>
      <c r="I17" s="102">
        <f t="shared" si="0"/>
        <v>7809.880000000001</v>
      </c>
    </row>
    <row r="18" spans="2:9" x14ac:dyDescent="0.2">
      <c r="B18" s="103"/>
      <c r="C18" s="104">
        <v>3840</v>
      </c>
      <c r="D18" s="105" t="s">
        <v>276</v>
      </c>
      <c r="E18" s="100"/>
      <c r="F18" s="99"/>
      <c r="G18" s="104">
        <f>C18</f>
        <v>3840</v>
      </c>
      <c r="H18" s="106">
        <v>1029</v>
      </c>
      <c r="I18" s="102">
        <f t="shared" si="0"/>
        <v>8838.880000000001</v>
      </c>
    </row>
    <row r="19" spans="2:9" x14ac:dyDescent="0.2">
      <c r="B19" s="97"/>
      <c r="C19" s="98">
        <v>39846</v>
      </c>
      <c r="D19" s="99" t="s">
        <v>276</v>
      </c>
      <c r="E19" s="100"/>
      <c r="F19" s="99"/>
      <c r="G19" s="98">
        <f>C19</f>
        <v>39846</v>
      </c>
      <c r="H19" s="101">
        <v>1000</v>
      </c>
      <c r="I19" s="102">
        <f t="shared" si="0"/>
        <v>9838.880000000001</v>
      </c>
    </row>
    <row r="20" spans="2:9" x14ac:dyDescent="0.2">
      <c r="B20" s="97"/>
      <c r="C20" s="98"/>
      <c r="D20" s="99"/>
      <c r="E20" s="100"/>
      <c r="F20" s="99"/>
      <c r="G20" s="98"/>
      <c r="H20" s="101"/>
      <c r="I20" s="102" t="str">
        <f t="shared" si="0"/>
        <v/>
      </c>
    </row>
    <row r="21" spans="2:9" x14ac:dyDescent="0.2">
      <c r="B21" s="97"/>
      <c r="C21" s="98"/>
      <c r="D21" s="99"/>
      <c r="E21" s="100"/>
      <c r="F21" s="99"/>
      <c r="G21" s="98"/>
      <c r="H21" s="101"/>
      <c r="I21" s="102" t="str">
        <f t="shared" si="0"/>
        <v/>
      </c>
    </row>
    <row r="22" spans="2:9" x14ac:dyDescent="0.2">
      <c r="B22" s="97"/>
      <c r="C22" s="98"/>
      <c r="D22" s="99"/>
      <c r="E22" s="100"/>
      <c r="F22" s="99"/>
      <c r="G22" s="98"/>
      <c r="H22" s="101"/>
      <c r="I22" s="102" t="str">
        <f t="shared" si="0"/>
        <v/>
      </c>
    </row>
    <row r="23" spans="2:9" x14ac:dyDescent="0.2">
      <c r="B23" s="97"/>
      <c r="C23" s="98"/>
      <c r="D23" s="99"/>
      <c r="E23" s="100"/>
      <c r="F23" s="99"/>
      <c r="G23" s="98"/>
      <c r="H23" s="101"/>
      <c r="I23" s="102" t="str">
        <f t="shared" si="0"/>
        <v/>
      </c>
    </row>
    <row r="24" spans="2:9" x14ac:dyDescent="0.2">
      <c r="B24" s="97"/>
      <c r="C24" s="98"/>
      <c r="D24" s="99"/>
      <c r="E24" s="100"/>
      <c r="F24" s="99"/>
      <c r="G24" s="98"/>
      <c r="H24" s="101"/>
      <c r="I24" s="102" t="str">
        <f t="shared" si="0"/>
        <v/>
      </c>
    </row>
    <row r="25" spans="2:9" x14ac:dyDescent="0.2">
      <c r="B25" s="97"/>
      <c r="C25" s="98"/>
      <c r="D25" s="99"/>
      <c r="E25" s="100"/>
      <c r="F25" s="99"/>
      <c r="G25" s="98"/>
      <c r="H25" s="101"/>
      <c r="I25" s="102" t="str">
        <f t="shared" si="0"/>
        <v/>
      </c>
    </row>
    <row r="26" spans="2:9" x14ac:dyDescent="0.2">
      <c r="B26" s="97"/>
      <c r="C26" s="98"/>
      <c r="D26" s="99"/>
      <c r="E26" s="100"/>
      <c r="F26" s="99"/>
      <c r="G26" s="98"/>
      <c r="H26" s="101"/>
      <c r="I26" s="102" t="str">
        <f t="shared" si="0"/>
        <v/>
      </c>
    </row>
    <row r="27" spans="2:9" x14ac:dyDescent="0.2">
      <c r="B27" s="97"/>
      <c r="C27" s="98"/>
      <c r="D27" s="99"/>
      <c r="E27" s="100"/>
      <c r="F27" s="99"/>
      <c r="G27" s="98"/>
      <c r="H27" s="101"/>
      <c r="I27" s="102" t="str">
        <f t="shared" si="0"/>
        <v/>
      </c>
    </row>
    <row r="28" spans="2:9" x14ac:dyDescent="0.2">
      <c r="B28" s="97"/>
      <c r="C28" s="98"/>
      <c r="D28" s="99"/>
      <c r="E28" s="100"/>
      <c r="F28" s="99"/>
      <c r="G28" s="98"/>
      <c r="H28" s="101"/>
      <c r="I28" s="102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41">
    <tabColor rgb="FF0000FF"/>
  </sheetPr>
  <dimension ref="A1:K2005"/>
  <sheetViews>
    <sheetView zoomScale="115" zoomScaleNormal="115" workbookViewId="0">
      <selection activeCell="G16" sqref="G16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e">
        <f>"In the range "&amp;ADDRESS(ROW(#REF!),COLUMN(#REF!),4)&amp;":"&amp;ADDRESS(ROW(#REF!),COLUMN(#REF!),4)&amp;" create a formula that adds the sales for each region group."</f>
        <v>#REF!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7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7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7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7">
        <v>5423.53</v>
      </c>
      <c r="G10" s="51">
        <f>SUMIF('HW(9)'!$B$7:$B$2005, 'HW(9)'!G$7, 'HW(9)'!$E$7:$E$2005) + SUMIF('HW(9)'!$B$7:$B$2005, 'HW(9)'!G$8, 'HW(9)'!$E$7:$E$2005)</f>
        <v>5020469.0599999959</v>
      </c>
      <c r="H10" s="51">
        <f>SUMIF('HW(9)'!$B$7:$B$2005, 'HW(9)'!H$7, 'HW(9)'!$E$7:$E$2005) + SUMIF('HW(9)'!$B$7:$B$2005, 'HW(9)'!H$8, 'HW(9)'!$E$7:$E$2005)</f>
        <v>5064067.2899999991</v>
      </c>
      <c r="J10" s="51">
        <f>DAVERAGE(A6:E2005, "Sales", J12:J14)</f>
        <v>5045.6975477386986</v>
      </c>
      <c r="K10" s="51">
        <f>DAVERAGE(B6:F2005, "Sales", K12:K14)</f>
        <v>5043.8917231075693</v>
      </c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7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7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7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7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7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7">
        <v>8450.35</v>
      </c>
      <c r="G16" s="51"/>
      <c r="H16" s="51"/>
      <c r="J16" s="51"/>
      <c r="K16" s="51"/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7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7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7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7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7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7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7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7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7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7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7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7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7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7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7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7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7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7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7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7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7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7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7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7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7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7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7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7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7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7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7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7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7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7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7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7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7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7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7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7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7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7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7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7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7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7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7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7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7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7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7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7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7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7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7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7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7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7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7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7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7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7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7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7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7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7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7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7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7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7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7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7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7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7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7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7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7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7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7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7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7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7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7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7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7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7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7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7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7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7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7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7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7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7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7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7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7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7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7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7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7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7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7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7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7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7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7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7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7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7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7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7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7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7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7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7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7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7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7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7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7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7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7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7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7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7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7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7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7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7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7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7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7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7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7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7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7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7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7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7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7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7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7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7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7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7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7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7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7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7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7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7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7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7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7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7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7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7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7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7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7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7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7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7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7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7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7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7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7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7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7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7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7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7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7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7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7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7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7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7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7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7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7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7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7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7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7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7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7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7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7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7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7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7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7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7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7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7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7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7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7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7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7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7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7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7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7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7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7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7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7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7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7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7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7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7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7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7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7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7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7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7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7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7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7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7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7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7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7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7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7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7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7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7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7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7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7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7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7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7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7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7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7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7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7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7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7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7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7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7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7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7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7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7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7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7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7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7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7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7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7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7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7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7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7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7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7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7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7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7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7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7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7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7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7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7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7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7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7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7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7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7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7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7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7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7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7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7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7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7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7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7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7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7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7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7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7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7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7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7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7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7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7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7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7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7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7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7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7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7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7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7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7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7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7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7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7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7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7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7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7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7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7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7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7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7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7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7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7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7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7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7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7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7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7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7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7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7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7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7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7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7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7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7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7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7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7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7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7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7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7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7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7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7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7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7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7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7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7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7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7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7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7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7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7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7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7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7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7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7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7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7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7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7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7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7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7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7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7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7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7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7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7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7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7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7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7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7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7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7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7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7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7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7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7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7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7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7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7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7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7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7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7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7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7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7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7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7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7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7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7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7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7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7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7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7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7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7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7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7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7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7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7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7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7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7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7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7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7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7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7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7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7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7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7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7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7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7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7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7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7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7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7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7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7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7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7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7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7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7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7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7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7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7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7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7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7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7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7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7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7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7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7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7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7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7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7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7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7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7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7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7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7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7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7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7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7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7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7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7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7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7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7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7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7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7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7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7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7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7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7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7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7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7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7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7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7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7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7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7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7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7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7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7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7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7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7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7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7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7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7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7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7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7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7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7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7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7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7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7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7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7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7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7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7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7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7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7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7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7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7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7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7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7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7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7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7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7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7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7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7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7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7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7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7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7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7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7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7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7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7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7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7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7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7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7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7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7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7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7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7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7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7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7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7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7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7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7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7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7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7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7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7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7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7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7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7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7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7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7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7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7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7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7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7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7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7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7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7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7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7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7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7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7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7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7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7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7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7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7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7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7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7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7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7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7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7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7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7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7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7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7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7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7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7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7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7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7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7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7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7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7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7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7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7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7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7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7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7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7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7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7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7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7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7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7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7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7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7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7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7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7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7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7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7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7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7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7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7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7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7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7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7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7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7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7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7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7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7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7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7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7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7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7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7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7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7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7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7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7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7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7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7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7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7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7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7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7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7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7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7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7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7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7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7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7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7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7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7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7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7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7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7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7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7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7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7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7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7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7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7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7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7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7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7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7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7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7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7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7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7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7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7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7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7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7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7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7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7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7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7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7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7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7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7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7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7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7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7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7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7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7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7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7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7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7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7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7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7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7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7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7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7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7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7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7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7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7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7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7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7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7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7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7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7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7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7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7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7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7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7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7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7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7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7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7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7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7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7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7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7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7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7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7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7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7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7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7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7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7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7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7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7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7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7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7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7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7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7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7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7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7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7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7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7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7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7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7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7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7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7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7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7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7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7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7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7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7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7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7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7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7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7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7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7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7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7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7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7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7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7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7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7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7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7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7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7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7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7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7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7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7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7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7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7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7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7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7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7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7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7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7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7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7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7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7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7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7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7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7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7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7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7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7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7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7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7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7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7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7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7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7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7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7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7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7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7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7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7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7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7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7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7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7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7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7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7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7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7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7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7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7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7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7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7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7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7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7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7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7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7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7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7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7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7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7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7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7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7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7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7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7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7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7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7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7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7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7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7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7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7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7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7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7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7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7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7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7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7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7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7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7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7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7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7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7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7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7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7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7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7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7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7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7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7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7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7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7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7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7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7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7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7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7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7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7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7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7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7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7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7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7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7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7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7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7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7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7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7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7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7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7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7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7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7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7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7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7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7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7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7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7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7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7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7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7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7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7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7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7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7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7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7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7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7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7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7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7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7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7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7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7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7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7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7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7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7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7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7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7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7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7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7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7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7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7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7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7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7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7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7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7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7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7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7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7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7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7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7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7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7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7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7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7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7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7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7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7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7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7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7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7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7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7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7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7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7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7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7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7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7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7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7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7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7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7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7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7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7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7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7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7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7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7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7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7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7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7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7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7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7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7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7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7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7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7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7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7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7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7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7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7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7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7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7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7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7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7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7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7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7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7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7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7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7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7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7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7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7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7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7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7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7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7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7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7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7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7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7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7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7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7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7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7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7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7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7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7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7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7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7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7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7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7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7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7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7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7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7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7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7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7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7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7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7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7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7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7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7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7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7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7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7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7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7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7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7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7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7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7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7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7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7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7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7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7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7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7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7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7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7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7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7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7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7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7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7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7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7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7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7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7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7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7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7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7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7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7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7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7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7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7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7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7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7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7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7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7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7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7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7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7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7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7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7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7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7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7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7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7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7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7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7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7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7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7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7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7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7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7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7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7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7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7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7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7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7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7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7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7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7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7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7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7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7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7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7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7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7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7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7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7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7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7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7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7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7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7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7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7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7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7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7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7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7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7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7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7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7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7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7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7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7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7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7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7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7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7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7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7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7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7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7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7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7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7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7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7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7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7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7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7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7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7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7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7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7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7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7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7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7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7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7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7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7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7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7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7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7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7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7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7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7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7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7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7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7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7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7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7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7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7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7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7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7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7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7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7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7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7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7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7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7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7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7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7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7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7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7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7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7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7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7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7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7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7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7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7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7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7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7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7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7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7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7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7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7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7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7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7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7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7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7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7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7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7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7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7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7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7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7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7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7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7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7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7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7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7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7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7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7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7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7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7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7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7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7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7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7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7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7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7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7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7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7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7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7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7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7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7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7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7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7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7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7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7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7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7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7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7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7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7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7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7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7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7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7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7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7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7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7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7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7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7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7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7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7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7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7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7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7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7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7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7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7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7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7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7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7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7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7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7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7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7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7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7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7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7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7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7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7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7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7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7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7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7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7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7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7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7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7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7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7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7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7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7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7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7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7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7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7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7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7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7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7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7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7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7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7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7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7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7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7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7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7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7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7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7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7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7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7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7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7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7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7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7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7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7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7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7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7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7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7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7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7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7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7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7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7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7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7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7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7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7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7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7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7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7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7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7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7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7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7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7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7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7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7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7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7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7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7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7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7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7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7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7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7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7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7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7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7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7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7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7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7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7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7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7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7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7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7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7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7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7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7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7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7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7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7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7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7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7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7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7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7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7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7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7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7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7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7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7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7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7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7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7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7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7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7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7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7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7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7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7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7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7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7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7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7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7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7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7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7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7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7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7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7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7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7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7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7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7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7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7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7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7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7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7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7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7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7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7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7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7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7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7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7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7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7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7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7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7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7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7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7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7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7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7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7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7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7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7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7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7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7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7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7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7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7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7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7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7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7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7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7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7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7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7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7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7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7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7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7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7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7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7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7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7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7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7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7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7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7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7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7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7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7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7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7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7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7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7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7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7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7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7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7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7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7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7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7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7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7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7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7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7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7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7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7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7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7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7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7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7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7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7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7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7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7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7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7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7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7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7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7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7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7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7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7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7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7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7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7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7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7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7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7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7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7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7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7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7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7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7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7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7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7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7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7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7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7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7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7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7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7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7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7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7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7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7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7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7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7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7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7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7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7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7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7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7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7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7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7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7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7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7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7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7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7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7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7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7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7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7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7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7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7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7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7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7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7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7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7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7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7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7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7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7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7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7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7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7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7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7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7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7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7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7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7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7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7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7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7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7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7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7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7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7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7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7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7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7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7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7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7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7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7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7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7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7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7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7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7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7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7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7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7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7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7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7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7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7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7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7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7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7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7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7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7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7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7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7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7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7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7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7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7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7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7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7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7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7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7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7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7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7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7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7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7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7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7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7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7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7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7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7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7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7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7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7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7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7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7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7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7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7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7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7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7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7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7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7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7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7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7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7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7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7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7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7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7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7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7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7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7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7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7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7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7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7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7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7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7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7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7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7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7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7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7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7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7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7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7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7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7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7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7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7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7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7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7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7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7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7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7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7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7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7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7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7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7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7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7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7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7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7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7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7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7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7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7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7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7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7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7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7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7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7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7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7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7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7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7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7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7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7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7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7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7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7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7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7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7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7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7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7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7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7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7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7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7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7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7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7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7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7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7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7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7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7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7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7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7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7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7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7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7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7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7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7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7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7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7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7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7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7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7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7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7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7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7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7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7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7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7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7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7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7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7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7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7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7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7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7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7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7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7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7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7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7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7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7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7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7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7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7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7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7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7">
        <v>1013.75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rgb="FFFF0000"/>
  </sheetPr>
  <dimension ref="A1:K2005"/>
  <sheetViews>
    <sheetView tabSelected="1" zoomScale="115" zoomScaleNormal="115" workbookViewId="0">
      <selection activeCell="G16" sqref="G16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7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7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7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7">
        <v>5423.53</v>
      </c>
      <c r="G10" s="51">
        <f t="shared" ref="G10:H10" si="0">SUMIFS($E$7:$E$2005,$B$7:$B$2005,G7)+SUMIFS($E$7:$E$2005,$B$7:$B$2005,G8)</f>
        <v>5020469.0599999959</v>
      </c>
      <c r="H10" s="51">
        <f t="shared" si="0"/>
        <v>5064067.2899999991</v>
      </c>
      <c r="J10" s="51">
        <f>AVERAGE(IF(($B$7:$B$2005=J7)+($B$7:$B$2005=J8),$E$7:$E$2005))</f>
        <v>5044.7905702851504</v>
      </c>
      <c r="K10" s="51">
        <f t="array" ref="K10">AVERAGE(IF(($B$7:$B$2005=K7)+($B$7:$B$2005=K8),$E$7:$E$2005))</f>
        <v>5043.8917231075693</v>
      </c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7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7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7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7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7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7">
        <v>8450.35</v>
      </c>
      <c r="G16" s="51">
        <f>DSUM($A$6:$E$2005,"Sales",G12:G14)</f>
        <v>5020469.0600000052</v>
      </c>
      <c r="H16" s="51">
        <f t="shared" ref="G16:H16" si="1">DSUM($A$6:$E$2005,"Sales",H12:H14)</f>
        <v>5064067.29</v>
      </c>
      <c r="J16" s="51">
        <f>DAVERAGE($A$6:$E$2005,"Sales",J12:J14)</f>
        <v>5045.6975477386986</v>
      </c>
      <c r="K16" s="51">
        <f>DAVERAGE($A$6:$E$2005,"Sales",K12:K14)</f>
        <v>5043.8917231075693</v>
      </c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7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7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7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7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7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7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7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7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7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7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7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7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7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7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7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7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7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7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7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7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7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7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7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7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7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7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7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7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7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7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7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7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7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7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7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7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7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7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7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7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7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7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7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7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7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7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7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7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7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7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7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7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7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7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7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7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7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7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7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7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7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7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7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7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7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7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7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7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7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7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7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7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7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7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7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7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7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7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7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7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7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7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7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7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7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7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7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7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7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7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7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7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7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7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7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7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7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7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7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7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7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7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7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7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7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7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7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7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7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7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7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7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7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7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7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7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7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7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7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7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7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7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7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7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7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7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7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7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7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7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7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7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7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7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7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7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7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7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7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7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7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7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7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7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7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7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7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7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7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7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7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7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7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7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7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7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7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7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7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7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7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7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7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7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7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7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7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7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7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7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7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7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7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7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7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7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7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7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7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7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7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7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7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7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7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7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7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7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7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7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7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7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7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7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7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7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7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7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7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7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7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7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7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7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7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7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7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7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7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7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7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7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7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7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7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7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7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7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7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7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7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7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7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7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7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7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7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7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7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7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7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7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7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7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7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7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7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7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7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7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7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7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7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7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7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7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7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7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7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7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7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7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7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7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7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7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7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7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7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7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7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7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7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7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7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7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7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7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7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7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7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7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7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7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7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7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7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7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7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7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7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7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7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7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7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7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7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7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7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7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7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7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7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7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7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7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7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7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7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7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7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7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7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7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7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7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7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7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7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7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7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7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7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7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7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7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7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7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7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7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7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7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7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7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7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7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7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7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7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7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7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7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7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7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7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7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7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7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7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7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7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7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7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7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7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7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7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7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7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7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7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7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7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7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7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7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7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7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7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7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7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7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7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7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7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7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7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7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7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7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7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7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7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7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7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7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7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7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7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7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7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7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7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7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7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7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7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7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7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7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7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7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7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7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7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7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7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7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7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7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7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7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7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7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7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7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7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7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7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7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7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7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7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7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7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7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7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7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7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7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7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7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7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7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7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7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7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7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7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7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7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7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7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7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7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7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7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7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7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7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7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7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7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7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7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7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7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7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7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7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7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7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7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7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7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7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7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7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7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7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7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7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7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7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7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7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7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7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7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7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7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7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7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7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7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7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7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7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7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7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7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7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7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7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7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7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7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7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7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7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7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7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7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7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7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7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7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7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7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7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7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7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7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7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7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7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7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7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7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7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7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7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7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7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7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7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7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7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7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7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7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7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7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7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7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7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7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7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7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7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7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7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7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7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7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7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7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7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7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7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7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7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7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7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7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7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7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7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7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7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7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7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7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7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7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7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7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7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7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7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7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7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7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7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7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7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7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7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7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7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7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7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7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7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7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7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7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7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7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7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7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7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7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7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7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7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7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7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7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7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7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7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7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7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7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7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7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7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7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7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7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7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7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7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7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7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7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7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7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7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7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7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7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7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7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7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7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7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7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7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7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7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7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7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7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7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7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7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7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7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7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7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7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7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7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7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7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7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7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7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7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7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7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7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7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7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7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7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7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7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7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7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7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7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7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7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7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7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7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7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7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7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7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7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7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7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7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7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7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7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7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7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7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7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7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7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7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7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7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7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7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7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7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7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7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7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7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7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7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7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7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7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7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7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7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7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7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7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7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7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7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7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7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7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7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7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7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7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7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7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7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7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7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7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7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7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7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7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7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7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7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7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7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7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7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7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7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7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7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7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7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7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7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7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7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7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7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7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7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7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7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7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7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7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7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7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7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7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7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7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7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7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7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7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7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7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7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7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7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7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7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7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7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7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7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7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7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7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7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7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7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7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7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7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7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7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7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7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7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7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7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7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7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7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7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7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7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7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7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7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7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7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7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7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7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7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7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7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7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7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7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7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7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7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7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7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7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7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7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7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7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7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7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7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7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7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7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7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7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7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7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7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7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7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7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7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7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7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7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7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7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7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7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7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7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7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7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7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7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7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7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7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7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7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7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7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7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7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7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7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7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7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7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7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7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7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7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7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7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7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7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7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7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7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7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7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7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7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7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7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7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7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7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7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7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7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7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7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7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7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7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7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7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7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7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7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7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7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7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7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7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7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7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7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7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7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7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7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7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7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7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7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7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7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7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7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7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7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7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7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7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7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7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7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7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7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7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7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7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7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7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7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7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7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7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7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7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7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7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7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7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7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7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7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7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7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7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7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7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7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7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7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7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7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7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7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7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7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7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7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7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7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7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7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7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7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7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7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7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7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7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7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7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7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7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7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7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7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7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7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7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7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7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7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7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7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7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7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7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7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7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7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7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7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7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7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7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7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7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7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7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7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7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7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7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7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7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7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7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7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7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7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7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7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7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7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7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7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7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7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7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7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7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7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7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7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7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7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7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7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7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7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7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7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7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7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7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7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7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7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7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7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7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7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7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7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7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7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7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7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7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7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7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7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7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7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7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7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7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7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7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7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7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7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7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7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7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7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7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7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7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7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7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7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7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7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7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7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7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7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7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7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7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7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7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7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7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7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7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7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7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7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7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7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7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7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7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7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7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7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7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7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7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7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7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7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7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7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7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7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7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7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7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7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7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7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7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7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7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7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7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7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7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7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7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7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7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7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7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7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7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7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7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7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7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7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7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7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7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7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7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7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7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7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7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7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7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7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7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7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7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7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7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7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7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7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7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7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7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7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7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7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7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7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7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7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7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7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7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7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7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7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7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7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7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7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7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7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7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7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7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7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7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7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7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7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7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7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7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7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7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7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7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7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7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7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7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7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7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7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7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7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7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7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7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7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7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7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7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7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7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7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7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7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7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7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7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7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7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7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7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7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7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7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7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7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7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7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7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7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7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7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7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7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7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7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7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7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7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7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7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7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7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7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7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7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7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7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7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7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7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7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7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7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7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7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7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7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7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7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7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7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7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7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7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7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7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7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7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7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7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7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7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7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7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7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7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7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7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7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7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7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7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7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7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7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7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7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7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7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7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7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7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7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7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7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7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7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7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7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7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7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7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7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7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7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7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7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7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7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7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7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7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7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7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7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7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7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7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7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7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7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7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7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7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7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7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7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7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7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7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7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7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7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7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7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7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7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7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7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7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7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7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7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7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7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7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7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7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7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7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7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7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7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7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7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7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7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7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7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7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7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7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7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7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7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7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7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7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7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7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7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7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7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7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7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7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7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7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7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7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7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7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7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7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7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7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7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7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7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7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7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7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7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7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7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7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7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7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7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7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7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7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7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7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7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7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7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7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7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7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7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7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7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7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7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7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7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7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7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7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7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7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7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7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7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7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7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7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7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7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7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7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7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7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7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7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7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7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7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7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7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7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7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7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7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7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7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7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7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7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7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7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7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7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7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7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7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7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7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7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7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7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7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7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7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7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7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7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7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7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7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7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7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7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7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7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7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7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7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7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7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7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7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7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7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7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7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7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7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7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7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7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7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7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7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7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7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7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7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7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7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7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7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7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7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7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7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7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7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7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7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7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7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7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7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7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7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7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7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7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7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7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7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7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7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7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7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7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7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7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7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7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7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7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7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7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7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7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7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7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7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7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7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7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7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7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7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7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7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7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7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7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7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7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7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7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7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7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7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7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7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7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7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7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7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7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7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7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7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7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7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7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7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7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7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7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7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7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7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7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7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7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7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7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7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7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7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7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7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7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7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7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7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7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7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7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7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7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7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7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7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7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7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7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7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7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7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7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7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7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7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7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7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7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7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7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7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7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7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7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7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7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7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7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7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7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7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7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7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7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7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7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7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7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7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7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7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7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7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7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7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7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7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7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7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7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7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7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7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7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7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7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7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7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7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7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7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7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7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7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7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7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7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7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7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7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7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7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7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7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7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7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7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7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7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7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7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7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7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7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7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7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7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7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7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7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7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7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7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7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7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7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7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7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7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7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7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7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7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7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7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7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7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7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7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7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7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7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7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7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7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7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7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7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7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7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7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7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7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7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7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7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7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7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7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7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7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7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7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7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7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7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7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7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7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7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7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7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7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7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7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7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7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7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7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7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7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7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7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7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7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7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7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7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7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7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7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7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7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7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7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7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7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7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7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7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7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7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7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7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7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7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7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7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7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7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7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7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7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7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7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7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7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7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7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7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7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7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7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7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7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7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7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7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7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7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7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7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7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7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7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7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7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7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7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7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7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7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7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7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7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7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7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7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7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7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7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7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7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7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7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7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7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7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7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7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7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7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7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7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7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7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7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7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7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7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7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7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7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7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7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7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7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7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7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7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7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7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7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7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7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7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7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7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7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7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7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7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7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7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7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7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7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7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7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7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7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7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7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7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7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7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7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7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7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7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7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7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7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7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7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7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7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7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7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7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7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7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7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7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7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7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7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7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7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7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7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7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7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7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7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7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7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7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7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7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7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7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7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7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7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7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7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7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7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7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7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7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7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7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7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7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7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7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7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7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7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7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7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7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7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7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7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7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7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7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7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7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7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7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7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7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7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7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7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7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7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7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7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7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7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7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7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7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7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7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7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7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7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7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7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7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7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7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7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7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7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7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7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7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7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7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7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7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7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7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7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7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7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7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7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7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7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7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7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7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7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7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7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7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7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7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7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7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7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7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7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7">
        <v>1013.75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Topics</vt:lpstr>
      <vt:lpstr>AND</vt:lpstr>
      <vt:lpstr>OR</vt:lpstr>
      <vt:lpstr>Boolean</vt:lpstr>
      <vt:lpstr>AND OR func</vt:lpstr>
      <vt:lpstr>IF IS</vt:lpstr>
      <vt:lpstr>Pivot or Formula</vt:lpstr>
      <vt:lpstr>Sales Team</vt:lpstr>
      <vt:lpstr>Homework ==&gt;&gt;</vt:lpstr>
      <vt:lpstr>HW(1)</vt:lpstr>
      <vt:lpstr>HW(1an)</vt:lpstr>
      <vt:lpstr>HW(2)</vt:lpstr>
      <vt:lpstr>HW(2an)</vt:lpstr>
      <vt:lpstr>HW(3)</vt:lpstr>
      <vt:lpstr>HW(3an)</vt:lpstr>
      <vt:lpstr>HW(4)</vt:lpstr>
      <vt:lpstr>HW(4an)</vt:lpstr>
      <vt:lpstr>HW(5)</vt:lpstr>
      <vt:lpstr>HW(5an)</vt:lpstr>
      <vt:lpstr>HW(6)</vt:lpstr>
      <vt:lpstr>HW(6an)</vt:lpstr>
      <vt:lpstr>HW(7)</vt:lpstr>
      <vt:lpstr>HW(7an)</vt:lpstr>
      <vt:lpstr>HW(9)</vt:lpstr>
      <vt:lpstr>HW(9an)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Cristina Sandoval</cp:lastModifiedBy>
  <dcterms:created xsi:type="dcterms:W3CDTF">2016-05-03T16:41:53Z</dcterms:created>
  <dcterms:modified xsi:type="dcterms:W3CDTF">2019-10-03T20:53:30Z</dcterms:modified>
</cp:coreProperties>
</file>