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kristinakarlsen/Documents/Nytte - kostnadsanalyse/melkøya/"/>
    </mc:Choice>
  </mc:AlternateContent>
  <xr:revisionPtr revIDLastSave="0" documentId="13_ncr:1_{D9F3C873-FEC8-4449-B14C-CCCFCAB81FE7}" xr6:coauthVersionLast="47" xr6:coauthVersionMax="47" xr10:uidLastSave="{00000000-0000-0000-0000-000000000000}"/>
  <bookViews>
    <workbookView xWindow="1240" yWindow="740" windowWidth="28040" windowHeight="17260" firstSheet="6" activeTab="9" xr2:uid="{256EB103-C9C3-D648-A96C-7A72831A8460}"/>
  </bookViews>
  <sheets>
    <sheet name="kladd4" sheetId="2" r:id="rId1"/>
    <sheet name="kladd3" sheetId="1" r:id="rId2"/>
    <sheet name="kladd2" sheetId="7" r:id="rId3"/>
    <sheet name="Priser" sheetId="23" r:id="rId4"/>
    <sheet name="Nåverdi kontantstrøm" sheetId="24" r:id="rId5"/>
    <sheet name="LNG produksjon" sheetId="25" r:id="rId6"/>
    <sheet name="Resultater" sheetId="22" r:id="rId7"/>
    <sheet name="kladd" sheetId="21" r:id="rId8"/>
    <sheet name="utkast1" sheetId="17" r:id="rId9"/>
    <sheet name="Usikkerhetsanalyse" sheetId="19" r:id="rId10"/>
    <sheet name="El-markedet 2" sheetId="8" r:id="rId11"/>
    <sheet name="Figurer1" sheetId="11" r:id="rId12"/>
    <sheet name="Ark2" sheetId="9" state="hidden" r:id="rId13"/>
    <sheet name="kladd5" sheetId="20" r:id="rId14"/>
    <sheet name="utslipp2" sheetId="18" r:id="rId15"/>
    <sheet name="El-markedet" sheetId="3" r:id="rId16"/>
    <sheet name="Utslipp" sheetId="4" r:id="rId17"/>
    <sheet name="Orginal karbonprisprisbane 2023" sheetId="5" r:id="rId18"/>
    <sheet name="Prisbane 2023" sheetId="6" r:id="rId19"/>
  </sheets>
  <definedNames>
    <definedName name="_xlchart.v1.0" hidden="1">'LNG produksjon'!$B$13:$B$41</definedName>
    <definedName name="_xlchart.v1.1" hidden="1">'LNG produksjon'!$C$13</definedName>
    <definedName name="_xlchart.v1.10" hidden="1">'LNG produksjon'!$E$14:$E$41</definedName>
    <definedName name="_xlchart.v1.11" hidden="1">'LNG produksjon'!$F$14:$F$41</definedName>
    <definedName name="_xlchart.v1.12" hidden="1">'LNG produksjon'!$B$13:$B$41</definedName>
    <definedName name="_xlchart.v1.13" hidden="1">'LNG produksjon'!$C$13</definedName>
    <definedName name="_xlchart.v1.14" hidden="1">'LNG produksjon'!$C$14:$C$41</definedName>
    <definedName name="_xlchart.v1.15" hidden="1">'LNG produksjon'!$D$14:$D$41</definedName>
    <definedName name="_xlchart.v1.16" hidden="1">'LNG produksjon'!$E$14:$E$41</definedName>
    <definedName name="_xlchart.v1.17" hidden="1">'LNG produksjon'!$F$14:$F$41</definedName>
    <definedName name="_xlchart.v1.18" hidden="1">'LNG produksjon'!$B$13:$B$41</definedName>
    <definedName name="_xlchart.v1.19" hidden="1">'LNG produksjon'!$C$13</definedName>
    <definedName name="_xlchart.v1.2" hidden="1">'LNG produksjon'!$C$14:$C$41</definedName>
    <definedName name="_xlchart.v1.20" hidden="1">'LNG produksjon'!$C$14:$C$41</definedName>
    <definedName name="_xlchart.v1.21" hidden="1">'LNG produksjon'!$D$14:$D$41</definedName>
    <definedName name="_xlchart.v1.22" hidden="1">'LNG produksjon'!$E$14:$E$41</definedName>
    <definedName name="_xlchart.v1.23" hidden="1">'LNG produksjon'!$F$14:$F$41</definedName>
    <definedName name="_xlchart.v1.24" hidden="1">'LNG produksjon'!$B$13:$B$41</definedName>
    <definedName name="_xlchart.v1.25" hidden="1">'LNG produksjon'!$C$13</definedName>
    <definedName name="_xlchart.v1.26" hidden="1">'LNG produksjon'!$C$14:$C$41</definedName>
    <definedName name="_xlchart.v1.27" hidden="1">'LNG produksjon'!$D$14:$D$41</definedName>
    <definedName name="_xlchart.v1.28" hidden="1">'LNG produksjon'!$E$14:$E$41</definedName>
    <definedName name="_xlchart.v1.29" hidden="1">'LNG produksjon'!$F$14:$F$41</definedName>
    <definedName name="_xlchart.v1.3" hidden="1">'LNG produksjon'!$D$14:$D$41</definedName>
    <definedName name="_xlchart.v1.30" hidden="1">'LNG produksjon'!$B$13:$B$41</definedName>
    <definedName name="_xlchart.v1.31" hidden="1">'LNG produksjon'!$C$13</definedName>
    <definedName name="_xlchart.v1.32" hidden="1">'LNG produksjon'!$C$14:$C$41</definedName>
    <definedName name="_xlchart.v1.33" hidden="1">'LNG produksjon'!$D$14:$D$41</definedName>
    <definedName name="_xlchart.v1.34" hidden="1">'LNG produksjon'!$E$14:$E$41</definedName>
    <definedName name="_xlchart.v1.35" hidden="1">'LNG produksjon'!$F$14:$F$41</definedName>
    <definedName name="_xlchart.v1.36" hidden="1">'LNG produksjon'!$B$13:$B$41</definedName>
    <definedName name="_xlchart.v1.37" hidden="1">'LNG produksjon'!$C$13</definedName>
    <definedName name="_xlchart.v1.38" hidden="1">'LNG produksjon'!$C$14:$C$41</definedName>
    <definedName name="_xlchart.v1.39" hidden="1">'LNG produksjon'!$D$14:$D$41</definedName>
    <definedName name="_xlchart.v1.4" hidden="1">'LNG produksjon'!$E$14:$E$41</definedName>
    <definedName name="_xlchart.v1.40" hidden="1">'LNG produksjon'!$E$14:$E$41</definedName>
    <definedName name="_xlchart.v1.41" hidden="1">'LNG produksjon'!$F$14:$F$41</definedName>
    <definedName name="_xlchart.v1.42" hidden="1">'LNG produksjon'!$B$13:$B$41</definedName>
    <definedName name="_xlchart.v1.43" hidden="1">'LNG produksjon'!$C$13</definedName>
    <definedName name="_xlchart.v1.44" hidden="1">'LNG produksjon'!$C$14:$C$41</definedName>
    <definedName name="_xlchart.v1.45" hidden="1">'LNG produksjon'!$D$14:$D$41</definedName>
    <definedName name="_xlchart.v1.46" hidden="1">'LNG produksjon'!$E$14:$E$41</definedName>
    <definedName name="_xlchart.v1.47" hidden="1">'LNG produksjon'!$F$14:$F$41</definedName>
    <definedName name="_xlchart.v1.48" hidden="1">'LNG produksjon'!$B$13:$B$41</definedName>
    <definedName name="_xlchart.v1.49" hidden="1">'LNG produksjon'!$C$13</definedName>
    <definedName name="_xlchart.v1.5" hidden="1">'LNG produksjon'!$F$14:$F$41</definedName>
    <definedName name="_xlchart.v1.50" hidden="1">'LNG produksjon'!$C$14:$C$41</definedName>
    <definedName name="_xlchart.v1.51" hidden="1">'LNG produksjon'!$D$14:$D$41</definedName>
    <definedName name="_xlchart.v1.52" hidden="1">'LNG produksjon'!$E$14:$E$41</definedName>
    <definedName name="_xlchart.v1.53" hidden="1">'LNG produksjon'!$F$14:$F$41</definedName>
    <definedName name="_xlchart.v1.6" hidden="1">'LNG produksjon'!$B$13:$B$41</definedName>
    <definedName name="_xlchart.v1.7" hidden="1">'LNG produksjon'!$C$13</definedName>
    <definedName name="_xlchart.v1.8" hidden="1">'LNG produksjon'!$C$14:$C$41</definedName>
    <definedName name="_xlchart.v1.9" hidden="1">'LNG produksjon'!$D$14:$D$41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" i="22" l="1"/>
  <c r="X8" i="22" s="1"/>
  <c r="L74" i="25"/>
  <c r="L75" i="25"/>
  <c r="L76" i="25"/>
  <c r="L77" i="25"/>
  <c r="L78" i="25"/>
  <c r="L79" i="25"/>
  <c r="L80" i="25"/>
  <c r="L81" i="25"/>
  <c r="L82" i="25"/>
  <c r="L83" i="25"/>
  <c r="L84" i="25"/>
  <c r="L85" i="25"/>
  <c r="L86" i="25"/>
  <c r="L87" i="25"/>
  <c r="L88" i="25"/>
  <c r="L89" i="25"/>
  <c r="L90" i="25"/>
  <c r="L91" i="25"/>
  <c r="L92" i="25"/>
  <c r="L93" i="25"/>
  <c r="L94" i="25"/>
  <c r="L95" i="25"/>
  <c r="L96" i="25"/>
  <c r="L97" i="25"/>
  <c r="L98" i="25"/>
  <c r="L99" i="25"/>
  <c r="L100" i="25"/>
  <c r="L73" i="25"/>
  <c r="K74" i="25"/>
  <c r="K75" i="25"/>
  <c r="K76" i="25"/>
  <c r="K77" i="25"/>
  <c r="K78" i="25"/>
  <c r="K79" i="25"/>
  <c r="K80" i="25"/>
  <c r="K81" i="25"/>
  <c r="K82" i="25"/>
  <c r="K83" i="25"/>
  <c r="K84" i="25"/>
  <c r="K85" i="25"/>
  <c r="K86" i="25"/>
  <c r="K87" i="25"/>
  <c r="K88" i="25"/>
  <c r="K89" i="25"/>
  <c r="K90" i="25"/>
  <c r="K91" i="25"/>
  <c r="K92" i="25"/>
  <c r="K93" i="25"/>
  <c r="K94" i="25"/>
  <c r="K95" i="25"/>
  <c r="K96" i="25"/>
  <c r="K97" i="25"/>
  <c r="K98" i="25"/>
  <c r="K99" i="25"/>
  <c r="K100" i="25"/>
  <c r="K73" i="25"/>
  <c r="J74" i="25"/>
  <c r="J75" i="25"/>
  <c r="J76" i="25"/>
  <c r="J77" i="25"/>
  <c r="J78" i="25"/>
  <c r="J79" i="25"/>
  <c r="J80" i="25"/>
  <c r="J81" i="25"/>
  <c r="J82" i="25"/>
  <c r="J83" i="25"/>
  <c r="J84" i="25"/>
  <c r="J85" i="25"/>
  <c r="J86" i="25"/>
  <c r="J87" i="25"/>
  <c r="J88" i="25"/>
  <c r="J89" i="25"/>
  <c r="J90" i="25"/>
  <c r="J91" i="25"/>
  <c r="J92" i="25"/>
  <c r="J93" i="25"/>
  <c r="J94" i="25"/>
  <c r="J95" i="25"/>
  <c r="J96" i="25"/>
  <c r="J97" i="25"/>
  <c r="J98" i="25"/>
  <c r="J99" i="25"/>
  <c r="J100" i="25"/>
  <c r="J73" i="25"/>
  <c r="I74" i="25"/>
  <c r="I75" i="25"/>
  <c r="I76" i="25"/>
  <c r="I77" i="25"/>
  <c r="I78" i="25"/>
  <c r="I79" i="25"/>
  <c r="I80" i="25"/>
  <c r="I81" i="25"/>
  <c r="I82" i="25"/>
  <c r="I83" i="25"/>
  <c r="I84" i="25"/>
  <c r="I85" i="25"/>
  <c r="I86" i="25"/>
  <c r="I87" i="25"/>
  <c r="I88" i="25"/>
  <c r="I89" i="25"/>
  <c r="I90" i="25"/>
  <c r="I91" i="25"/>
  <c r="I92" i="25"/>
  <c r="I93" i="25"/>
  <c r="I94" i="25"/>
  <c r="I95" i="25"/>
  <c r="I96" i="25"/>
  <c r="I97" i="25"/>
  <c r="I98" i="25"/>
  <c r="I99" i="25"/>
  <c r="I100" i="25"/>
  <c r="I73" i="25"/>
  <c r="H74" i="25"/>
  <c r="H75" i="25"/>
  <c r="H76" i="25"/>
  <c r="H77" i="25"/>
  <c r="H78" i="25"/>
  <c r="H79" i="25"/>
  <c r="H80" i="25"/>
  <c r="H81" i="25"/>
  <c r="H82" i="25"/>
  <c r="H83" i="25"/>
  <c r="H84" i="25"/>
  <c r="H85" i="25"/>
  <c r="H86" i="25"/>
  <c r="H87" i="25"/>
  <c r="H88" i="25"/>
  <c r="H89" i="25"/>
  <c r="H90" i="25"/>
  <c r="H91" i="25"/>
  <c r="H92" i="25"/>
  <c r="H93" i="25"/>
  <c r="H94" i="25"/>
  <c r="H95" i="25"/>
  <c r="H96" i="25"/>
  <c r="H97" i="25"/>
  <c r="H98" i="25"/>
  <c r="H99" i="25"/>
  <c r="H100" i="25"/>
  <c r="H73" i="25"/>
  <c r="D78" i="22"/>
  <c r="D68" i="22"/>
  <c r="C78" i="22" s="1"/>
  <c r="K74" i="8"/>
  <c r="K75" i="8"/>
  <c r="K76" i="8"/>
  <c r="K77" i="8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F27" i="25"/>
  <c r="F28" i="25"/>
  <c r="F29" i="25"/>
  <c r="F30" i="25"/>
  <c r="F31" i="25"/>
  <c r="F32" i="25"/>
  <c r="F33" i="25"/>
  <c r="F34" i="25"/>
  <c r="F35" i="25"/>
  <c r="F36" i="25"/>
  <c r="F37" i="25"/>
  <c r="F38" i="25"/>
  <c r="F39" i="25"/>
  <c r="F40" i="25"/>
  <c r="F41" i="25"/>
  <c r="L16" i="22"/>
  <c r="L17" i="22"/>
  <c r="L18" i="22"/>
  <c r="L19" i="22"/>
  <c r="L20" i="22"/>
  <c r="I16" i="22"/>
  <c r="I17" i="22"/>
  <c r="I18" i="22"/>
  <c r="I19" i="22"/>
  <c r="I20" i="22"/>
  <c r="AM29" i="22"/>
  <c r="AM30" i="22"/>
  <c r="AM31" i="22"/>
  <c r="AM32" i="22"/>
  <c r="AM33" i="22"/>
  <c r="AM34" i="22"/>
  <c r="AM35" i="22"/>
  <c r="Y29" i="22"/>
  <c r="Y30" i="22"/>
  <c r="Y31" i="22"/>
  <c r="Y32" i="22"/>
  <c r="Y33" i="22"/>
  <c r="Y34" i="22"/>
  <c r="Y35" i="22"/>
  <c r="U29" i="22"/>
  <c r="V29" i="22" s="1"/>
  <c r="U30" i="22"/>
  <c r="V30" i="22" s="1"/>
  <c r="U31" i="22"/>
  <c r="V31" i="22" s="1"/>
  <c r="U32" i="22"/>
  <c r="V32" i="22" s="1"/>
  <c r="U33" i="22"/>
  <c r="V33" i="22" s="1"/>
  <c r="U34" i="22"/>
  <c r="V34" i="22" s="1"/>
  <c r="U35" i="22"/>
  <c r="V35" i="22" s="1"/>
  <c r="C35" i="25"/>
  <c r="C36" i="25"/>
  <c r="C37" i="25" s="1"/>
  <c r="C38" i="25" s="1"/>
  <c r="C39" i="25" s="1"/>
  <c r="C40" i="25" s="1"/>
  <c r="C14" i="25"/>
  <c r="C15" i="25" s="1"/>
  <c r="C16" i="25" s="1"/>
  <c r="C17" i="25" s="1"/>
  <c r="C18" i="25" s="1"/>
  <c r="C19" i="25" s="1"/>
  <c r="C20" i="25" s="1"/>
  <c r="C21" i="25" s="1"/>
  <c r="C22" i="25" s="1"/>
  <c r="C23" i="25" s="1"/>
  <c r="C24" i="25" s="1"/>
  <c r="C25" i="25" s="1"/>
  <c r="C26" i="25" s="1"/>
  <c r="C27" i="25" s="1"/>
  <c r="C28" i="25" s="1"/>
  <c r="C29" i="25" s="1"/>
  <c r="C30" i="25" s="1"/>
  <c r="C31" i="25" s="1"/>
  <c r="C32" i="25" s="1"/>
  <c r="C33" i="25" s="1"/>
  <c r="C34" i="25" s="1"/>
  <c r="C41" i="25"/>
  <c r="G8" i="25"/>
  <c r="F8" i="25"/>
  <c r="F3" i="25"/>
  <c r="D4" i="25"/>
  <c r="D3" i="25"/>
  <c r="AM16" i="22"/>
  <c r="AM17" i="22"/>
  <c r="AM18" i="22"/>
  <c r="AM19" i="22"/>
  <c r="AM20" i="22"/>
  <c r="AM21" i="22"/>
  <c r="AM22" i="22"/>
  <c r="AM23" i="22"/>
  <c r="AM24" i="22"/>
  <c r="AM25" i="22"/>
  <c r="AM26" i="22"/>
  <c r="AM27" i="22"/>
  <c r="AM28" i="22"/>
  <c r="AM15" i="22"/>
  <c r="E43" i="22"/>
  <c r="E54" i="22" s="1"/>
  <c r="C54" i="22"/>
  <c r="C52" i="22"/>
  <c r="D43" i="22"/>
  <c r="D54" i="22" s="1"/>
  <c r="AT7" i="22"/>
  <c r="AR34" i="22"/>
  <c r="AT34" i="22" s="1"/>
  <c r="AR35" i="22"/>
  <c r="AT35" i="22" s="1"/>
  <c r="AR9" i="22"/>
  <c r="AT9" i="22" s="1"/>
  <c r="AR10" i="22"/>
  <c r="AT10" i="22" s="1"/>
  <c r="AR11" i="22"/>
  <c r="AT11" i="22" s="1"/>
  <c r="AR12" i="22"/>
  <c r="AT12" i="22" s="1"/>
  <c r="AR13" i="22"/>
  <c r="AT13" i="22" s="1"/>
  <c r="AR14" i="22"/>
  <c r="AT14" i="22" s="1"/>
  <c r="AR15" i="22"/>
  <c r="AT15" i="22" s="1"/>
  <c r="AR16" i="22"/>
  <c r="AT16" i="22" s="1"/>
  <c r="AR17" i="22"/>
  <c r="AT17" i="22" s="1"/>
  <c r="AR18" i="22"/>
  <c r="AT18" i="22" s="1"/>
  <c r="AR19" i="22"/>
  <c r="AT19" i="22" s="1"/>
  <c r="AR20" i="22"/>
  <c r="AT20" i="22" s="1"/>
  <c r="AR21" i="22"/>
  <c r="AT21" i="22" s="1"/>
  <c r="AR22" i="22"/>
  <c r="AT22" i="22" s="1"/>
  <c r="AR23" i="22"/>
  <c r="AT23" i="22" s="1"/>
  <c r="AR24" i="22"/>
  <c r="AT24" i="22" s="1"/>
  <c r="AR25" i="22"/>
  <c r="AT25" i="22" s="1"/>
  <c r="AR26" i="22"/>
  <c r="AT26" i="22" s="1"/>
  <c r="AR27" i="22"/>
  <c r="AT27" i="22" s="1"/>
  <c r="AR28" i="22"/>
  <c r="AT28" i="22" s="1"/>
  <c r="AR29" i="22"/>
  <c r="AT29" i="22" s="1"/>
  <c r="AR30" i="22"/>
  <c r="AT30" i="22" s="1"/>
  <c r="AR31" i="22"/>
  <c r="AT31" i="22" s="1"/>
  <c r="AR32" i="22"/>
  <c r="AT32" i="22" s="1"/>
  <c r="AR33" i="22"/>
  <c r="AT33" i="22" s="1"/>
  <c r="AR8" i="22"/>
  <c r="AT8" i="22" s="1"/>
  <c r="AF8" i="22"/>
  <c r="AF9" i="22" s="1"/>
  <c r="AH7" i="22"/>
  <c r="AG7" i="22"/>
  <c r="AE8" i="22"/>
  <c r="AH8" i="22" s="1"/>
  <c r="AE9" i="22"/>
  <c r="AH9" i="22" s="1"/>
  <c r="AE10" i="22"/>
  <c r="AH10" i="22" s="1"/>
  <c r="AE11" i="22"/>
  <c r="AH11" i="22" s="1"/>
  <c r="AE12" i="22"/>
  <c r="AH12" i="22" s="1"/>
  <c r="AE13" i="22"/>
  <c r="AH13" i="22" s="1"/>
  <c r="AE14" i="22"/>
  <c r="AH14" i="22" s="1"/>
  <c r="AE15" i="22"/>
  <c r="AH15" i="22" s="1"/>
  <c r="AE7" i="22"/>
  <c r="Y17" i="22"/>
  <c r="Y18" i="22"/>
  <c r="Y19" i="22"/>
  <c r="Y20" i="22"/>
  <c r="Y21" i="22"/>
  <c r="Y22" i="22"/>
  <c r="Y23" i="22"/>
  <c r="Y24" i="22"/>
  <c r="Y25" i="22"/>
  <c r="Y26" i="22"/>
  <c r="Y27" i="22"/>
  <c r="Y28" i="22"/>
  <c r="Y16" i="22"/>
  <c r="Y15" i="22" s="1"/>
  <c r="I9" i="22"/>
  <c r="I10" i="22"/>
  <c r="I11" i="22"/>
  <c r="I12" i="22"/>
  <c r="I13" i="22"/>
  <c r="I14" i="22"/>
  <c r="I15" i="22"/>
  <c r="I8" i="22"/>
  <c r="L9" i="22"/>
  <c r="W9" i="22" s="1"/>
  <c r="L10" i="22"/>
  <c r="W10" i="22" s="1"/>
  <c r="L11" i="22"/>
  <c r="W11" i="22" s="1"/>
  <c r="L12" i="22"/>
  <c r="W12" i="22" s="1"/>
  <c r="L13" i="22"/>
  <c r="W13" i="22" s="1"/>
  <c r="L14" i="22"/>
  <c r="W14" i="22" s="1"/>
  <c r="L15" i="22"/>
  <c r="W15" i="22" s="1"/>
  <c r="W16" i="22" s="1"/>
  <c r="W17" i="22" s="1"/>
  <c r="W18" i="22" s="1"/>
  <c r="W19" i="22" s="1"/>
  <c r="W20" i="22" s="1"/>
  <c r="W21" i="22" s="1"/>
  <c r="W22" i="22" s="1"/>
  <c r="W23" i="22" s="1"/>
  <c r="W24" i="22" s="1"/>
  <c r="W25" i="22" s="1"/>
  <c r="W26" i="22" s="1"/>
  <c r="W27" i="22" s="1"/>
  <c r="W28" i="22" s="1"/>
  <c r="W29" i="22" s="1"/>
  <c r="W30" i="22" s="1"/>
  <c r="W31" i="22" s="1"/>
  <c r="W32" i="22" s="1"/>
  <c r="W33" i="22" s="1"/>
  <c r="L8" i="22"/>
  <c r="W8" i="22" s="1"/>
  <c r="J17" i="23"/>
  <c r="J18" i="23"/>
  <c r="J19" i="23"/>
  <c r="J20" i="23"/>
  <c r="J21" i="23"/>
  <c r="J22" i="23"/>
  <c r="J23" i="23"/>
  <c r="J24" i="23"/>
  <c r="J25" i="23"/>
  <c r="J26" i="23"/>
  <c r="J27" i="23"/>
  <c r="J28" i="23"/>
  <c r="J29" i="23"/>
  <c r="J30" i="23"/>
  <c r="J31" i="23"/>
  <c r="J32" i="23"/>
  <c r="J33" i="23"/>
  <c r="J34" i="23"/>
  <c r="J35" i="23"/>
  <c r="J36" i="23"/>
  <c r="J37" i="23"/>
  <c r="I23" i="23"/>
  <c r="I24" i="23"/>
  <c r="I25" i="23"/>
  <c r="I26" i="23"/>
  <c r="I27" i="23"/>
  <c r="I28" i="23"/>
  <c r="I29" i="23"/>
  <c r="I30" i="23"/>
  <c r="I31" i="23"/>
  <c r="I32" i="23"/>
  <c r="I33" i="23"/>
  <c r="I34" i="23"/>
  <c r="I35" i="23"/>
  <c r="I36" i="23"/>
  <c r="I37" i="23"/>
  <c r="I22" i="23"/>
  <c r="I18" i="23"/>
  <c r="I19" i="23"/>
  <c r="I20" i="23"/>
  <c r="I21" i="23"/>
  <c r="I17" i="23"/>
  <c r="H11" i="23"/>
  <c r="H12" i="23"/>
  <c r="H13" i="23"/>
  <c r="H14" i="23"/>
  <c r="H15" i="23"/>
  <c r="H16" i="23"/>
  <c r="H17" i="23"/>
  <c r="H18" i="23"/>
  <c r="H19" i="23"/>
  <c r="H20" i="23"/>
  <c r="H21" i="23"/>
  <c r="H22" i="23"/>
  <c r="H23" i="23"/>
  <c r="H24" i="23"/>
  <c r="H25" i="23"/>
  <c r="H26" i="23"/>
  <c r="H27" i="23"/>
  <c r="H28" i="23"/>
  <c r="H29" i="23"/>
  <c r="H30" i="23"/>
  <c r="H31" i="23"/>
  <c r="H32" i="23"/>
  <c r="H33" i="23"/>
  <c r="H34" i="23"/>
  <c r="H35" i="23"/>
  <c r="H36" i="23"/>
  <c r="H37" i="23"/>
  <c r="G11" i="23"/>
  <c r="G12" i="23"/>
  <c r="G13" i="23"/>
  <c r="G14" i="23"/>
  <c r="G15" i="23"/>
  <c r="G16" i="23"/>
  <c r="G17" i="23"/>
  <c r="G18" i="23"/>
  <c r="G19" i="23"/>
  <c r="G20" i="23"/>
  <c r="G21" i="23"/>
  <c r="G22" i="23"/>
  <c r="G23" i="23"/>
  <c r="G24" i="23"/>
  <c r="G25" i="23"/>
  <c r="G26" i="23"/>
  <c r="G27" i="23"/>
  <c r="G28" i="23"/>
  <c r="G29" i="23"/>
  <c r="G30" i="23"/>
  <c r="G31" i="23"/>
  <c r="G32" i="23"/>
  <c r="G33" i="23"/>
  <c r="G34" i="23"/>
  <c r="G35" i="23"/>
  <c r="G36" i="23"/>
  <c r="G37" i="23"/>
  <c r="F11" i="23"/>
  <c r="F12" i="23"/>
  <c r="F13" i="23"/>
  <c r="F14" i="23"/>
  <c r="F15" i="23"/>
  <c r="F16" i="23"/>
  <c r="F17" i="23"/>
  <c r="F18" i="23"/>
  <c r="F19" i="23"/>
  <c r="F20" i="23"/>
  <c r="F21" i="23"/>
  <c r="F22" i="23"/>
  <c r="F23" i="23"/>
  <c r="F24" i="23"/>
  <c r="F25" i="23"/>
  <c r="F26" i="23"/>
  <c r="F27" i="23"/>
  <c r="F28" i="23"/>
  <c r="F29" i="23"/>
  <c r="F30" i="23"/>
  <c r="F31" i="23"/>
  <c r="F32" i="23"/>
  <c r="F33" i="23"/>
  <c r="F34" i="23"/>
  <c r="F35" i="23"/>
  <c r="F36" i="23"/>
  <c r="F37" i="23"/>
  <c r="H10" i="23"/>
  <c r="G10" i="23"/>
  <c r="F10" i="23"/>
  <c r="L6" i="21"/>
  <c r="M9" i="22"/>
  <c r="X9" i="22" s="1"/>
  <c r="M10" i="22"/>
  <c r="X10" i="22" s="1"/>
  <c r="M11" i="22"/>
  <c r="X11" i="22" s="1"/>
  <c r="M12" i="22"/>
  <c r="X12" i="22" s="1"/>
  <c r="M13" i="22"/>
  <c r="X13" i="22" s="1"/>
  <c r="M14" i="22"/>
  <c r="X14" i="22" s="1"/>
  <c r="M15" i="22"/>
  <c r="X15" i="22" s="1"/>
  <c r="M16" i="22"/>
  <c r="X16" i="22" s="1"/>
  <c r="M17" i="22"/>
  <c r="M18" i="22"/>
  <c r="X18" i="22" s="1"/>
  <c r="M19" i="22"/>
  <c r="X19" i="22" s="1"/>
  <c r="M20" i="22"/>
  <c r="M21" i="22"/>
  <c r="X21" i="22" s="1"/>
  <c r="M22" i="22"/>
  <c r="X22" i="22" s="1"/>
  <c r="M23" i="22"/>
  <c r="X23" i="22" s="1"/>
  <c r="M24" i="22"/>
  <c r="X24" i="22" s="1"/>
  <c r="M25" i="22"/>
  <c r="N25" i="22" s="1"/>
  <c r="AS25" i="22" s="1"/>
  <c r="M26" i="22"/>
  <c r="X26" i="22" s="1"/>
  <c r="M27" i="22"/>
  <c r="X27" i="22" s="1"/>
  <c r="M28" i="22"/>
  <c r="N28" i="22" s="1"/>
  <c r="AS28" i="22" s="1"/>
  <c r="M29" i="22"/>
  <c r="N29" i="22" s="1"/>
  <c r="AS29" i="22" s="1"/>
  <c r="M30" i="22"/>
  <c r="N30" i="22" s="1"/>
  <c r="AS30" i="22" s="1"/>
  <c r="M31" i="22"/>
  <c r="N31" i="22" s="1"/>
  <c r="AS31" i="22" s="1"/>
  <c r="M32" i="22"/>
  <c r="M33" i="22"/>
  <c r="M34" i="22"/>
  <c r="N34" i="22" s="1"/>
  <c r="AS34" i="22" s="1"/>
  <c r="M35" i="22"/>
  <c r="N35" i="22" s="1"/>
  <c r="AS35" i="22" s="1"/>
  <c r="U16" i="22"/>
  <c r="V16" i="22" s="1"/>
  <c r="U17" i="22"/>
  <c r="V17" i="22" s="1"/>
  <c r="U18" i="22"/>
  <c r="V18" i="22" s="1"/>
  <c r="U19" i="22"/>
  <c r="V19" i="22" s="1"/>
  <c r="U20" i="22"/>
  <c r="V20" i="22" s="1"/>
  <c r="U21" i="22"/>
  <c r="V21" i="22" s="1"/>
  <c r="U22" i="22"/>
  <c r="V22" i="22" s="1"/>
  <c r="U23" i="22"/>
  <c r="V23" i="22" s="1"/>
  <c r="U24" i="22"/>
  <c r="V24" i="22" s="1"/>
  <c r="U25" i="22"/>
  <c r="V25" i="22" s="1"/>
  <c r="U26" i="22"/>
  <c r="V26" i="22" s="1"/>
  <c r="U27" i="22"/>
  <c r="V27" i="22" s="1"/>
  <c r="U28" i="22"/>
  <c r="V28" i="22" s="1"/>
  <c r="U15" i="22"/>
  <c r="H8" i="22"/>
  <c r="H9" i="22" s="1"/>
  <c r="J9" i="22" s="1"/>
  <c r="S9" i="22"/>
  <c r="S10" i="22"/>
  <c r="S11" i="22"/>
  <c r="S12" i="22"/>
  <c r="S13" i="22"/>
  <c r="S14" i="22"/>
  <c r="S15" i="22"/>
  <c r="S8" i="22"/>
  <c r="Q9" i="22"/>
  <c r="R9" i="22" s="1"/>
  <c r="Q10" i="22"/>
  <c r="R10" i="22" s="1"/>
  <c r="T10" i="22" s="1"/>
  <c r="AC10" i="22" s="1"/>
  <c r="Q11" i="22"/>
  <c r="R11" i="22" s="1"/>
  <c r="Q12" i="22"/>
  <c r="R12" i="22" s="1"/>
  <c r="T12" i="22" s="1"/>
  <c r="AC12" i="22" s="1"/>
  <c r="Q13" i="22"/>
  <c r="R13" i="22" s="1"/>
  <c r="Q14" i="22"/>
  <c r="R14" i="22" s="1"/>
  <c r="Q15" i="22"/>
  <c r="R15" i="22" s="1"/>
  <c r="Q8" i="22"/>
  <c r="R8" i="22" s="1"/>
  <c r="D9" i="22"/>
  <c r="F9" i="22" s="1"/>
  <c r="P9" i="22" s="1"/>
  <c r="D10" i="22"/>
  <c r="F10" i="22" s="1"/>
  <c r="P10" i="22" s="1"/>
  <c r="D11" i="22"/>
  <c r="F11" i="22" s="1"/>
  <c r="AD11" i="22" s="1"/>
  <c r="AP11" i="22" s="1"/>
  <c r="D12" i="22"/>
  <c r="F12" i="22" s="1"/>
  <c r="P12" i="22" s="1"/>
  <c r="D13" i="22"/>
  <c r="F13" i="22" s="1"/>
  <c r="D14" i="22"/>
  <c r="F14" i="22" s="1"/>
  <c r="AD14" i="22" s="1"/>
  <c r="D15" i="22"/>
  <c r="F15" i="22" s="1"/>
  <c r="P15" i="22" s="1"/>
  <c r="D8" i="22"/>
  <c r="F8" i="22" s="1"/>
  <c r="AD8" i="22" s="1"/>
  <c r="AP8" i="22" s="1"/>
  <c r="E13" i="21"/>
  <c r="E14" i="21"/>
  <c r="E15" i="21"/>
  <c r="E16" i="21"/>
  <c r="E23" i="21" s="1"/>
  <c r="E17" i="21"/>
  <c r="E18" i="21"/>
  <c r="E19" i="21"/>
  <c r="E20" i="21"/>
  <c r="E21" i="21"/>
  <c r="E22" i="21"/>
  <c r="D69" i="22" l="1"/>
  <c r="D66" i="22"/>
  <c r="C79" i="22"/>
  <c r="E66" i="22"/>
  <c r="AA21" i="22"/>
  <c r="AA27" i="22"/>
  <c r="AA19" i="22"/>
  <c r="AA23" i="22"/>
  <c r="AA31" i="22"/>
  <c r="AA26" i="22"/>
  <c r="AA18" i="22"/>
  <c r="X34" i="22"/>
  <c r="AA25" i="22"/>
  <c r="AA17" i="22"/>
  <c r="AA33" i="22"/>
  <c r="AA32" i="22"/>
  <c r="AA24" i="22"/>
  <c r="AA16" i="22"/>
  <c r="AA28" i="22"/>
  <c r="X29" i="22"/>
  <c r="Z29" i="22" s="1"/>
  <c r="AA30" i="22"/>
  <c r="AA20" i="22"/>
  <c r="AA22" i="22"/>
  <c r="AA29" i="22"/>
  <c r="X30" i="22"/>
  <c r="Z30" i="22" s="1"/>
  <c r="X35" i="22"/>
  <c r="F14" i="25"/>
  <c r="F20" i="25"/>
  <c r="AP14" i="22"/>
  <c r="E20" i="25"/>
  <c r="AD13" i="22"/>
  <c r="F19" i="25"/>
  <c r="N33" i="22"/>
  <c r="AS33" i="22" s="1"/>
  <c r="X33" i="22"/>
  <c r="Z33" i="22" s="1"/>
  <c r="N32" i="22"/>
  <c r="AS32" i="22" s="1"/>
  <c r="X32" i="22"/>
  <c r="Z32" i="22" s="1"/>
  <c r="W34" i="22"/>
  <c r="AA34" i="22" s="1"/>
  <c r="D18" i="25"/>
  <c r="E14" i="25"/>
  <c r="X31" i="22"/>
  <c r="Z31" i="22" s="1"/>
  <c r="D16" i="22"/>
  <c r="E17" i="25"/>
  <c r="F21" i="25"/>
  <c r="F18" i="25"/>
  <c r="F17" i="25"/>
  <c r="F16" i="25"/>
  <c r="D16" i="25"/>
  <c r="F15" i="25"/>
  <c r="Z24" i="22"/>
  <c r="AD12" i="22"/>
  <c r="P11" i="22"/>
  <c r="AD10" i="22"/>
  <c r="P13" i="22"/>
  <c r="Z22" i="22"/>
  <c r="Z16" i="22"/>
  <c r="Z21" i="22"/>
  <c r="P14" i="22"/>
  <c r="Z23" i="22"/>
  <c r="P8" i="22"/>
  <c r="AF10" i="22"/>
  <c r="AL9" i="22"/>
  <c r="Z27" i="22"/>
  <c r="Z19" i="22"/>
  <c r="Z26" i="22"/>
  <c r="Z18" i="22"/>
  <c r="AE16" i="22"/>
  <c r="AH16" i="22" s="1"/>
  <c r="AL8" i="22"/>
  <c r="N26" i="22"/>
  <c r="AS26" i="22" s="1"/>
  <c r="AG9" i="22"/>
  <c r="AI9" i="22" s="1"/>
  <c r="AJ9" i="22" s="1"/>
  <c r="AG8" i="22"/>
  <c r="AI8" i="22" s="1"/>
  <c r="AJ8" i="22" s="1"/>
  <c r="AD9" i="22"/>
  <c r="N23" i="22"/>
  <c r="AS23" i="22" s="1"/>
  <c r="AK8" i="22"/>
  <c r="AK9" i="22" s="1"/>
  <c r="AK10" i="22" s="1"/>
  <c r="AK11" i="22" s="1"/>
  <c r="AK12" i="22" s="1"/>
  <c r="AK13" i="22" s="1"/>
  <c r="AK14" i="22" s="1"/>
  <c r="AK15" i="22" s="1"/>
  <c r="AK16" i="22" s="1"/>
  <c r="AK17" i="22" s="1"/>
  <c r="AK18" i="22" s="1"/>
  <c r="AK19" i="22" s="1"/>
  <c r="AK20" i="22" s="1"/>
  <c r="AK21" i="22" s="1"/>
  <c r="AK22" i="22" s="1"/>
  <c r="AK23" i="22" s="1"/>
  <c r="AK24" i="22" s="1"/>
  <c r="AK25" i="22" s="1"/>
  <c r="AK26" i="22" s="1"/>
  <c r="AK27" i="22" s="1"/>
  <c r="AK28" i="22" s="1"/>
  <c r="AK29" i="22" s="1"/>
  <c r="AK30" i="22" s="1"/>
  <c r="AK31" i="22" s="1"/>
  <c r="AK32" i="22" s="1"/>
  <c r="AK33" i="22" s="1"/>
  <c r="AK34" i="22" s="1"/>
  <c r="AK35" i="22" s="1"/>
  <c r="X28" i="22"/>
  <c r="Z28" i="22" s="1"/>
  <c r="AD15" i="22"/>
  <c r="E21" i="25" s="1"/>
  <c r="X20" i="22"/>
  <c r="Z20" i="22" s="1"/>
  <c r="X25" i="22"/>
  <c r="Z25" i="22" s="1"/>
  <c r="N22" i="22"/>
  <c r="AS22" i="22" s="1"/>
  <c r="X17" i="22"/>
  <c r="Z17" i="22" s="1"/>
  <c r="K9" i="22"/>
  <c r="N21" i="22"/>
  <c r="AS21" i="22" s="1"/>
  <c r="J8" i="22"/>
  <c r="K8" i="22" s="1"/>
  <c r="O8" i="22" s="1"/>
  <c r="N24" i="22"/>
  <c r="AS24" i="22" s="1"/>
  <c r="N27" i="22"/>
  <c r="AS27" i="22" s="1"/>
  <c r="T11" i="22"/>
  <c r="T8" i="22"/>
  <c r="T9" i="22"/>
  <c r="H10" i="22"/>
  <c r="U9" i="22"/>
  <c r="U8" i="22"/>
  <c r="Q16" i="22"/>
  <c r="Q17" i="22" s="1"/>
  <c r="Q18" i="22" s="1"/>
  <c r="T15" i="22"/>
  <c r="T14" i="22"/>
  <c r="T13" i="22"/>
  <c r="D88" i="22" l="1"/>
  <c r="D76" i="22"/>
  <c r="C76" i="22"/>
  <c r="C88" i="22"/>
  <c r="AO8" i="22"/>
  <c r="AO9" i="22"/>
  <c r="H20" i="25"/>
  <c r="H14" i="25"/>
  <c r="N9" i="22"/>
  <c r="AS9" i="22" s="1"/>
  <c r="O9" i="22"/>
  <c r="G16" i="25"/>
  <c r="H21" i="25"/>
  <c r="H17" i="25"/>
  <c r="AC11" i="22"/>
  <c r="D17" i="25"/>
  <c r="G17" i="25" s="1"/>
  <c r="AP13" i="22"/>
  <c r="E19" i="25"/>
  <c r="H19" i="25" s="1"/>
  <c r="AC9" i="22"/>
  <c r="D15" i="25"/>
  <c r="G15" i="25" s="1"/>
  <c r="AC14" i="22"/>
  <c r="D20" i="25"/>
  <c r="G20" i="25" s="1"/>
  <c r="AC15" i="22"/>
  <c r="D21" i="25"/>
  <c r="G21" i="25" s="1"/>
  <c r="AP9" i="22"/>
  <c r="E15" i="25"/>
  <c r="H15" i="25" s="1"/>
  <c r="G18" i="25"/>
  <c r="AP12" i="22"/>
  <c r="E18" i="25"/>
  <c r="H18" i="25" s="1"/>
  <c r="D17" i="22"/>
  <c r="F16" i="22"/>
  <c r="AC13" i="22"/>
  <c r="D19" i="25"/>
  <c r="G19" i="25" s="1"/>
  <c r="AC8" i="22"/>
  <c r="D14" i="25"/>
  <c r="G14" i="25" s="1"/>
  <c r="AP10" i="22"/>
  <c r="E16" i="25"/>
  <c r="H16" i="25" s="1"/>
  <c r="W35" i="22"/>
  <c r="Z34" i="22"/>
  <c r="AD16" i="22"/>
  <c r="E22" i="25" s="1"/>
  <c r="AP15" i="22"/>
  <c r="AN8" i="22"/>
  <c r="AV8" i="22" s="1"/>
  <c r="AN9" i="22"/>
  <c r="AE17" i="22"/>
  <c r="AE18" i="22" s="1"/>
  <c r="AF11" i="22"/>
  <c r="AL10" i="22"/>
  <c r="J10" i="22"/>
  <c r="K10" i="22" s="1"/>
  <c r="AG10" i="22"/>
  <c r="AI10" i="22" s="1"/>
  <c r="AJ10" i="22" s="1"/>
  <c r="AO10" i="22" s="1"/>
  <c r="V9" i="22"/>
  <c r="N8" i="22"/>
  <c r="AS8" i="22" s="1"/>
  <c r="V8" i="22"/>
  <c r="R16" i="22"/>
  <c r="T16" i="22" s="1"/>
  <c r="R17" i="22"/>
  <c r="T17" i="22" s="1"/>
  <c r="H11" i="22"/>
  <c r="U10" i="22"/>
  <c r="Q19" i="22"/>
  <c r="R18" i="22"/>
  <c r="T18" i="22" s="1"/>
  <c r="Z35" i="22" l="1"/>
  <c r="AA35" i="22"/>
  <c r="Z8" i="22"/>
  <c r="AU8" i="22" s="1"/>
  <c r="AA8" i="22"/>
  <c r="Z9" i="22"/>
  <c r="AU9" i="22" s="1"/>
  <c r="AA9" i="22"/>
  <c r="N10" i="22"/>
  <c r="AS10" i="22" s="1"/>
  <c r="O10" i="22"/>
  <c r="AV9" i="22"/>
  <c r="AC18" i="22"/>
  <c r="AU18" i="22" s="1"/>
  <c r="D24" i="25"/>
  <c r="F17" i="22"/>
  <c r="D18" i="22"/>
  <c r="AC17" i="22"/>
  <c r="AU17" i="22" s="1"/>
  <c r="D23" i="25"/>
  <c r="AC16" i="22"/>
  <c r="AU16" i="22" s="1"/>
  <c r="D22" i="25"/>
  <c r="P16" i="22"/>
  <c r="F22" i="25"/>
  <c r="H22" i="25" s="1"/>
  <c r="AH17" i="22"/>
  <c r="AN10" i="22"/>
  <c r="AV10" i="22" s="1"/>
  <c r="AD17" i="22"/>
  <c r="E23" i="25" s="1"/>
  <c r="AP16" i="22"/>
  <c r="V10" i="22"/>
  <c r="AF12" i="22"/>
  <c r="AL11" i="22"/>
  <c r="AE19" i="22"/>
  <c r="AH18" i="22"/>
  <c r="J11" i="22"/>
  <c r="K11" i="22" s="1"/>
  <c r="N11" i="22" s="1"/>
  <c r="AS11" i="22" s="1"/>
  <c r="AG11" i="22"/>
  <c r="AI11" i="22" s="1"/>
  <c r="AJ11" i="22" s="1"/>
  <c r="AO11" i="22" s="1"/>
  <c r="H12" i="22"/>
  <c r="U11" i="22"/>
  <c r="Q20" i="22"/>
  <c r="R19" i="22"/>
  <c r="T19" i="22" s="1"/>
  <c r="Z10" i="22" l="1"/>
  <c r="AU10" i="22" s="1"/>
  <c r="AA10" i="22"/>
  <c r="V11" i="22"/>
  <c r="O11" i="22"/>
  <c r="D19" i="22"/>
  <c r="F18" i="22"/>
  <c r="F23" i="25"/>
  <c r="H23" i="25" s="1"/>
  <c r="P17" i="22"/>
  <c r="G22" i="25"/>
  <c r="AC19" i="22"/>
  <c r="AU19" i="22" s="1"/>
  <c r="D25" i="25"/>
  <c r="AN11" i="22"/>
  <c r="AV11" i="22" s="1"/>
  <c r="AD18" i="22"/>
  <c r="E24" i="25" s="1"/>
  <c r="AP17" i="22"/>
  <c r="AF13" i="22"/>
  <c r="AL12" i="22"/>
  <c r="J12" i="22"/>
  <c r="K12" i="22" s="1"/>
  <c r="AG12" i="22"/>
  <c r="AI12" i="22" s="1"/>
  <c r="AJ12" i="22" s="1"/>
  <c r="AO12" i="22" s="1"/>
  <c r="AE20" i="22"/>
  <c r="AH19" i="22"/>
  <c r="H13" i="22"/>
  <c r="U12" i="22"/>
  <c r="Q21" i="22"/>
  <c r="R20" i="22"/>
  <c r="T20" i="22" s="1"/>
  <c r="Z11" i="22" l="1"/>
  <c r="AU11" i="22" s="1"/>
  <c r="AA11" i="22"/>
  <c r="V12" i="22"/>
  <c r="O12" i="22"/>
  <c r="G23" i="25"/>
  <c r="AN12" i="22"/>
  <c r="AV12" i="22" s="1"/>
  <c r="P18" i="22"/>
  <c r="F24" i="25"/>
  <c r="G24" i="25" s="1"/>
  <c r="AC20" i="22"/>
  <c r="AU20" i="22" s="1"/>
  <c r="D26" i="25"/>
  <c r="D20" i="22"/>
  <c r="F20" i="22" s="1"/>
  <c r="F19" i="22"/>
  <c r="N12" i="22"/>
  <c r="AD19" i="22"/>
  <c r="E25" i="25" s="1"/>
  <c r="AP18" i="22"/>
  <c r="AF14" i="22"/>
  <c r="AL13" i="22"/>
  <c r="AE21" i="22"/>
  <c r="AH20" i="22"/>
  <c r="J13" i="22"/>
  <c r="K13" i="22" s="1"/>
  <c r="AG13" i="22"/>
  <c r="AI13" i="22" s="1"/>
  <c r="AJ13" i="22" s="1"/>
  <c r="AO13" i="22" s="1"/>
  <c r="H14" i="22"/>
  <c r="U13" i="22"/>
  <c r="Q22" i="22"/>
  <c r="R21" i="22"/>
  <c r="T21" i="22" s="1"/>
  <c r="Z12" i="22" l="1"/>
  <c r="AU12" i="22" s="1"/>
  <c r="AA12" i="22"/>
  <c r="V13" i="22"/>
  <c r="O13" i="22"/>
  <c r="H24" i="25"/>
  <c r="F26" i="25"/>
  <c r="G26" i="25" s="1"/>
  <c r="P20" i="22"/>
  <c r="AS12" i="22"/>
  <c r="F25" i="25"/>
  <c r="G25" i="25" s="1"/>
  <c r="P19" i="22"/>
  <c r="AC21" i="22"/>
  <c r="AU21" i="22" s="1"/>
  <c r="D27" i="25"/>
  <c r="G27" i="25" s="1"/>
  <c r="N13" i="22"/>
  <c r="AS13" i="22" s="1"/>
  <c r="AD20" i="22"/>
  <c r="E26" i="25" s="1"/>
  <c r="H26" i="25" s="1"/>
  <c r="AP19" i="22"/>
  <c r="AN13" i="22"/>
  <c r="AV13" i="22" s="1"/>
  <c r="AF15" i="22"/>
  <c r="AL14" i="22"/>
  <c r="J14" i="22"/>
  <c r="K14" i="22" s="1"/>
  <c r="AG14" i="22"/>
  <c r="AI14" i="22" s="1"/>
  <c r="AJ14" i="22" s="1"/>
  <c r="AO14" i="22" s="1"/>
  <c r="AE22" i="22"/>
  <c r="AH21" i="22"/>
  <c r="H15" i="22"/>
  <c r="H16" i="22" s="1"/>
  <c r="U14" i="22"/>
  <c r="Q23" i="22"/>
  <c r="R22" i="22"/>
  <c r="T22" i="22" s="1"/>
  <c r="C65" i="22" l="1"/>
  <c r="Z13" i="22"/>
  <c r="AU13" i="22" s="1"/>
  <c r="AA13" i="22"/>
  <c r="V14" i="22"/>
  <c r="O14" i="22"/>
  <c r="H25" i="25"/>
  <c r="H17" i="22"/>
  <c r="J16" i="22"/>
  <c r="K16" i="22" s="1"/>
  <c r="AC22" i="22"/>
  <c r="AU22" i="22" s="1"/>
  <c r="D28" i="25"/>
  <c r="G28" i="25" s="1"/>
  <c r="C42" i="22"/>
  <c r="AN14" i="22"/>
  <c r="AV14" i="22" s="1"/>
  <c r="N14" i="22"/>
  <c r="AS14" i="22" s="1"/>
  <c r="AD21" i="22"/>
  <c r="E27" i="25" s="1"/>
  <c r="H27" i="25" s="1"/>
  <c r="AP20" i="22"/>
  <c r="AF16" i="22"/>
  <c r="AL15" i="22"/>
  <c r="J15" i="22"/>
  <c r="K15" i="22" s="1"/>
  <c r="AG15" i="22"/>
  <c r="AE23" i="22"/>
  <c r="AH22" i="22"/>
  <c r="Q24" i="22"/>
  <c r="R23" i="22"/>
  <c r="T23" i="22" s="1"/>
  <c r="Z14" i="22" l="1"/>
  <c r="AU14" i="22" s="1"/>
  <c r="AA14" i="22"/>
  <c r="V15" i="22"/>
  <c r="O15" i="22"/>
  <c r="N16" i="22"/>
  <c r="AS16" i="22" s="1"/>
  <c r="O16" i="22"/>
  <c r="C53" i="22"/>
  <c r="AC23" i="22"/>
  <c r="AU23" i="22" s="1"/>
  <c r="D29" i="25"/>
  <c r="G29" i="25" s="1"/>
  <c r="J17" i="22"/>
  <c r="K17" i="22" s="1"/>
  <c r="H18" i="22"/>
  <c r="AD22" i="22"/>
  <c r="E28" i="25" s="1"/>
  <c r="H28" i="25" s="1"/>
  <c r="AP21" i="22"/>
  <c r="N15" i="22"/>
  <c r="AF17" i="22"/>
  <c r="AL16" i="22"/>
  <c r="AE24" i="22"/>
  <c r="AH23" i="22"/>
  <c r="AG16" i="22"/>
  <c r="AI15" i="22"/>
  <c r="AJ15" i="22" s="1"/>
  <c r="Q25" i="22"/>
  <c r="R24" i="22"/>
  <c r="T24" i="22" s="1"/>
  <c r="AN15" i="22" l="1"/>
  <c r="AO15" i="22"/>
  <c r="Z15" i="22"/>
  <c r="AU15" i="22" s="1"/>
  <c r="AA15" i="22"/>
  <c r="D67" i="22" s="1"/>
  <c r="D44" i="22"/>
  <c r="N17" i="22"/>
  <c r="AS17" i="22" s="1"/>
  <c r="O17" i="22"/>
  <c r="AC24" i="22"/>
  <c r="AU24" i="22" s="1"/>
  <c r="D30" i="25"/>
  <c r="G30" i="25" s="1"/>
  <c r="H19" i="22"/>
  <c r="J18" i="22"/>
  <c r="K18" i="22" s="1"/>
  <c r="AS15" i="22"/>
  <c r="AV15" i="22"/>
  <c r="AD23" i="22"/>
  <c r="E29" i="25" s="1"/>
  <c r="H29" i="25" s="1"/>
  <c r="AP22" i="22"/>
  <c r="AF18" i="22"/>
  <c r="AL17" i="22"/>
  <c r="AG17" i="22"/>
  <c r="AI16" i="22"/>
  <c r="AJ16" i="22" s="1"/>
  <c r="AE25" i="22"/>
  <c r="AH24" i="22"/>
  <c r="Q26" i="22"/>
  <c r="R25" i="22"/>
  <c r="T25" i="22" s="1"/>
  <c r="AN16" i="22" l="1"/>
  <c r="AV16" i="22" s="1"/>
  <c r="AO16" i="22"/>
  <c r="N18" i="22"/>
  <c r="AS18" i="22" s="1"/>
  <c r="O18" i="22"/>
  <c r="AC25" i="22"/>
  <c r="AU25" i="22" s="1"/>
  <c r="D31" i="25"/>
  <c r="G31" i="25" s="1"/>
  <c r="H20" i="22"/>
  <c r="J20" i="22" s="1"/>
  <c r="K20" i="22" s="1"/>
  <c r="J19" i="22"/>
  <c r="K19" i="22" s="1"/>
  <c r="AD24" i="22"/>
  <c r="E30" i="25" s="1"/>
  <c r="H30" i="25" s="1"/>
  <c r="AP23" i="22"/>
  <c r="AF19" i="22"/>
  <c r="AL18" i="22"/>
  <c r="AE26" i="22"/>
  <c r="AH25" i="22"/>
  <c r="AG18" i="22"/>
  <c r="AI17" i="22"/>
  <c r="AJ17" i="22" s="1"/>
  <c r="Q27" i="22"/>
  <c r="R26" i="22"/>
  <c r="T26" i="22" s="1"/>
  <c r="AN17" i="22" l="1"/>
  <c r="AO17" i="22"/>
  <c r="N19" i="22"/>
  <c r="AS19" i="22" s="1"/>
  <c r="O19" i="22"/>
  <c r="N20" i="22"/>
  <c r="AS20" i="22" s="1"/>
  <c r="O20" i="22"/>
  <c r="AC26" i="22"/>
  <c r="AU26" i="22" s="1"/>
  <c r="D32" i="25"/>
  <c r="G32" i="25" s="1"/>
  <c r="AV17" i="22"/>
  <c r="AD25" i="22"/>
  <c r="E31" i="25" s="1"/>
  <c r="H31" i="25" s="1"/>
  <c r="AP24" i="22"/>
  <c r="AF20" i="22"/>
  <c r="AL19" i="22"/>
  <c r="AG19" i="22"/>
  <c r="AI18" i="22"/>
  <c r="AJ18" i="22" s="1"/>
  <c r="AE27" i="22"/>
  <c r="AH26" i="22"/>
  <c r="Q28" i="22"/>
  <c r="R28" i="22" s="1"/>
  <c r="R27" i="22"/>
  <c r="T27" i="22" s="1"/>
  <c r="C67" i="22" l="1"/>
  <c r="C44" i="22"/>
  <c r="C55" i="22"/>
  <c r="AN18" i="22"/>
  <c r="AV18" i="22" s="1"/>
  <c r="AO18" i="22"/>
  <c r="T28" i="22"/>
  <c r="R29" i="22"/>
  <c r="AC27" i="22"/>
  <c r="AU27" i="22" s="1"/>
  <c r="D33" i="25"/>
  <c r="G33" i="25" s="1"/>
  <c r="AD26" i="22"/>
  <c r="E32" i="25" s="1"/>
  <c r="H32" i="25" s="1"/>
  <c r="AP25" i="22"/>
  <c r="AF21" i="22"/>
  <c r="AL20" i="22"/>
  <c r="AE28" i="22"/>
  <c r="AH27" i="22"/>
  <c r="AG20" i="22"/>
  <c r="AI19" i="22"/>
  <c r="AJ19" i="22" s="1"/>
  <c r="C89" i="22" l="1"/>
  <c r="D89" i="22"/>
  <c r="C77" i="22"/>
  <c r="C82" i="22" s="1"/>
  <c r="C45" i="22"/>
  <c r="C56" i="22" s="1"/>
  <c r="D55" i="22"/>
  <c r="AN19" i="22"/>
  <c r="AV19" i="22" s="1"/>
  <c r="AO19" i="22"/>
  <c r="AH28" i="22"/>
  <c r="AE29" i="22"/>
  <c r="T29" i="22"/>
  <c r="R30" i="22"/>
  <c r="AD29" i="22"/>
  <c r="AC28" i="22"/>
  <c r="AU28" i="22" s="1"/>
  <c r="D34" i="25"/>
  <c r="G34" i="25" s="1"/>
  <c r="AD27" i="22"/>
  <c r="E33" i="25" s="1"/>
  <c r="H33" i="25" s="1"/>
  <c r="AP26" i="22"/>
  <c r="AF22" i="22"/>
  <c r="AL21" i="22"/>
  <c r="AG21" i="22"/>
  <c r="AI20" i="22"/>
  <c r="AJ20" i="22" s="1"/>
  <c r="N40" i="20"/>
  <c r="H60" i="18"/>
  <c r="J26" i="20"/>
  <c r="J27" i="20"/>
  <c r="J28" i="20"/>
  <c r="H43" i="18"/>
  <c r="H42" i="18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F27" i="21"/>
  <c r="F28" i="21"/>
  <c r="F29" i="21"/>
  <c r="F30" i="21"/>
  <c r="F31" i="21"/>
  <c r="F32" i="21"/>
  <c r="F33" i="21"/>
  <c r="F6" i="21"/>
  <c r="U33" i="21"/>
  <c r="S32" i="21"/>
  <c r="U32" i="21" s="1"/>
  <c r="S8" i="21"/>
  <c r="U8" i="21" s="1"/>
  <c r="S9" i="21"/>
  <c r="U9" i="21" s="1"/>
  <c r="S10" i="21"/>
  <c r="U10" i="21" s="1"/>
  <c r="S11" i="21"/>
  <c r="S12" i="21"/>
  <c r="S13" i="21"/>
  <c r="S14" i="21"/>
  <c r="S15" i="21"/>
  <c r="S16" i="21"/>
  <c r="S17" i="21"/>
  <c r="S18" i="21"/>
  <c r="S19" i="21"/>
  <c r="S20" i="21"/>
  <c r="S21" i="21"/>
  <c r="S22" i="21"/>
  <c r="S23" i="21"/>
  <c r="S24" i="21"/>
  <c r="S25" i="21"/>
  <c r="S26" i="21"/>
  <c r="S27" i="21"/>
  <c r="U27" i="21" s="1"/>
  <c r="S28" i="21"/>
  <c r="U28" i="21" s="1"/>
  <c r="S29" i="21"/>
  <c r="U29" i="21" s="1"/>
  <c r="S30" i="21"/>
  <c r="U30" i="21" s="1"/>
  <c r="S31" i="21"/>
  <c r="U31" i="21" s="1"/>
  <c r="S33" i="21"/>
  <c r="S7" i="21"/>
  <c r="U7" i="21" s="1"/>
  <c r="S6" i="21"/>
  <c r="U6" i="21" s="1"/>
  <c r="Q24" i="21"/>
  <c r="Q25" i="21"/>
  <c r="Q26" i="21"/>
  <c r="Q27" i="21"/>
  <c r="Q28" i="21"/>
  <c r="Q29" i="21"/>
  <c r="Q30" i="21"/>
  <c r="Q31" i="21"/>
  <c r="Q32" i="21"/>
  <c r="Q33" i="21"/>
  <c r="P31" i="21"/>
  <c r="O7" i="21"/>
  <c r="O8" i="21"/>
  <c r="O9" i="21"/>
  <c r="O10" i="21"/>
  <c r="O11" i="21"/>
  <c r="O12" i="21"/>
  <c r="O18" i="21"/>
  <c r="O24" i="21"/>
  <c r="O25" i="21"/>
  <c r="O26" i="21"/>
  <c r="O27" i="21"/>
  <c r="O28" i="21"/>
  <c r="O29" i="21"/>
  <c r="O30" i="21"/>
  <c r="O31" i="21"/>
  <c r="O32" i="21"/>
  <c r="O33" i="21"/>
  <c r="O6" i="21"/>
  <c r="M25" i="21"/>
  <c r="M32" i="21"/>
  <c r="L7" i="21"/>
  <c r="P7" i="21" s="1"/>
  <c r="L8" i="21"/>
  <c r="P8" i="21" s="1"/>
  <c r="L9" i="21"/>
  <c r="P9" i="21" s="1"/>
  <c r="L10" i="21"/>
  <c r="P10" i="21" s="1"/>
  <c r="L11" i="21"/>
  <c r="L12" i="21"/>
  <c r="L13" i="21"/>
  <c r="L14" i="21"/>
  <c r="L15" i="21"/>
  <c r="L16" i="21"/>
  <c r="L17" i="21"/>
  <c r="L18" i="21"/>
  <c r="L19" i="21"/>
  <c r="L20" i="21"/>
  <c r="L21" i="21"/>
  <c r="L22" i="21"/>
  <c r="L23" i="21"/>
  <c r="L24" i="21"/>
  <c r="M24" i="21" s="1"/>
  <c r="L25" i="21"/>
  <c r="L26" i="21"/>
  <c r="M26" i="21" s="1"/>
  <c r="L27" i="21"/>
  <c r="M27" i="21" s="1"/>
  <c r="L28" i="21"/>
  <c r="M28" i="21" s="1"/>
  <c r="L29" i="21"/>
  <c r="M29" i="21" s="1"/>
  <c r="L30" i="21"/>
  <c r="M30" i="21" s="1"/>
  <c r="L31" i="21"/>
  <c r="M31" i="21" s="1"/>
  <c r="L32" i="21"/>
  <c r="P32" i="21" s="1"/>
  <c r="L33" i="21"/>
  <c r="P33" i="21" s="1"/>
  <c r="P6" i="21"/>
  <c r="H13" i="21"/>
  <c r="M13" i="21" s="1"/>
  <c r="H6" i="21"/>
  <c r="T11" i="21" s="1"/>
  <c r="G6" i="21"/>
  <c r="G7" i="21" s="1"/>
  <c r="O19" i="21"/>
  <c r="O17" i="21"/>
  <c r="O16" i="21"/>
  <c r="O15" i="21"/>
  <c r="O14" i="21"/>
  <c r="O20" i="21"/>
  <c r="D68" i="18"/>
  <c r="D66" i="18"/>
  <c r="C68" i="18"/>
  <c r="C67" i="18"/>
  <c r="J14" i="20"/>
  <c r="J15" i="20"/>
  <c r="J16" i="20"/>
  <c r="J17" i="20"/>
  <c r="J18" i="20"/>
  <c r="J19" i="20"/>
  <c r="J20" i="20"/>
  <c r="J21" i="20"/>
  <c r="J22" i="20"/>
  <c r="J23" i="20"/>
  <c r="J24" i="20"/>
  <c r="J25" i="20"/>
  <c r="J29" i="20"/>
  <c r="J30" i="20"/>
  <c r="J31" i="20"/>
  <c r="J32" i="20"/>
  <c r="J33" i="20"/>
  <c r="J34" i="20"/>
  <c r="J35" i="20"/>
  <c r="I16" i="20"/>
  <c r="I17" i="20"/>
  <c r="I18" i="20"/>
  <c r="I19" i="20"/>
  <c r="I15" i="20"/>
  <c r="I9" i="20"/>
  <c r="I10" i="20"/>
  <c r="I11" i="20"/>
  <c r="I12" i="20"/>
  <c r="I13" i="20"/>
  <c r="I14" i="20"/>
  <c r="H9" i="20"/>
  <c r="J9" i="20" s="1"/>
  <c r="H10" i="20"/>
  <c r="J10" i="20" s="1"/>
  <c r="H11" i="20"/>
  <c r="J11" i="20" s="1"/>
  <c r="H12" i="20"/>
  <c r="J12" i="20" s="1"/>
  <c r="H13" i="20"/>
  <c r="J13" i="20" s="1"/>
  <c r="H14" i="20"/>
  <c r="H8" i="20"/>
  <c r="J8" i="20" s="1"/>
  <c r="G19" i="18"/>
  <c r="G20" i="18"/>
  <c r="G21" i="18" s="1"/>
  <c r="G22" i="18" s="1"/>
  <c r="G18" i="18"/>
  <c r="G17" i="18"/>
  <c r="AB10" i="18"/>
  <c r="AB11" i="18"/>
  <c r="AB12" i="18"/>
  <c r="AB13" i="18"/>
  <c r="AB14" i="18"/>
  <c r="AB15" i="18"/>
  <c r="AB16" i="18"/>
  <c r="AB17" i="18"/>
  <c r="AB18" i="18"/>
  <c r="AB19" i="18"/>
  <c r="AB20" i="18"/>
  <c r="AB21" i="18"/>
  <c r="AB22" i="18"/>
  <c r="AB23" i="18"/>
  <c r="AB24" i="18"/>
  <c r="AB25" i="18"/>
  <c r="AB26" i="18"/>
  <c r="AB27" i="18"/>
  <c r="AB28" i="18"/>
  <c r="AB29" i="18"/>
  <c r="AB30" i="18"/>
  <c r="AB31" i="18"/>
  <c r="AB32" i="18"/>
  <c r="AB33" i="18"/>
  <c r="AB34" i="18"/>
  <c r="AB35" i="18"/>
  <c r="AB36" i="18"/>
  <c r="AB9" i="18"/>
  <c r="G11" i="18"/>
  <c r="G12" i="18"/>
  <c r="G13" i="18"/>
  <c r="G14" i="18"/>
  <c r="G15" i="18"/>
  <c r="G16" i="18"/>
  <c r="G23" i="18"/>
  <c r="G24" i="18"/>
  <c r="G25" i="18"/>
  <c r="G26" i="18"/>
  <c r="G27" i="18"/>
  <c r="G28" i="18"/>
  <c r="G29" i="18"/>
  <c r="G30" i="18"/>
  <c r="G31" i="18"/>
  <c r="G32" i="18"/>
  <c r="G33" i="18"/>
  <c r="G34" i="18"/>
  <c r="G35" i="18"/>
  <c r="G36" i="18"/>
  <c r="G37" i="18"/>
  <c r="G10" i="18"/>
  <c r="C25" i="19"/>
  <c r="C24" i="19"/>
  <c r="C23" i="19"/>
  <c r="B63" i="17"/>
  <c r="C7" i="19" s="1"/>
  <c r="C45" i="18"/>
  <c r="C44" i="18"/>
  <c r="C43" i="18"/>
  <c r="W11" i="18"/>
  <c r="W12" i="18"/>
  <c r="W13" i="18"/>
  <c r="W14" i="18"/>
  <c r="W15" i="18"/>
  <c r="W16" i="18"/>
  <c r="W17" i="18"/>
  <c r="W18" i="18"/>
  <c r="W19" i="18"/>
  <c r="W20" i="18"/>
  <c r="W21" i="18"/>
  <c r="W22" i="18"/>
  <c r="W23" i="18"/>
  <c r="W24" i="18"/>
  <c r="W25" i="18"/>
  <c r="W26" i="18"/>
  <c r="W27" i="18"/>
  <c r="W28" i="18"/>
  <c r="W29" i="18"/>
  <c r="W30" i="18"/>
  <c r="W31" i="18"/>
  <c r="W32" i="18"/>
  <c r="W33" i="18"/>
  <c r="W34" i="18"/>
  <c r="W35" i="18"/>
  <c r="W36" i="18"/>
  <c r="W37" i="18"/>
  <c r="W10" i="18"/>
  <c r="V11" i="18"/>
  <c r="V12" i="18"/>
  <c r="V13" i="18"/>
  <c r="V14" i="18"/>
  <c r="V15" i="18"/>
  <c r="V16" i="18"/>
  <c r="V17" i="18"/>
  <c r="V18" i="18"/>
  <c r="V19" i="18"/>
  <c r="V20" i="18"/>
  <c r="V21" i="18"/>
  <c r="V22" i="18"/>
  <c r="V23" i="18"/>
  <c r="V24" i="18"/>
  <c r="V25" i="18"/>
  <c r="V26" i="18"/>
  <c r="V27" i="18"/>
  <c r="V28" i="18"/>
  <c r="V29" i="18"/>
  <c r="V30" i="18"/>
  <c r="V31" i="18"/>
  <c r="V32" i="18"/>
  <c r="V33" i="18"/>
  <c r="V34" i="18"/>
  <c r="V35" i="18"/>
  <c r="V36" i="18"/>
  <c r="V37" i="18"/>
  <c r="V10" i="18"/>
  <c r="U37" i="18"/>
  <c r="U11" i="18"/>
  <c r="U12" i="18"/>
  <c r="U13" i="18"/>
  <c r="U14" i="18"/>
  <c r="U15" i="18"/>
  <c r="U16" i="18"/>
  <c r="U17" i="18"/>
  <c r="U18" i="18"/>
  <c r="U19" i="18"/>
  <c r="U20" i="18"/>
  <c r="U21" i="18"/>
  <c r="U22" i="18"/>
  <c r="U23" i="18"/>
  <c r="U24" i="18"/>
  <c r="U25" i="18"/>
  <c r="U26" i="18"/>
  <c r="U27" i="18"/>
  <c r="U28" i="18"/>
  <c r="U29" i="18"/>
  <c r="U30" i="18"/>
  <c r="U31" i="18"/>
  <c r="U32" i="18"/>
  <c r="U33" i="18"/>
  <c r="U34" i="18"/>
  <c r="U35" i="18"/>
  <c r="U36" i="18"/>
  <c r="U10" i="18"/>
  <c r="O11" i="18"/>
  <c r="O12" i="18"/>
  <c r="O13" i="18"/>
  <c r="O14" i="18"/>
  <c r="O15" i="18"/>
  <c r="O16" i="18"/>
  <c r="O17" i="18"/>
  <c r="O18" i="18"/>
  <c r="O19" i="18"/>
  <c r="O20" i="18"/>
  <c r="O21" i="18"/>
  <c r="O22" i="18"/>
  <c r="O23" i="18"/>
  <c r="O24" i="18"/>
  <c r="O25" i="18"/>
  <c r="O26" i="18"/>
  <c r="O27" i="18"/>
  <c r="O28" i="18"/>
  <c r="O29" i="18"/>
  <c r="O30" i="18"/>
  <c r="O31" i="18"/>
  <c r="O32" i="18"/>
  <c r="O33" i="18"/>
  <c r="O34" i="18"/>
  <c r="O35" i="18"/>
  <c r="O36" i="18"/>
  <c r="O37" i="18"/>
  <c r="O10" i="18"/>
  <c r="N11" i="18"/>
  <c r="N12" i="18"/>
  <c r="N13" i="18"/>
  <c r="N14" i="18"/>
  <c r="N15" i="18"/>
  <c r="N16" i="18"/>
  <c r="N17" i="18"/>
  <c r="N18" i="18"/>
  <c r="N19" i="18"/>
  <c r="N20" i="18"/>
  <c r="N21" i="18"/>
  <c r="N22" i="18"/>
  <c r="N23" i="18"/>
  <c r="N24" i="18"/>
  <c r="N25" i="18"/>
  <c r="N26" i="18"/>
  <c r="N27" i="18"/>
  <c r="N28" i="18"/>
  <c r="N29" i="18"/>
  <c r="N30" i="18"/>
  <c r="N31" i="18"/>
  <c r="N32" i="18"/>
  <c r="N33" i="18"/>
  <c r="N34" i="18"/>
  <c r="N35" i="18"/>
  <c r="N36" i="18"/>
  <c r="N37" i="18"/>
  <c r="N10" i="18"/>
  <c r="M11" i="18"/>
  <c r="M12" i="18"/>
  <c r="M13" i="18"/>
  <c r="M14" i="18"/>
  <c r="M15" i="18"/>
  <c r="M16" i="18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10" i="18"/>
  <c r="T11" i="18"/>
  <c r="T12" i="18"/>
  <c r="T13" i="18"/>
  <c r="T14" i="18"/>
  <c r="T15" i="18"/>
  <c r="T16" i="18"/>
  <c r="T17" i="18"/>
  <c r="T18" i="18"/>
  <c r="T19" i="18"/>
  <c r="T20" i="18"/>
  <c r="T21" i="18"/>
  <c r="T22" i="18"/>
  <c r="T23" i="18"/>
  <c r="T24" i="18"/>
  <c r="T25" i="18"/>
  <c r="T26" i="18"/>
  <c r="T27" i="18"/>
  <c r="T28" i="18"/>
  <c r="T29" i="18"/>
  <c r="T30" i="18"/>
  <c r="T31" i="18"/>
  <c r="T32" i="18"/>
  <c r="T33" i="18"/>
  <c r="T34" i="18"/>
  <c r="T35" i="18"/>
  <c r="T36" i="18"/>
  <c r="T37" i="18"/>
  <c r="T10" i="18"/>
  <c r="S12" i="18"/>
  <c r="S13" i="18" s="1"/>
  <c r="S14" i="18" s="1"/>
  <c r="S15" i="18" s="1"/>
  <c r="S16" i="18" s="1"/>
  <c r="S17" i="18" s="1"/>
  <c r="S18" i="18" s="1"/>
  <c r="S19" i="18" s="1"/>
  <c r="S20" i="18" s="1"/>
  <c r="S21" i="18" s="1"/>
  <c r="S22" i="18" s="1"/>
  <c r="S23" i="18" s="1"/>
  <c r="S24" i="18" s="1"/>
  <c r="S25" i="18" s="1"/>
  <c r="S26" i="18" s="1"/>
  <c r="S27" i="18" s="1"/>
  <c r="S28" i="18" s="1"/>
  <c r="S29" i="18" s="1"/>
  <c r="S30" i="18" s="1"/>
  <c r="S31" i="18" s="1"/>
  <c r="S32" i="18" s="1"/>
  <c r="S33" i="18" s="1"/>
  <c r="S34" i="18" s="1"/>
  <c r="S35" i="18" s="1"/>
  <c r="S36" i="18" s="1"/>
  <c r="S37" i="18" s="1"/>
  <c r="S11" i="18"/>
  <c r="C46" i="22" l="1"/>
  <c r="C57" i="22" s="1"/>
  <c r="AN20" i="22"/>
  <c r="AV20" i="22" s="1"/>
  <c r="AO20" i="22"/>
  <c r="AP29" i="22"/>
  <c r="E35" i="25"/>
  <c r="H35" i="25" s="1"/>
  <c r="R31" i="22"/>
  <c r="AD30" i="22"/>
  <c r="T30" i="22"/>
  <c r="D35" i="25"/>
  <c r="G35" i="25" s="1"/>
  <c r="AC29" i="22"/>
  <c r="AU29" i="22" s="1"/>
  <c r="AE30" i="22"/>
  <c r="AH29" i="22"/>
  <c r="C47" i="22"/>
  <c r="C58" i="22" s="1"/>
  <c r="AD28" i="22"/>
  <c r="AP27" i="22"/>
  <c r="AF23" i="22"/>
  <c r="AL22" i="22"/>
  <c r="AG22" i="22"/>
  <c r="AI21" i="22"/>
  <c r="AJ21" i="22" s="1"/>
  <c r="H57" i="18"/>
  <c r="U11" i="21"/>
  <c r="T12" i="21"/>
  <c r="P30" i="21"/>
  <c r="I13" i="21"/>
  <c r="I11" i="21" s="1"/>
  <c r="P11" i="21" s="1"/>
  <c r="M6" i="21"/>
  <c r="R11" i="21" s="1"/>
  <c r="O13" i="21"/>
  <c r="P29" i="21"/>
  <c r="P27" i="21"/>
  <c r="Q13" i="21"/>
  <c r="P28" i="21"/>
  <c r="M33" i="21"/>
  <c r="G8" i="21"/>
  <c r="H14" i="21"/>
  <c r="O23" i="21"/>
  <c r="O22" i="21"/>
  <c r="H7" i="21"/>
  <c r="O21" i="21"/>
  <c r="E37" i="21" s="1"/>
  <c r="I8" i="20"/>
  <c r="AN21" i="22" l="1"/>
  <c r="AV21" i="22" s="1"/>
  <c r="AO21" i="22"/>
  <c r="AE31" i="22"/>
  <c r="AH30" i="22"/>
  <c r="AC30" i="22"/>
  <c r="AU30" i="22" s="1"/>
  <c r="D36" i="25"/>
  <c r="G36" i="25" s="1"/>
  <c r="AP30" i="22"/>
  <c r="E36" i="25"/>
  <c r="H36" i="25" s="1"/>
  <c r="AP28" i="22"/>
  <c r="E34" i="25"/>
  <c r="H34" i="25" s="1"/>
  <c r="R32" i="22"/>
  <c r="AD31" i="22"/>
  <c r="T31" i="22"/>
  <c r="AF24" i="22"/>
  <c r="AL23" i="22"/>
  <c r="AG23" i="22"/>
  <c r="AI22" i="22"/>
  <c r="AJ22" i="22" s="1"/>
  <c r="T13" i="21"/>
  <c r="U12" i="21"/>
  <c r="R12" i="21"/>
  <c r="R13" i="21" s="1"/>
  <c r="R14" i="21" s="1"/>
  <c r="R15" i="21" s="1"/>
  <c r="R16" i="21" s="1"/>
  <c r="R17" i="21" s="1"/>
  <c r="R18" i="21" s="1"/>
  <c r="R19" i="21" s="1"/>
  <c r="R20" i="21" s="1"/>
  <c r="R21" i="21" s="1"/>
  <c r="R22" i="21" s="1"/>
  <c r="R23" i="21" s="1"/>
  <c r="R24" i="21" s="1"/>
  <c r="R25" i="21" s="1"/>
  <c r="R26" i="21" s="1"/>
  <c r="M14" i="21"/>
  <c r="Q14" i="21"/>
  <c r="H8" i="21"/>
  <c r="M7" i="21"/>
  <c r="G9" i="21"/>
  <c r="H15" i="21"/>
  <c r="AN22" i="22" l="1"/>
  <c r="AV22" i="22" s="1"/>
  <c r="AO22" i="22"/>
  <c r="D37" i="25"/>
  <c r="G37" i="25" s="1"/>
  <c r="AC31" i="22"/>
  <c r="AU31" i="22" s="1"/>
  <c r="AP31" i="22"/>
  <c r="E37" i="25"/>
  <c r="H37" i="25" s="1"/>
  <c r="R33" i="22"/>
  <c r="AD32" i="22"/>
  <c r="T32" i="22"/>
  <c r="AE32" i="22"/>
  <c r="AH31" i="22"/>
  <c r="AF25" i="22"/>
  <c r="AL24" i="22"/>
  <c r="AG24" i="22"/>
  <c r="AI23" i="22"/>
  <c r="AJ23" i="22" s="1"/>
  <c r="T14" i="21"/>
  <c r="U13" i="21"/>
  <c r="M15" i="21"/>
  <c r="Q15" i="21"/>
  <c r="R34" i="21"/>
  <c r="G10" i="21"/>
  <c r="H16" i="21"/>
  <c r="H9" i="21"/>
  <c r="M8" i="21"/>
  <c r="AN23" i="22" l="1"/>
  <c r="AV23" i="22" s="1"/>
  <c r="AO23" i="22"/>
  <c r="AP32" i="22"/>
  <c r="E38" i="25"/>
  <c r="H38" i="25" s="1"/>
  <c r="R34" i="22"/>
  <c r="T33" i="22"/>
  <c r="AD33" i="22"/>
  <c r="AE33" i="22"/>
  <c r="AH32" i="22"/>
  <c r="D38" i="25"/>
  <c r="G38" i="25" s="1"/>
  <c r="AC32" i="22"/>
  <c r="AU32" i="22" s="1"/>
  <c r="AF26" i="22"/>
  <c r="AL25" i="22"/>
  <c r="AG25" i="22"/>
  <c r="AI24" i="22"/>
  <c r="AJ24" i="22" s="1"/>
  <c r="T15" i="21"/>
  <c r="U14" i="21"/>
  <c r="M16" i="21"/>
  <c r="Q16" i="21"/>
  <c r="H10" i="21"/>
  <c r="M9" i="21"/>
  <c r="G11" i="21"/>
  <c r="H17" i="21"/>
  <c r="AN24" i="22" l="1"/>
  <c r="AV24" i="22" s="1"/>
  <c r="AO24" i="22"/>
  <c r="D39" i="25"/>
  <c r="G39" i="25" s="1"/>
  <c r="AC33" i="22"/>
  <c r="AU33" i="22" s="1"/>
  <c r="AE34" i="22"/>
  <c r="AH33" i="22"/>
  <c r="AP33" i="22"/>
  <c r="E39" i="25"/>
  <c r="H39" i="25" s="1"/>
  <c r="R35" i="22"/>
  <c r="AD34" i="22"/>
  <c r="T34" i="22"/>
  <c r="AF27" i="22"/>
  <c r="AL26" i="22"/>
  <c r="AG26" i="22"/>
  <c r="AI25" i="22"/>
  <c r="AJ25" i="22" s="1"/>
  <c r="T16" i="21"/>
  <c r="U15" i="21"/>
  <c r="M17" i="21"/>
  <c r="Q17" i="21"/>
  <c r="G12" i="21"/>
  <c r="H18" i="21"/>
  <c r="H11" i="21"/>
  <c r="M10" i="21"/>
  <c r="AN25" i="22" l="1"/>
  <c r="AV25" i="22" s="1"/>
  <c r="AO25" i="22"/>
  <c r="AP34" i="22"/>
  <c r="E40" i="25"/>
  <c r="H40" i="25" s="1"/>
  <c r="AD35" i="22"/>
  <c r="T35" i="22"/>
  <c r="AE35" i="22"/>
  <c r="AH35" i="22" s="1"/>
  <c r="AH34" i="22"/>
  <c r="AC34" i="22"/>
  <c r="AU34" i="22" s="1"/>
  <c r="D40" i="25"/>
  <c r="G40" i="25" s="1"/>
  <c r="AF28" i="22"/>
  <c r="AL27" i="22"/>
  <c r="AG27" i="22"/>
  <c r="AI26" i="22"/>
  <c r="AJ26" i="22" s="1"/>
  <c r="T17" i="21"/>
  <c r="U16" i="21"/>
  <c r="M18" i="21"/>
  <c r="Q18" i="21"/>
  <c r="H12" i="21"/>
  <c r="M11" i="21"/>
  <c r="G13" i="21"/>
  <c r="H19" i="21"/>
  <c r="AN26" i="22" l="1"/>
  <c r="AV26" i="22" s="1"/>
  <c r="AO26" i="22"/>
  <c r="AL28" i="22"/>
  <c r="AF29" i="22"/>
  <c r="D41" i="25"/>
  <c r="G41" i="25" s="1"/>
  <c r="AC35" i="22"/>
  <c r="D65" i="22" s="1"/>
  <c r="AP35" i="22"/>
  <c r="E65" i="22" s="1"/>
  <c r="E41" i="25"/>
  <c r="H41" i="25" s="1"/>
  <c r="AG28" i="22"/>
  <c r="AI27" i="22"/>
  <c r="AJ27" i="22" s="1"/>
  <c r="T18" i="21"/>
  <c r="U17" i="21"/>
  <c r="M19" i="21"/>
  <c r="Q19" i="21"/>
  <c r="M12" i="21"/>
  <c r="G14" i="21"/>
  <c r="H20" i="21"/>
  <c r="D75" i="22" l="1"/>
  <c r="C75" i="22"/>
  <c r="C80" i="22" s="1"/>
  <c r="C81" i="22" s="1"/>
  <c r="C90" i="22"/>
  <c r="C91" i="22" s="1"/>
  <c r="C92" i="22" s="1"/>
  <c r="C93" i="22" s="1"/>
  <c r="C94" i="22" s="1"/>
  <c r="AN27" i="22"/>
  <c r="AV27" i="22" s="1"/>
  <c r="AO27" i="22"/>
  <c r="E42" i="22"/>
  <c r="E53" i="22" s="1"/>
  <c r="AU35" i="22"/>
  <c r="D42" i="22"/>
  <c r="AF30" i="22"/>
  <c r="AL29" i="22"/>
  <c r="AI28" i="22"/>
  <c r="AJ28" i="22" s="1"/>
  <c r="AG29" i="22"/>
  <c r="T19" i="21"/>
  <c r="U18" i="21"/>
  <c r="M20" i="21"/>
  <c r="Q20" i="21"/>
  <c r="P13" i="21"/>
  <c r="I14" i="21"/>
  <c r="I12" i="21" s="1"/>
  <c r="P12" i="21" s="1"/>
  <c r="G15" i="21"/>
  <c r="H21" i="21"/>
  <c r="AN28" i="22" l="1"/>
  <c r="AV28" i="22" s="1"/>
  <c r="AO28" i="22"/>
  <c r="AF31" i="22"/>
  <c r="AL30" i="22"/>
  <c r="D53" i="22"/>
  <c r="D45" i="22"/>
  <c r="AG30" i="22"/>
  <c r="AI29" i="22"/>
  <c r="AJ29" i="22" s="1"/>
  <c r="T20" i="21"/>
  <c r="U19" i="21"/>
  <c r="M21" i="21"/>
  <c r="Q21" i="21"/>
  <c r="P14" i="21"/>
  <c r="I15" i="21"/>
  <c r="G16" i="21"/>
  <c r="H22" i="21"/>
  <c r="AN29" i="22" l="1"/>
  <c r="AV29" i="22" s="1"/>
  <c r="AO29" i="22"/>
  <c r="AG31" i="22"/>
  <c r="AI30" i="22"/>
  <c r="AJ30" i="22" s="1"/>
  <c r="D46" i="22"/>
  <c r="D57" i="22" s="1"/>
  <c r="D56" i="22"/>
  <c r="D47" i="22"/>
  <c r="AF32" i="22"/>
  <c r="AL31" i="22"/>
  <c r="T21" i="21"/>
  <c r="U20" i="21"/>
  <c r="M22" i="21"/>
  <c r="Q22" i="21"/>
  <c r="I16" i="21"/>
  <c r="P15" i="21"/>
  <c r="G17" i="21"/>
  <c r="G18" i="21" s="1"/>
  <c r="G19" i="21" s="1"/>
  <c r="G20" i="21" s="1"/>
  <c r="G21" i="21" s="1"/>
  <c r="G22" i="21" s="1"/>
  <c r="G23" i="21" s="1"/>
  <c r="H23" i="21"/>
  <c r="D58" i="22" l="1"/>
  <c r="AN30" i="22"/>
  <c r="AV30" i="22" s="1"/>
  <c r="AO30" i="22"/>
  <c r="AF33" i="22"/>
  <c r="AL32" i="22"/>
  <c r="AG32" i="22"/>
  <c r="AI31" i="22"/>
  <c r="AJ31" i="22" s="1"/>
  <c r="T22" i="21"/>
  <c r="U21" i="21"/>
  <c r="M23" i="21"/>
  <c r="E36" i="21" s="1"/>
  <c r="Q23" i="21"/>
  <c r="I17" i="21"/>
  <c r="P16" i="21"/>
  <c r="AN31" i="22" l="1"/>
  <c r="AO31" i="22"/>
  <c r="AV31" i="22"/>
  <c r="AG33" i="22"/>
  <c r="AI32" i="22"/>
  <c r="AJ32" i="22" s="1"/>
  <c r="AF34" i="22"/>
  <c r="AL33" i="22"/>
  <c r="T23" i="21"/>
  <c r="U22" i="21"/>
  <c r="P17" i="21"/>
  <c r="I18" i="21"/>
  <c r="AN32" i="22" l="1"/>
  <c r="AV32" i="22" s="1"/>
  <c r="AO32" i="22"/>
  <c r="AF35" i="22"/>
  <c r="AL35" i="22" s="1"/>
  <c r="AL34" i="22"/>
  <c r="AG34" i="22"/>
  <c r="AI33" i="22"/>
  <c r="AJ33" i="22" s="1"/>
  <c r="T24" i="21"/>
  <c r="U23" i="21"/>
  <c r="I19" i="21"/>
  <c r="P18" i="21"/>
  <c r="E69" i="22" l="1"/>
  <c r="AN33" i="22"/>
  <c r="AV33" i="22" s="1"/>
  <c r="AO33" i="22"/>
  <c r="AG35" i="22"/>
  <c r="AI35" i="22" s="1"/>
  <c r="AJ35" i="22" s="1"/>
  <c r="AI34" i="22"/>
  <c r="AJ34" i="22" s="1"/>
  <c r="T25" i="21"/>
  <c r="U24" i="21"/>
  <c r="I20" i="21"/>
  <c r="P19" i="21"/>
  <c r="D79" i="22" l="1"/>
  <c r="AN34" i="22"/>
  <c r="AV34" i="22" s="1"/>
  <c r="AO34" i="22"/>
  <c r="AN35" i="22"/>
  <c r="AV35" i="22" s="1"/>
  <c r="AO35" i="22"/>
  <c r="T26" i="21"/>
  <c r="U26" i="21" s="1"/>
  <c r="U25" i="21"/>
  <c r="I21" i="21"/>
  <c r="P20" i="21"/>
  <c r="E67" i="22" l="1"/>
  <c r="E44" i="22"/>
  <c r="E45" i="22"/>
  <c r="E55" i="22"/>
  <c r="U34" i="21"/>
  <c r="I22" i="21"/>
  <c r="P21" i="21"/>
  <c r="D77" i="22" l="1"/>
  <c r="D80" i="22" s="1"/>
  <c r="D81" i="22" s="1"/>
  <c r="D90" i="22"/>
  <c r="D91" i="22" s="1"/>
  <c r="D92" i="22" s="1"/>
  <c r="D93" i="22" s="1"/>
  <c r="D94" i="22" s="1"/>
  <c r="E56" i="22"/>
  <c r="E46" i="22"/>
  <c r="E57" i="22" s="1"/>
  <c r="I23" i="21"/>
  <c r="P22" i="21"/>
  <c r="E47" i="22" l="1"/>
  <c r="E58" i="22" s="1"/>
  <c r="P23" i="21"/>
  <c r="I24" i="21"/>
  <c r="I25" i="21" l="1"/>
  <c r="P24" i="21"/>
  <c r="I26" i="21" l="1"/>
  <c r="P26" i="21" s="1"/>
  <c r="P25" i="21"/>
  <c r="E38" i="21" s="1"/>
  <c r="C29" i="7" l="1"/>
  <c r="B41" i="17"/>
  <c r="T9" i="17"/>
  <c r="O26" i="17"/>
  <c r="O27" i="17"/>
  <c r="O34" i="17"/>
  <c r="O35" i="17"/>
  <c r="N23" i="17"/>
  <c r="O23" i="17" s="1"/>
  <c r="N26" i="17"/>
  <c r="N27" i="17"/>
  <c r="N34" i="17"/>
  <c r="N35" i="17"/>
  <c r="N8" i="17"/>
  <c r="L14" i="17"/>
  <c r="L22" i="17"/>
  <c r="N22" i="17" s="1"/>
  <c r="O22" i="17" s="1"/>
  <c r="J26" i="17"/>
  <c r="L26" i="17" s="1"/>
  <c r="J27" i="17"/>
  <c r="L27" i="17" s="1"/>
  <c r="J28" i="17"/>
  <c r="L28" i="17" s="1"/>
  <c r="N28" i="17" s="1"/>
  <c r="O28" i="17" s="1"/>
  <c r="J29" i="17"/>
  <c r="L29" i="17" s="1"/>
  <c r="N29" i="17" s="1"/>
  <c r="O29" i="17" s="1"/>
  <c r="J30" i="17"/>
  <c r="L30" i="17" s="1"/>
  <c r="N30" i="17" s="1"/>
  <c r="O30" i="17" s="1"/>
  <c r="J31" i="17"/>
  <c r="L31" i="17" s="1"/>
  <c r="N31" i="17" s="1"/>
  <c r="O31" i="17" s="1"/>
  <c r="J32" i="17"/>
  <c r="L32" i="17" s="1"/>
  <c r="N32" i="17" s="1"/>
  <c r="O32" i="17" s="1"/>
  <c r="J33" i="17"/>
  <c r="L33" i="17" s="1"/>
  <c r="N33" i="17" s="1"/>
  <c r="O33" i="17" s="1"/>
  <c r="J34" i="17"/>
  <c r="L34" i="17" s="1"/>
  <c r="J35" i="17"/>
  <c r="L35" i="17" s="1"/>
  <c r="J25" i="17"/>
  <c r="L25" i="17" s="1"/>
  <c r="N25" i="17" s="1"/>
  <c r="O25" i="17" s="1"/>
  <c r="J22" i="17"/>
  <c r="J23" i="17"/>
  <c r="L23" i="17" s="1"/>
  <c r="J24" i="17"/>
  <c r="L24" i="17" s="1"/>
  <c r="N24" i="17" s="1"/>
  <c r="O24" i="17" s="1"/>
  <c r="J21" i="17"/>
  <c r="L21" i="17" s="1"/>
  <c r="N21" i="17" s="1"/>
  <c r="O21" i="17" s="1"/>
  <c r="J20" i="17"/>
  <c r="L20" i="17" s="1"/>
  <c r="N20" i="17" s="1"/>
  <c r="J16" i="17"/>
  <c r="J17" i="17"/>
  <c r="J18" i="17"/>
  <c r="J19" i="17"/>
  <c r="J15" i="17"/>
  <c r="K20" i="17"/>
  <c r="K16" i="17"/>
  <c r="L16" i="17" s="1"/>
  <c r="N16" i="17" s="1"/>
  <c r="K17" i="17"/>
  <c r="K18" i="17"/>
  <c r="K19" i="17"/>
  <c r="K15" i="17"/>
  <c r="K14" i="17"/>
  <c r="K9" i="17"/>
  <c r="L9" i="17" s="1"/>
  <c r="K10" i="17"/>
  <c r="L10" i="17" s="1"/>
  <c r="K11" i="17"/>
  <c r="L11" i="17" s="1"/>
  <c r="K12" i="17"/>
  <c r="L12" i="17" s="1"/>
  <c r="K13" i="17"/>
  <c r="L13" i="17" s="1"/>
  <c r="K8" i="17"/>
  <c r="L8" i="17" s="1"/>
  <c r="I9" i="17"/>
  <c r="N9" i="17" s="1"/>
  <c r="I10" i="17"/>
  <c r="N10" i="17" s="1"/>
  <c r="I11" i="17"/>
  <c r="N11" i="17" s="1"/>
  <c r="I12" i="17"/>
  <c r="N12" i="17" s="1"/>
  <c r="I13" i="17"/>
  <c r="N13" i="17" s="1"/>
  <c r="I14" i="17"/>
  <c r="N14" i="17" s="1"/>
  <c r="I8" i="17"/>
  <c r="R8" i="17"/>
  <c r="S8" i="17" s="1"/>
  <c r="Q9" i="17"/>
  <c r="R9" i="17" s="1"/>
  <c r="S9" i="17" s="1"/>
  <c r="F9" i="17"/>
  <c r="F10" i="17"/>
  <c r="F11" i="17"/>
  <c r="F12" i="17"/>
  <c r="F13" i="17"/>
  <c r="F14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8" i="17"/>
  <c r="T8" i="17" s="1"/>
  <c r="D16" i="17"/>
  <c r="F16" i="17" s="1"/>
  <c r="D17" i="17"/>
  <c r="F17" i="17" s="1"/>
  <c r="D18" i="17"/>
  <c r="F18" i="17" s="1"/>
  <c r="D19" i="17"/>
  <c r="F19" i="17" s="1"/>
  <c r="D20" i="17"/>
  <c r="F20" i="17" s="1"/>
  <c r="D15" i="17"/>
  <c r="F15" i="17" s="1"/>
  <c r="D98" i="8"/>
  <c r="D99" i="8"/>
  <c r="D100" i="8"/>
  <c r="D101" i="8"/>
  <c r="D102" i="8"/>
  <c r="D97" i="8"/>
  <c r="C98" i="8"/>
  <c r="C99" i="8"/>
  <c r="C100" i="8"/>
  <c r="C101" i="8"/>
  <c r="C102" i="8"/>
  <c r="B98" i="8"/>
  <c r="B99" i="8"/>
  <c r="B100" i="8"/>
  <c r="B101" i="8"/>
  <c r="B102" i="8"/>
  <c r="B97" i="8"/>
  <c r="K70" i="8"/>
  <c r="K71" i="8"/>
  <c r="K72" i="8"/>
  <c r="K73" i="8"/>
  <c r="K78" i="8"/>
  <c r="K79" i="8"/>
  <c r="K80" i="8"/>
  <c r="K81" i="8"/>
  <c r="K82" i="8"/>
  <c r="K83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E70" i="8"/>
  <c r="E71" i="8"/>
  <c r="E72" i="8"/>
  <c r="E73" i="8"/>
  <c r="E74" i="8"/>
  <c r="E75" i="8"/>
  <c r="E76" i="8"/>
  <c r="E77" i="8"/>
  <c r="E78" i="8"/>
  <c r="E79" i="8"/>
  <c r="E80" i="8"/>
  <c r="E81" i="8"/>
  <c r="F81" i="8" s="1"/>
  <c r="E82" i="8"/>
  <c r="E83" i="8"/>
  <c r="E57" i="8"/>
  <c r="E58" i="8"/>
  <c r="E59" i="8"/>
  <c r="E60" i="8"/>
  <c r="E61" i="8"/>
  <c r="E62" i="8"/>
  <c r="E56" i="8"/>
  <c r="I45" i="8"/>
  <c r="C70" i="8"/>
  <c r="C73" i="8"/>
  <c r="C75" i="8"/>
  <c r="L75" i="8" s="1"/>
  <c r="C78" i="8"/>
  <c r="C81" i="8"/>
  <c r="C83" i="8"/>
  <c r="C58" i="8"/>
  <c r="L58" i="8" s="1"/>
  <c r="C59" i="8"/>
  <c r="L59" i="8" s="1"/>
  <c r="I31" i="8"/>
  <c r="C69" i="8" s="1"/>
  <c r="I32" i="8"/>
  <c r="I33" i="8"/>
  <c r="C71" i="8" s="1"/>
  <c r="I34" i="8"/>
  <c r="C72" i="8" s="1"/>
  <c r="I35" i="8"/>
  <c r="I36" i="8"/>
  <c r="C74" i="8" s="1"/>
  <c r="I37" i="8"/>
  <c r="I38" i="8"/>
  <c r="C76" i="8" s="1"/>
  <c r="I39" i="8"/>
  <c r="C77" i="8" s="1"/>
  <c r="I40" i="8"/>
  <c r="I41" i="8"/>
  <c r="C79" i="8" s="1"/>
  <c r="I42" i="8"/>
  <c r="C80" i="8" s="1"/>
  <c r="I43" i="8"/>
  <c r="I44" i="8"/>
  <c r="C82" i="8" s="1"/>
  <c r="I19" i="8"/>
  <c r="C57" i="8" s="1"/>
  <c r="I20" i="8"/>
  <c r="I21" i="8"/>
  <c r="I22" i="8"/>
  <c r="C60" i="8" s="1"/>
  <c r="I23" i="8"/>
  <c r="C61" i="8" s="1"/>
  <c r="I24" i="8"/>
  <c r="C62" i="8" s="1"/>
  <c r="I18" i="8"/>
  <c r="C56" i="8" s="1"/>
  <c r="E69" i="8"/>
  <c r="H69" i="8"/>
  <c r="K69" i="8"/>
  <c r="O56" i="8"/>
  <c r="N57" i="8"/>
  <c r="O57" i="8" s="1"/>
  <c r="K64" i="8"/>
  <c r="K65" i="8"/>
  <c r="K66" i="8"/>
  <c r="K67" i="8"/>
  <c r="K68" i="8"/>
  <c r="K63" i="8"/>
  <c r="H64" i="8"/>
  <c r="H65" i="8"/>
  <c r="H66" i="8"/>
  <c r="H67" i="8"/>
  <c r="H68" i="8"/>
  <c r="H63" i="8"/>
  <c r="E64" i="8"/>
  <c r="E65" i="8"/>
  <c r="E66" i="8"/>
  <c r="E67" i="8"/>
  <c r="E68" i="8"/>
  <c r="E63" i="8"/>
  <c r="J30" i="8"/>
  <c r="I26" i="8"/>
  <c r="J26" i="8" s="1"/>
  <c r="I27" i="8"/>
  <c r="C65" i="8" s="1"/>
  <c r="I28" i="8"/>
  <c r="C66" i="8" s="1"/>
  <c r="I29" i="8"/>
  <c r="C67" i="8" s="1"/>
  <c r="I30" i="8"/>
  <c r="C68" i="8" s="1"/>
  <c r="I25" i="8"/>
  <c r="C63" i="8" s="1"/>
  <c r="G26" i="8"/>
  <c r="G28" i="8"/>
  <c r="G30" i="8"/>
  <c r="F26" i="8"/>
  <c r="F27" i="8"/>
  <c r="G27" i="8" s="1"/>
  <c r="F28" i="8"/>
  <c r="F29" i="8"/>
  <c r="J29" i="8" s="1"/>
  <c r="F30" i="8"/>
  <c r="F25" i="8"/>
  <c r="G25" i="8" s="1"/>
  <c r="I24" i="4"/>
  <c r="B40" i="4" s="1"/>
  <c r="J24" i="4"/>
  <c r="K24" i="4"/>
  <c r="L24" i="4"/>
  <c r="M24" i="4"/>
  <c r="N24" i="4"/>
  <c r="B42" i="4"/>
  <c r="B41" i="4"/>
  <c r="I81" i="8" l="1"/>
  <c r="I78" i="8"/>
  <c r="L83" i="8"/>
  <c r="I73" i="8"/>
  <c r="L70" i="8"/>
  <c r="L19" i="17"/>
  <c r="N19" i="17" s="1"/>
  <c r="L17" i="17"/>
  <c r="N17" i="17" s="1"/>
  <c r="L15" i="17"/>
  <c r="N15" i="17" s="1"/>
  <c r="L18" i="17"/>
  <c r="N18" i="17" s="1"/>
  <c r="Q10" i="17"/>
  <c r="I79" i="8"/>
  <c r="L79" i="8"/>
  <c r="F79" i="8"/>
  <c r="I62" i="8"/>
  <c r="L62" i="8"/>
  <c r="F62" i="8"/>
  <c r="I72" i="8"/>
  <c r="L72" i="8"/>
  <c r="F72" i="8"/>
  <c r="L63" i="8"/>
  <c r="F63" i="8"/>
  <c r="I63" i="8"/>
  <c r="I61" i="8"/>
  <c r="L61" i="8"/>
  <c r="F61" i="8"/>
  <c r="L69" i="8"/>
  <c r="F69" i="8"/>
  <c r="I69" i="8"/>
  <c r="L65" i="8"/>
  <c r="F65" i="8"/>
  <c r="I65" i="8"/>
  <c r="L57" i="8"/>
  <c r="R57" i="8" s="1"/>
  <c r="F57" i="8"/>
  <c r="P57" i="8" s="1"/>
  <c r="I57" i="8"/>
  <c r="Q57" i="8" s="1"/>
  <c r="I56" i="8"/>
  <c r="L56" i="8"/>
  <c r="F56" i="8"/>
  <c r="I80" i="8"/>
  <c r="L80" i="8"/>
  <c r="F80" i="8"/>
  <c r="I71" i="8"/>
  <c r="L71" i="8"/>
  <c r="F71" i="8"/>
  <c r="I68" i="8"/>
  <c r="F68" i="8"/>
  <c r="L68" i="8"/>
  <c r="I60" i="8"/>
  <c r="L60" i="8"/>
  <c r="F60" i="8"/>
  <c r="F67" i="8"/>
  <c r="L67" i="8"/>
  <c r="L77" i="8"/>
  <c r="F77" i="8"/>
  <c r="I77" i="8"/>
  <c r="I66" i="8"/>
  <c r="F66" i="8"/>
  <c r="L66" i="8"/>
  <c r="L76" i="8"/>
  <c r="F76" i="8"/>
  <c r="I76" i="8"/>
  <c r="I82" i="8"/>
  <c r="F82" i="8"/>
  <c r="L82" i="8"/>
  <c r="F74" i="8"/>
  <c r="I74" i="8"/>
  <c r="L74" i="8"/>
  <c r="I59" i="8"/>
  <c r="I70" i="8"/>
  <c r="C64" i="8"/>
  <c r="N58" i="8"/>
  <c r="F73" i="8"/>
  <c r="I58" i="8"/>
  <c r="L81" i="8"/>
  <c r="L73" i="8"/>
  <c r="J25" i="8"/>
  <c r="I83" i="8"/>
  <c r="I75" i="8"/>
  <c r="J28" i="8"/>
  <c r="F59" i="8"/>
  <c r="F78" i="8"/>
  <c r="F70" i="8"/>
  <c r="L78" i="8"/>
  <c r="J27" i="8"/>
  <c r="B50" i="8" s="1"/>
  <c r="F58" i="8"/>
  <c r="F83" i="8"/>
  <c r="F75" i="8"/>
  <c r="I67" i="8"/>
  <c r="G29" i="8"/>
  <c r="Q11" i="17" l="1"/>
  <c r="R10" i="17"/>
  <c r="P58" i="8"/>
  <c r="L64" i="8"/>
  <c r="I64" i="8"/>
  <c r="F64" i="8"/>
  <c r="P56" i="8"/>
  <c r="R56" i="8"/>
  <c r="Q56" i="8"/>
  <c r="N59" i="8"/>
  <c r="O58" i="8"/>
  <c r="R58" i="8" s="1"/>
  <c r="Q58" i="8"/>
  <c r="S10" i="17" l="1"/>
  <c r="T10" i="17"/>
  <c r="Q12" i="17"/>
  <c r="R11" i="17"/>
  <c r="N60" i="8"/>
  <c r="O59" i="8"/>
  <c r="S11" i="17" l="1"/>
  <c r="T11" i="17"/>
  <c r="Q13" i="17"/>
  <c r="R12" i="17"/>
  <c r="R59" i="8"/>
  <c r="P59" i="8"/>
  <c r="Q59" i="8"/>
  <c r="N61" i="8"/>
  <c r="O60" i="8"/>
  <c r="S12" i="17" l="1"/>
  <c r="B2" i="17" s="1"/>
  <c r="T12" i="17"/>
  <c r="Q14" i="17"/>
  <c r="R13" i="17"/>
  <c r="T13" i="17" s="1"/>
  <c r="Q60" i="8"/>
  <c r="P60" i="8"/>
  <c r="R60" i="8"/>
  <c r="N62" i="8"/>
  <c r="O61" i="8"/>
  <c r="B3" i="17" l="1"/>
  <c r="B42" i="17"/>
  <c r="B43" i="17" s="1"/>
  <c r="Q15" i="17"/>
  <c r="R14" i="17"/>
  <c r="T14" i="17" s="1"/>
  <c r="P61" i="8"/>
  <c r="R61" i="8"/>
  <c r="Q61" i="8"/>
  <c r="N63" i="8"/>
  <c r="O62" i="8"/>
  <c r="G15" i="17" l="1"/>
  <c r="G16" i="17" s="1"/>
  <c r="G17" i="17" s="1"/>
  <c r="B51" i="17"/>
  <c r="G18" i="17"/>
  <c r="Q16" i="17"/>
  <c r="R15" i="17"/>
  <c r="T15" i="17" s="1"/>
  <c r="Q62" i="8"/>
  <c r="R62" i="8"/>
  <c r="P62" i="8"/>
  <c r="N64" i="8"/>
  <c r="O63" i="8"/>
  <c r="G19" i="17" l="1"/>
  <c r="Q17" i="17"/>
  <c r="R16" i="17"/>
  <c r="T16" i="17" s="1"/>
  <c r="N65" i="8"/>
  <c r="O64" i="8"/>
  <c r="P63" i="8"/>
  <c r="C97" i="8" s="1"/>
  <c r="R63" i="8"/>
  <c r="Q63" i="8"/>
  <c r="G20" i="17" l="1"/>
  <c r="Q18" i="17"/>
  <c r="R17" i="17"/>
  <c r="T17" i="17" s="1"/>
  <c r="Q64" i="8"/>
  <c r="P64" i="8"/>
  <c r="R64" i="8"/>
  <c r="N66" i="8"/>
  <c r="O65" i="8"/>
  <c r="Q19" i="17" l="1"/>
  <c r="R18" i="17"/>
  <c r="T18" i="17" s="1"/>
  <c r="Q65" i="8"/>
  <c r="R65" i="8"/>
  <c r="P65" i="8"/>
  <c r="N67" i="8"/>
  <c r="O66" i="8"/>
  <c r="Q20" i="17" l="1"/>
  <c r="R19" i="17"/>
  <c r="T19" i="17" s="1"/>
  <c r="R66" i="8"/>
  <c r="P66" i="8"/>
  <c r="Q66" i="8"/>
  <c r="N68" i="8"/>
  <c r="O67" i="8"/>
  <c r="Q21" i="17" l="1"/>
  <c r="R20" i="17"/>
  <c r="T20" i="17" s="1"/>
  <c r="R67" i="8"/>
  <c r="P67" i="8"/>
  <c r="Q67" i="8"/>
  <c r="N69" i="8"/>
  <c r="O68" i="8"/>
  <c r="Q22" i="17" l="1"/>
  <c r="R21" i="17"/>
  <c r="Q68" i="8"/>
  <c r="P68" i="8"/>
  <c r="R68" i="8"/>
  <c r="N70" i="8"/>
  <c r="O69" i="8"/>
  <c r="T21" i="17" l="1"/>
  <c r="U21" i="17"/>
  <c r="Q23" i="17"/>
  <c r="R22" i="17"/>
  <c r="R69" i="8"/>
  <c r="P69" i="8"/>
  <c r="Q69" i="8"/>
  <c r="N71" i="8"/>
  <c r="O70" i="8"/>
  <c r="U22" i="17" l="1"/>
  <c r="T22" i="17"/>
  <c r="Q24" i="17"/>
  <c r="R23" i="17"/>
  <c r="R70" i="8"/>
  <c r="Q70" i="8"/>
  <c r="P70" i="8"/>
  <c r="N72" i="8"/>
  <c r="O71" i="8"/>
  <c r="T23" i="17" l="1"/>
  <c r="U23" i="17"/>
  <c r="Q25" i="17"/>
  <c r="R24" i="17"/>
  <c r="Q71" i="8"/>
  <c r="R71" i="8"/>
  <c r="P71" i="8"/>
  <c r="N73" i="8"/>
  <c r="O72" i="8"/>
  <c r="T24" i="17" l="1"/>
  <c r="U24" i="17"/>
  <c r="Q26" i="17"/>
  <c r="R25" i="17"/>
  <c r="R72" i="8"/>
  <c r="P72" i="8"/>
  <c r="Q72" i="8"/>
  <c r="N74" i="8"/>
  <c r="O73" i="8"/>
  <c r="T25" i="17" l="1"/>
  <c r="U25" i="17"/>
  <c r="Q27" i="17"/>
  <c r="R26" i="17"/>
  <c r="Q73" i="8"/>
  <c r="P73" i="8"/>
  <c r="R73" i="8"/>
  <c r="N75" i="8"/>
  <c r="O74" i="8"/>
  <c r="U26" i="17" l="1"/>
  <c r="T26" i="17"/>
  <c r="Q28" i="17"/>
  <c r="R27" i="17"/>
  <c r="R74" i="8"/>
  <c r="P74" i="8"/>
  <c r="Q74" i="8"/>
  <c r="N76" i="8"/>
  <c r="O75" i="8"/>
  <c r="U27" i="17" l="1"/>
  <c r="T27" i="17"/>
  <c r="Q29" i="17"/>
  <c r="R28" i="17"/>
  <c r="R75" i="8"/>
  <c r="P75" i="8"/>
  <c r="Q75" i="8"/>
  <c r="N77" i="8"/>
  <c r="O76" i="8"/>
  <c r="U28" i="17" l="1"/>
  <c r="T28" i="17"/>
  <c r="Q30" i="17"/>
  <c r="R29" i="17"/>
  <c r="Q76" i="8"/>
  <c r="R76" i="8"/>
  <c r="P76" i="8"/>
  <c r="N78" i="8"/>
  <c r="O77" i="8"/>
  <c r="T29" i="17" l="1"/>
  <c r="U29" i="17"/>
  <c r="Q31" i="17"/>
  <c r="R30" i="17"/>
  <c r="R77" i="8"/>
  <c r="Q77" i="8"/>
  <c r="P77" i="8"/>
  <c r="N79" i="8"/>
  <c r="O78" i="8"/>
  <c r="T30" i="17" l="1"/>
  <c r="U30" i="17"/>
  <c r="Q32" i="17"/>
  <c r="R31" i="17"/>
  <c r="Q78" i="8"/>
  <c r="P78" i="8"/>
  <c r="R78" i="8"/>
  <c r="N80" i="8"/>
  <c r="O79" i="8"/>
  <c r="T31" i="17" l="1"/>
  <c r="U31" i="17"/>
  <c r="Q33" i="17"/>
  <c r="R32" i="17"/>
  <c r="P79" i="8"/>
  <c r="R79" i="8"/>
  <c r="Q79" i="8"/>
  <c r="N81" i="8"/>
  <c r="O80" i="8"/>
  <c r="T32" i="17" l="1"/>
  <c r="U32" i="17"/>
  <c r="Q34" i="17"/>
  <c r="R33" i="17"/>
  <c r="R80" i="8"/>
  <c r="P80" i="8"/>
  <c r="Q80" i="8"/>
  <c r="N82" i="8"/>
  <c r="O81" i="8"/>
  <c r="U33" i="17" l="1"/>
  <c r="T33" i="17"/>
  <c r="Q35" i="17"/>
  <c r="R35" i="17" s="1"/>
  <c r="R34" i="17"/>
  <c r="P81" i="8"/>
  <c r="Q81" i="8"/>
  <c r="R81" i="8"/>
  <c r="N83" i="8"/>
  <c r="O83" i="8" s="1"/>
  <c r="O82" i="8"/>
  <c r="T34" i="17" l="1"/>
  <c r="U34" i="17"/>
  <c r="U35" i="17"/>
  <c r="T35" i="17"/>
  <c r="B44" i="17" s="1"/>
  <c r="Q82" i="8"/>
  <c r="P82" i="8"/>
  <c r="R82" i="8"/>
  <c r="R83" i="8"/>
  <c r="B87" i="8" s="1"/>
  <c r="Q83" i="8"/>
  <c r="P83" i="8"/>
  <c r="B88" i="8" l="1"/>
  <c r="C17" i="19" s="1"/>
  <c r="D17" i="19" s="1"/>
  <c r="B89" i="8"/>
  <c r="C18" i="19" s="1"/>
  <c r="D18" i="19" s="1"/>
  <c r="C16" i="19"/>
  <c r="D16" i="19" s="1"/>
  <c r="B64" i="17"/>
  <c r="B65" i="17" l="1"/>
  <c r="C6" i="19" s="1"/>
  <c r="C8" i="19" s="1"/>
  <c r="H54" i="18"/>
  <c r="O40" i="20" l="1"/>
  <c r="P40" i="20" s="1"/>
  <c r="H55" i="18"/>
  <c r="H58" i="18" s="1"/>
  <c r="D25" i="19"/>
  <c r="D24" i="19"/>
  <c r="C3" i="18"/>
  <c r="D23" i="19"/>
  <c r="D45" i="18" l="1"/>
  <c r="D44" i="18"/>
  <c r="D43" i="18"/>
  <c r="C57" i="18"/>
  <c r="L10" i="18"/>
  <c r="O8" i="20"/>
  <c r="P8" i="20" l="1"/>
  <c r="O9" i="20"/>
  <c r="L11" i="18"/>
  <c r="Q10" i="18"/>
  <c r="Y10" i="18" s="1"/>
  <c r="C54" i="18"/>
  <c r="C66" i="18"/>
  <c r="H47" i="18"/>
  <c r="C53" i="18"/>
  <c r="K23" i="18" l="1"/>
  <c r="P23" i="18" s="1"/>
  <c r="K17" i="18"/>
  <c r="P17" i="18" s="1"/>
  <c r="K31" i="18"/>
  <c r="P31" i="18" s="1"/>
  <c r="K30" i="18"/>
  <c r="P30" i="18" s="1"/>
  <c r="K26" i="18"/>
  <c r="P26" i="18" s="1"/>
  <c r="K10" i="18"/>
  <c r="P10" i="18" s="1"/>
  <c r="K13" i="18"/>
  <c r="P13" i="18" s="1"/>
  <c r="K34" i="18"/>
  <c r="P34" i="18" s="1"/>
  <c r="K15" i="18"/>
  <c r="P15" i="18" s="1"/>
  <c r="K33" i="18"/>
  <c r="P33" i="18" s="1"/>
  <c r="K27" i="18"/>
  <c r="P27" i="18" s="1"/>
  <c r="K32" i="18"/>
  <c r="P32" i="18" s="1"/>
  <c r="K36" i="18"/>
  <c r="P36" i="18" s="1"/>
  <c r="K24" i="18"/>
  <c r="P24" i="18" s="1"/>
  <c r="K14" i="18"/>
  <c r="P14" i="18" s="1"/>
  <c r="K28" i="18"/>
  <c r="P28" i="18" s="1"/>
  <c r="K25" i="18"/>
  <c r="P25" i="18" s="1"/>
  <c r="K16" i="18"/>
  <c r="P16" i="18" s="1"/>
  <c r="K29" i="18"/>
  <c r="P29" i="18" s="1"/>
  <c r="K35" i="18"/>
  <c r="P35" i="18" s="1"/>
  <c r="K12" i="18"/>
  <c r="P12" i="18" s="1"/>
  <c r="K22" i="18"/>
  <c r="P22" i="18" s="1"/>
  <c r="K18" i="18"/>
  <c r="P18" i="18" s="1"/>
  <c r="K20" i="18"/>
  <c r="P20" i="18" s="1"/>
  <c r="K37" i="18"/>
  <c r="P37" i="18" s="1"/>
  <c r="K19" i="18"/>
  <c r="P19" i="18" s="1"/>
  <c r="K21" i="18"/>
  <c r="P21" i="18" s="1"/>
  <c r="K11" i="18"/>
  <c r="P11" i="18" s="1"/>
  <c r="L12" i="18"/>
  <c r="Q11" i="18"/>
  <c r="Y11" i="18" s="1"/>
  <c r="P9" i="20"/>
  <c r="O10" i="20"/>
  <c r="L13" i="18" l="1"/>
  <c r="Q12" i="18"/>
  <c r="Y12" i="18" s="1"/>
  <c r="H48" i="18"/>
  <c r="O11" i="20"/>
  <c r="P10" i="20"/>
  <c r="O12" i="20" l="1"/>
  <c r="P11" i="20"/>
  <c r="L14" i="18"/>
  <c r="Q13" i="18"/>
  <c r="Y13" i="18" s="1"/>
  <c r="Q14" i="18" l="1"/>
  <c r="Y14" i="18" s="1"/>
  <c r="L15" i="18"/>
  <c r="O13" i="20"/>
  <c r="P12" i="20"/>
  <c r="O14" i="20" l="1"/>
  <c r="P13" i="20"/>
  <c r="L16" i="18"/>
  <c r="Q15" i="18"/>
  <c r="Y15" i="18" s="1"/>
  <c r="Q16" i="18" l="1"/>
  <c r="Y16" i="18" s="1"/>
  <c r="L17" i="18"/>
  <c r="P14" i="20"/>
  <c r="O15" i="20"/>
  <c r="O16" i="20" l="1"/>
  <c r="P15" i="20"/>
  <c r="L18" i="18"/>
  <c r="Q17" i="18"/>
  <c r="Y17" i="18" s="1"/>
  <c r="L19" i="18" l="1"/>
  <c r="Q18" i="18"/>
  <c r="Y18" i="18" s="1"/>
  <c r="P16" i="20"/>
  <c r="O17" i="20"/>
  <c r="O18" i="20" l="1"/>
  <c r="P17" i="20"/>
  <c r="L20" i="18"/>
  <c r="Q19" i="18"/>
  <c r="Y19" i="18" s="1"/>
  <c r="Q20" i="18" l="1"/>
  <c r="Y20" i="18" s="1"/>
  <c r="L21" i="18"/>
  <c r="O19" i="20"/>
  <c r="P18" i="20"/>
  <c r="P19" i="20" l="1"/>
  <c r="O20" i="20"/>
  <c r="Q21" i="18"/>
  <c r="Y21" i="18" s="1"/>
  <c r="L22" i="18"/>
  <c r="Q22" i="18" l="1"/>
  <c r="Y22" i="18" s="1"/>
  <c r="L23" i="18"/>
  <c r="O21" i="20"/>
  <c r="P20" i="20"/>
  <c r="O22" i="20" l="1"/>
  <c r="P21" i="20"/>
  <c r="L24" i="18"/>
  <c r="Q23" i="18"/>
  <c r="Y23" i="18" s="1"/>
  <c r="L25" i="18" l="1"/>
  <c r="Q24" i="18"/>
  <c r="Y24" i="18" s="1"/>
  <c r="O23" i="20"/>
  <c r="P22" i="20"/>
  <c r="O24" i="20" l="1"/>
  <c r="P23" i="20"/>
  <c r="L26" i="18"/>
  <c r="Q25" i="18"/>
  <c r="Y25" i="18" s="1"/>
  <c r="L27" i="18" l="1"/>
  <c r="Q26" i="18"/>
  <c r="Y26" i="18" s="1"/>
  <c r="O25" i="20"/>
  <c r="P24" i="20"/>
  <c r="O26" i="20" l="1"/>
  <c r="P25" i="20"/>
  <c r="L28" i="18"/>
  <c r="Q27" i="18"/>
  <c r="Y27" i="18" s="1"/>
  <c r="Q28" i="18" l="1"/>
  <c r="Y28" i="18" s="1"/>
  <c r="L29" i="18"/>
  <c r="O27" i="20"/>
  <c r="P26" i="20"/>
  <c r="O28" i="20" l="1"/>
  <c r="P27" i="20"/>
  <c r="L30" i="18"/>
  <c r="Q29" i="18"/>
  <c r="Y29" i="18" l="1"/>
  <c r="Q30" i="18"/>
  <c r="Y30" i="18" s="1"/>
  <c r="L31" i="18"/>
  <c r="O29" i="20"/>
  <c r="P28" i="20"/>
  <c r="P41" i="20" s="1"/>
  <c r="P29" i="20" l="1"/>
  <c r="O30" i="20"/>
  <c r="L32" i="18"/>
  <c r="Q31" i="18"/>
  <c r="Y31" i="18" s="1"/>
  <c r="L33" i="18" l="1"/>
  <c r="Q32" i="18"/>
  <c r="O31" i="20"/>
  <c r="P30" i="20"/>
  <c r="O32" i="20" l="1"/>
  <c r="P31" i="20"/>
  <c r="Y32" i="18"/>
  <c r="L34" i="18"/>
  <c r="Q33" i="18"/>
  <c r="Y33" i="18" l="1"/>
  <c r="Q34" i="18"/>
  <c r="L35" i="18"/>
  <c r="O33" i="20"/>
  <c r="P32" i="20"/>
  <c r="O34" i="20" l="1"/>
  <c r="P33" i="20"/>
  <c r="L36" i="18"/>
  <c r="Q35" i="18"/>
  <c r="Y35" i="18" s="1"/>
  <c r="Y34" i="18"/>
  <c r="L37" i="18" l="1"/>
  <c r="Q37" i="18" s="1"/>
  <c r="Q36" i="18"/>
  <c r="O35" i="20"/>
  <c r="P35" i="20" s="1"/>
  <c r="P34" i="20"/>
  <c r="O41" i="20" l="1"/>
  <c r="Y36" i="18"/>
  <c r="D46" i="18"/>
  <c r="Y37" i="18"/>
  <c r="J58" i="18"/>
  <c r="C46" i="18" l="1"/>
  <c r="C33" i="7" l="1"/>
  <c r="C54" i="7" s="1"/>
  <c r="J47" i="7"/>
  <c r="J48" i="7" s="1"/>
  <c r="C47" i="7"/>
  <c r="C48" i="7" s="1"/>
  <c r="D45" i="7"/>
  <c r="E45" i="7" s="1"/>
  <c r="F45" i="7" s="1"/>
  <c r="G45" i="7" s="1"/>
  <c r="H45" i="7" s="1"/>
  <c r="I45" i="7" s="1"/>
  <c r="J45" i="7" s="1"/>
  <c r="K45" i="7" s="1"/>
  <c r="L45" i="7" s="1"/>
  <c r="M45" i="7" s="1"/>
  <c r="N45" i="7" s="1"/>
  <c r="O45" i="7" s="1"/>
  <c r="P45" i="7" s="1"/>
  <c r="Q45" i="7" s="1"/>
  <c r="R45" i="7" s="1"/>
  <c r="S45" i="7" s="1"/>
  <c r="T45" i="7" s="1"/>
  <c r="U45" i="7" s="1"/>
  <c r="V45" i="7" s="1"/>
  <c r="W45" i="7" s="1"/>
  <c r="X45" i="7" s="1"/>
  <c r="Y45" i="7" s="1"/>
  <c r="Z45" i="7" s="1"/>
  <c r="AA45" i="7" s="1"/>
  <c r="AB45" i="7" s="1"/>
  <c r="AC45" i="7" s="1"/>
  <c r="AD45" i="7" s="1"/>
  <c r="D44" i="7"/>
  <c r="E44" i="7" s="1"/>
  <c r="F44" i="7" s="1"/>
  <c r="G44" i="7" s="1"/>
  <c r="H44" i="7" s="1"/>
  <c r="I44" i="7" s="1"/>
  <c r="J44" i="7" s="1"/>
  <c r="K44" i="7" s="1"/>
  <c r="L44" i="7" s="1"/>
  <c r="M44" i="7" s="1"/>
  <c r="N44" i="7" s="1"/>
  <c r="O44" i="7" s="1"/>
  <c r="P44" i="7" s="1"/>
  <c r="Q44" i="7" s="1"/>
  <c r="R44" i="7" s="1"/>
  <c r="S44" i="7" s="1"/>
  <c r="T44" i="7" s="1"/>
  <c r="U44" i="7" s="1"/>
  <c r="V44" i="7" s="1"/>
  <c r="W44" i="7" s="1"/>
  <c r="X44" i="7" s="1"/>
  <c r="Y44" i="7" s="1"/>
  <c r="Z44" i="7" s="1"/>
  <c r="AA44" i="7" s="1"/>
  <c r="AB44" i="7" s="1"/>
  <c r="AC44" i="7" s="1"/>
  <c r="AD44" i="7" s="1"/>
  <c r="C19" i="7"/>
  <c r="D19" i="7" s="1"/>
  <c r="E19" i="7" s="1"/>
  <c r="F19" i="7" s="1"/>
  <c r="G19" i="7" s="1"/>
  <c r="H19" i="7" s="1"/>
  <c r="I19" i="7" s="1"/>
  <c r="C18" i="7"/>
  <c r="D18" i="7" s="1"/>
  <c r="E18" i="7" s="1"/>
  <c r="F18" i="7" s="1"/>
  <c r="G18" i="7" s="1"/>
  <c r="H18" i="7" s="1"/>
  <c r="I18" i="7" s="1"/>
  <c r="J18" i="7" s="1"/>
  <c r="K18" i="7" s="1"/>
  <c r="L18" i="7" s="1"/>
  <c r="M18" i="7" s="1"/>
  <c r="N18" i="7" s="1"/>
  <c r="O18" i="7" s="1"/>
  <c r="P18" i="7" s="1"/>
  <c r="Q18" i="7" s="1"/>
  <c r="R18" i="7" s="1"/>
  <c r="S18" i="7" s="1"/>
  <c r="T18" i="7" s="1"/>
  <c r="U18" i="7" s="1"/>
  <c r="V18" i="7" s="1"/>
  <c r="W18" i="7" s="1"/>
  <c r="X18" i="7" s="1"/>
  <c r="Y18" i="7" s="1"/>
  <c r="Z18" i="7" s="1"/>
  <c r="AA18" i="7" s="1"/>
  <c r="AB18" i="7" s="1"/>
  <c r="AC18" i="7" s="1"/>
  <c r="AD18" i="7" s="1"/>
  <c r="I6" i="7"/>
  <c r="I5" i="7"/>
  <c r="G7" i="7"/>
  <c r="C10" i="7"/>
  <c r="L7" i="1"/>
  <c r="C9" i="7" s="1"/>
  <c r="M7" i="1"/>
  <c r="C19" i="1"/>
  <c r="D19" i="1" s="1"/>
  <c r="E19" i="1" s="1"/>
  <c r="F19" i="1" s="1"/>
  <c r="G19" i="1" s="1"/>
  <c r="H19" i="1" s="1"/>
  <c r="I19" i="1" s="1"/>
  <c r="B10" i="4"/>
  <c r="B19" i="4"/>
  <c r="B26" i="4" s="1"/>
  <c r="B18" i="4"/>
  <c r="B25" i="4" s="1"/>
  <c r="B17" i="4"/>
  <c r="B24" i="4" s="1"/>
  <c r="A3" i="6"/>
  <c r="A4" i="6" s="1"/>
  <c r="I16" i="4"/>
  <c r="J16" i="4" s="1"/>
  <c r="K16" i="4" s="1"/>
  <c r="L16" i="4" s="1"/>
  <c r="M16" i="4" s="1"/>
  <c r="N16" i="4" s="1"/>
  <c r="C15" i="4"/>
  <c r="D15" i="4" s="1"/>
  <c r="E15" i="4" s="1"/>
  <c r="F15" i="4" s="1"/>
  <c r="G15" i="4" s="1"/>
  <c r="H15" i="4" s="1"/>
  <c r="I15" i="4" s="1"/>
  <c r="J15" i="4" s="1"/>
  <c r="K15" i="4" s="1"/>
  <c r="L15" i="4" s="1"/>
  <c r="M15" i="4" s="1"/>
  <c r="N15" i="4" s="1"/>
  <c r="O15" i="4" s="1"/>
  <c r="P15" i="4" s="1"/>
  <c r="Q15" i="4" s="1"/>
  <c r="R15" i="4" s="1"/>
  <c r="S15" i="4" s="1"/>
  <c r="T15" i="4" s="1"/>
  <c r="U15" i="4" s="1"/>
  <c r="V15" i="4" s="1"/>
  <c r="W15" i="4" s="1"/>
  <c r="X15" i="4" s="1"/>
  <c r="Y15" i="4" s="1"/>
  <c r="Z15" i="4" s="1"/>
  <c r="AA15" i="4" s="1"/>
  <c r="AB15" i="4" s="1"/>
  <c r="AC15" i="4" s="1"/>
  <c r="C14" i="4"/>
  <c r="D14" i="4" s="1"/>
  <c r="E14" i="4" s="1"/>
  <c r="F14" i="4" s="1"/>
  <c r="G14" i="4" s="1"/>
  <c r="H14" i="4" s="1"/>
  <c r="I14" i="4" s="1"/>
  <c r="J14" i="4" s="1"/>
  <c r="K14" i="4" s="1"/>
  <c r="L14" i="4" s="1"/>
  <c r="M14" i="4" s="1"/>
  <c r="N14" i="4" s="1"/>
  <c r="O14" i="4" s="1"/>
  <c r="P14" i="4" s="1"/>
  <c r="Q14" i="4" s="1"/>
  <c r="R14" i="4" s="1"/>
  <c r="S14" i="4" s="1"/>
  <c r="T14" i="4" s="1"/>
  <c r="U14" i="4" s="1"/>
  <c r="V14" i="4" s="1"/>
  <c r="W14" i="4" s="1"/>
  <c r="X14" i="4" s="1"/>
  <c r="Y14" i="4" s="1"/>
  <c r="Z14" i="4" s="1"/>
  <c r="AA14" i="4" s="1"/>
  <c r="AB14" i="4" s="1"/>
  <c r="AC14" i="4" s="1"/>
  <c r="C24" i="3"/>
  <c r="D24" i="3" s="1"/>
  <c r="E24" i="3" s="1"/>
  <c r="F24" i="3" s="1"/>
  <c r="G24" i="3" s="1"/>
  <c r="H24" i="3" s="1"/>
  <c r="I24" i="3" s="1"/>
  <c r="J24" i="3" s="1"/>
  <c r="K24" i="3" s="1"/>
  <c r="L24" i="3" s="1"/>
  <c r="M24" i="3" s="1"/>
  <c r="N24" i="3" s="1"/>
  <c r="O24" i="3" s="1"/>
  <c r="P24" i="3" s="1"/>
  <c r="Q24" i="3" s="1"/>
  <c r="R24" i="3" s="1"/>
  <c r="S24" i="3" s="1"/>
  <c r="T24" i="3" s="1"/>
  <c r="U24" i="3" s="1"/>
  <c r="V24" i="3" s="1"/>
  <c r="W24" i="3" s="1"/>
  <c r="X24" i="3" s="1"/>
  <c r="Y24" i="3" s="1"/>
  <c r="Z24" i="3" s="1"/>
  <c r="AA24" i="3" s="1"/>
  <c r="AB24" i="3" s="1"/>
  <c r="AC24" i="3" s="1"/>
  <c r="C23" i="3"/>
  <c r="D23" i="3" s="1"/>
  <c r="E23" i="3" s="1"/>
  <c r="F23" i="3" s="1"/>
  <c r="G23" i="3" s="1"/>
  <c r="H23" i="3" s="1"/>
  <c r="I23" i="3" s="1"/>
  <c r="J23" i="3" s="1"/>
  <c r="K23" i="3" s="1"/>
  <c r="L23" i="3" s="1"/>
  <c r="M23" i="3" s="1"/>
  <c r="N23" i="3" s="1"/>
  <c r="O23" i="3" s="1"/>
  <c r="P23" i="3" s="1"/>
  <c r="Q23" i="3" s="1"/>
  <c r="R23" i="3" s="1"/>
  <c r="S23" i="3" s="1"/>
  <c r="T23" i="3" s="1"/>
  <c r="U23" i="3" s="1"/>
  <c r="V23" i="3" s="1"/>
  <c r="W23" i="3" s="1"/>
  <c r="X23" i="3" s="1"/>
  <c r="Y23" i="3" s="1"/>
  <c r="Z23" i="3" s="1"/>
  <c r="AA23" i="3" s="1"/>
  <c r="AB23" i="3" s="1"/>
  <c r="AC23" i="3" s="1"/>
  <c r="B18" i="3"/>
  <c r="B19" i="3" s="1"/>
  <c r="D13" i="3"/>
  <c r="B20" i="3" s="1"/>
  <c r="B21" i="3" s="1"/>
  <c r="I25" i="3" s="1"/>
  <c r="B7" i="3"/>
  <c r="L8" i="1"/>
  <c r="F8" i="1"/>
  <c r="B10" i="2"/>
  <c r="B12" i="2" s="1"/>
  <c r="C16" i="2"/>
  <c r="C17" i="2" s="1"/>
  <c r="B16" i="2"/>
  <c r="B17" i="2" s="1"/>
  <c r="B7" i="2"/>
  <c r="D17" i="2" s="1"/>
  <c r="B6" i="2"/>
  <c r="B5" i="2"/>
  <c r="B8" i="2" s="1"/>
  <c r="B13" i="1"/>
  <c r="J19" i="1" s="1"/>
  <c r="K19" i="1" s="1"/>
  <c r="L19" i="1" s="1"/>
  <c r="M19" i="1" s="1"/>
  <c r="N19" i="1" s="1"/>
  <c r="O19" i="1" s="1"/>
  <c r="B9" i="1"/>
  <c r="C17" i="1"/>
  <c r="I7" i="7" l="1"/>
  <c r="H8" i="17" s="1"/>
  <c r="J25" i="3"/>
  <c r="K25" i="3" s="1"/>
  <c r="L25" i="3" s="1"/>
  <c r="M25" i="3" s="1"/>
  <c r="N25" i="3" s="1"/>
  <c r="B27" i="3"/>
  <c r="A5" i="6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I18" i="4"/>
  <c r="I25" i="4" s="1"/>
  <c r="AA18" i="4"/>
  <c r="AA25" i="4" s="1"/>
  <c r="D17" i="4"/>
  <c r="D24" i="4" s="1"/>
  <c r="AC18" i="4"/>
  <c r="AC25" i="4" s="1"/>
  <c r="N7" i="1"/>
  <c r="E9" i="1" s="1"/>
  <c r="E10" i="1" s="1"/>
  <c r="C20" i="1" s="1"/>
  <c r="D20" i="1" s="1"/>
  <c r="E20" i="1" s="1"/>
  <c r="F20" i="1" s="1"/>
  <c r="G20" i="1" s="1"/>
  <c r="H20" i="1" s="1"/>
  <c r="I20" i="1" s="1"/>
  <c r="M8" i="1"/>
  <c r="K48" i="7"/>
  <c r="L48" i="7" s="1"/>
  <c r="M48" i="7" s="1"/>
  <c r="N48" i="7" s="1"/>
  <c r="O48" i="7" s="1"/>
  <c r="K47" i="7"/>
  <c r="L47" i="7" s="1"/>
  <c r="M47" i="7" s="1"/>
  <c r="N47" i="7" s="1"/>
  <c r="O47" i="7" s="1"/>
  <c r="C35" i="7"/>
  <c r="C20" i="7"/>
  <c r="D20" i="7" s="1"/>
  <c r="E20" i="7" s="1"/>
  <c r="F20" i="7" s="1"/>
  <c r="G20" i="7" s="1"/>
  <c r="H20" i="7" s="1"/>
  <c r="I20" i="7" s="1"/>
  <c r="D48" i="7"/>
  <c r="E48" i="7" s="1"/>
  <c r="F48" i="7" s="1"/>
  <c r="G48" i="7" s="1"/>
  <c r="H48" i="7" s="1"/>
  <c r="I48" i="7" s="1"/>
  <c r="D47" i="7"/>
  <c r="E47" i="7" s="1"/>
  <c r="F47" i="7" s="1"/>
  <c r="G47" i="7" s="1"/>
  <c r="H47" i="7" s="1"/>
  <c r="I47" i="7" s="1"/>
  <c r="N8" i="1"/>
  <c r="AC17" i="4"/>
  <c r="AC24" i="4" s="1"/>
  <c r="T17" i="4"/>
  <c r="T24" i="4" s="1"/>
  <c r="K17" i="4"/>
  <c r="J19" i="4"/>
  <c r="J26" i="4" s="1"/>
  <c r="AA17" i="4"/>
  <c r="AA24" i="4" s="1"/>
  <c r="R17" i="4"/>
  <c r="R24" i="4" s="1"/>
  <c r="Q19" i="4"/>
  <c r="Q26" i="4" s="1"/>
  <c r="H19" i="4"/>
  <c r="H26" i="4" s="1"/>
  <c r="Z17" i="4"/>
  <c r="Z24" i="4" s="1"/>
  <c r="Y19" i="4"/>
  <c r="Y26" i="4" s="1"/>
  <c r="P19" i="4"/>
  <c r="P26" i="4" s="1"/>
  <c r="G19" i="4"/>
  <c r="G26" i="4" s="1"/>
  <c r="E18" i="4"/>
  <c r="E25" i="4" s="1"/>
  <c r="X19" i="4"/>
  <c r="X26" i="4" s="1"/>
  <c r="O19" i="4"/>
  <c r="O26" i="4" s="1"/>
  <c r="M18" i="4"/>
  <c r="M25" i="4" s="1"/>
  <c r="D18" i="4"/>
  <c r="D25" i="4" s="1"/>
  <c r="W19" i="4"/>
  <c r="W26" i="4" s="1"/>
  <c r="L18" i="4"/>
  <c r="L25" i="4" s="1"/>
  <c r="C18" i="4"/>
  <c r="C25" i="4" s="1"/>
  <c r="V19" i="4"/>
  <c r="V26" i="4" s="1"/>
  <c r="C19" i="4"/>
  <c r="C26" i="4" s="1"/>
  <c r="K18" i="4"/>
  <c r="K25" i="4" s="1"/>
  <c r="U19" i="4"/>
  <c r="U26" i="4" s="1"/>
  <c r="K19" i="4"/>
  <c r="K26" i="4" s="1"/>
  <c r="B20" i="4" a="1"/>
  <c r="B20" i="4" s="1"/>
  <c r="C17" i="4"/>
  <c r="C24" i="4" s="1"/>
  <c r="X18" i="4"/>
  <c r="X25" i="4" s="1"/>
  <c r="P18" i="4"/>
  <c r="P25" i="4" s="1"/>
  <c r="H18" i="4"/>
  <c r="H25" i="4" s="1"/>
  <c r="AB19" i="4"/>
  <c r="AB26" i="4" s="1"/>
  <c r="D19" i="4"/>
  <c r="D26" i="4" s="1"/>
  <c r="H9" i="17" l="1"/>
  <c r="O8" i="17"/>
  <c r="U8" i="17" s="1"/>
  <c r="T18" i="4"/>
  <c r="T25" i="4" s="1"/>
  <c r="V18" i="4"/>
  <c r="V25" i="4" s="1"/>
  <c r="M17" i="4"/>
  <c r="W18" i="4"/>
  <c r="W25" i="4" s="1"/>
  <c r="AC19" i="4"/>
  <c r="AC26" i="4" s="1"/>
  <c r="R18" i="4"/>
  <c r="R25" i="4" s="1"/>
  <c r="I19" i="4"/>
  <c r="I26" i="4" s="1"/>
  <c r="N17" i="4"/>
  <c r="E17" i="4"/>
  <c r="E24" i="4" s="1"/>
  <c r="B31" i="4" s="1"/>
  <c r="O18" i="4"/>
  <c r="O25" i="4" s="1"/>
  <c r="G18" i="4"/>
  <c r="G25" i="4" s="1"/>
  <c r="U17" i="4"/>
  <c r="U24" i="4" s="1"/>
  <c r="Y18" i="4"/>
  <c r="Y25" i="4" s="1"/>
  <c r="J17" i="4"/>
  <c r="AB17" i="4"/>
  <c r="AB24" i="4" s="1"/>
  <c r="F17" i="4"/>
  <c r="F24" i="4" s="1"/>
  <c r="U18" i="4"/>
  <c r="U25" i="4" s="1"/>
  <c r="N18" i="4"/>
  <c r="N25" i="4" s="1"/>
  <c r="F18" i="4"/>
  <c r="F25" i="4" s="1"/>
  <c r="B32" i="4" s="1"/>
  <c r="Z19" i="4"/>
  <c r="Z26" i="4" s="1"/>
  <c r="S19" i="4"/>
  <c r="S26" i="4" s="1"/>
  <c r="F10" i="1"/>
  <c r="J20" i="1" s="1"/>
  <c r="K20" i="1" s="1"/>
  <c r="L20" i="1" s="1"/>
  <c r="M20" i="1" s="1"/>
  <c r="N20" i="1" s="1"/>
  <c r="O20" i="1" s="1"/>
  <c r="C36" i="7"/>
  <c r="C49" i="7" s="1"/>
  <c r="F9" i="1"/>
  <c r="L17" i="4"/>
  <c r="L19" i="4"/>
  <c r="L26" i="4" s="1"/>
  <c r="V17" i="4"/>
  <c r="V24" i="4" s="1"/>
  <c r="W17" i="4"/>
  <c r="W24" i="4" s="1"/>
  <c r="O17" i="4"/>
  <c r="O24" i="4" s="1"/>
  <c r="G17" i="4"/>
  <c r="G24" i="4" s="1"/>
  <c r="Q18" i="4"/>
  <c r="Q25" i="4" s="1"/>
  <c r="J18" i="4"/>
  <c r="J25" i="4" s="1"/>
  <c r="T19" i="4"/>
  <c r="T26" i="4" s="1"/>
  <c r="E19" i="4"/>
  <c r="E26" i="4" s="1"/>
  <c r="B33" i="4" s="1"/>
  <c r="X17" i="4"/>
  <c r="X24" i="4" s="1"/>
  <c r="P17" i="4"/>
  <c r="P24" i="4" s="1"/>
  <c r="H17" i="4"/>
  <c r="H24" i="4" s="1"/>
  <c r="Z18" i="4"/>
  <c r="Z25" i="4" s="1"/>
  <c r="S18" i="4"/>
  <c r="S25" i="4" s="1"/>
  <c r="R19" i="4"/>
  <c r="R26" i="4" s="1"/>
  <c r="AA19" i="4"/>
  <c r="AA26" i="4" s="1"/>
  <c r="M19" i="4"/>
  <c r="M26" i="4" s="1"/>
  <c r="N19" i="4"/>
  <c r="N26" i="4" s="1"/>
  <c r="F19" i="4"/>
  <c r="F26" i="4" s="1"/>
  <c r="Y17" i="4"/>
  <c r="Y24" i="4" s="1"/>
  <c r="Q17" i="4"/>
  <c r="Q24" i="4" s="1"/>
  <c r="I17" i="4"/>
  <c r="AB18" i="4"/>
  <c r="AB25" i="4" s="1"/>
  <c r="S17" i="4"/>
  <c r="S24" i="4" s="1"/>
  <c r="C11" i="7"/>
  <c r="C21" i="7" s="1"/>
  <c r="C22" i="7" s="1"/>
  <c r="D22" i="7" s="1"/>
  <c r="E22" i="7" s="1"/>
  <c r="F22" i="7" s="1"/>
  <c r="G22" i="7" s="1"/>
  <c r="H22" i="7" s="1"/>
  <c r="I22" i="7" s="1"/>
  <c r="C56" i="7"/>
  <c r="C27" i="7"/>
  <c r="C37" i="7" l="1"/>
  <c r="J49" i="7" s="1"/>
  <c r="H10" i="17"/>
  <c r="O9" i="17"/>
  <c r="U9" i="17" s="1"/>
  <c r="D21" i="7"/>
  <c r="E21" i="7" s="1"/>
  <c r="F21" i="7" s="1"/>
  <c r="G21" i="7" s="1"/>
  <c r="H21" i="7" s="1"/>
  <c r="I21" i="7" s="1"/>
  <c r="D49" i="7"/>
  <c r="C50" i="7"/>
  <c r="D50" i="7" s="1"/>
  <c r="E50" i="7" s="1"/>
  <c r="F50" i="7" s="1"/>
  <c r="G50" i="7" s="1"/>
  <c r="H50" i="7" s="1"/>
  <c r="I50" i="7" s="1"/>
  <c r="C28" i="7" l="1"/>
  <c r="C62" i="7" s="1"/>
  <c r="H11" i="17"/>
  <c r="O10" i="17"/>
  <c r="U10" i="17" s="1"/>
  <c r="K49" i="7"/>
  <c r="L49" i="7" s="1"/>
  <c r="M49" i="7" s="1"/>
  <c r="N49" i="7" s="1"/>
  <c r="O49" i="7" s="1"/>
  <c r="J50" i="7"/>
  <c r="K50" i="7" s="1"/>
  <c r="L50" i="7" s="1"/>
  <c r="M50" i="7" s="1"/>
  <c r="N50" i="7" s="1"/>
  <c r="O50" i="7" s="1"/>
  <c r="E49" i="7"/>
  <c r="F49" i="7" s="1"/>
  <c r="G49" i="7" s="1"/>
  <c r="H49" i="7" s="1"/>
  <c r="I49" i="7" s="1"/>
  <c r="C57" i="7"/>
  <c r="C58" i="7" s="1"/>
  <c r="D18" i="1"/>
  <c r="D17" i="1" s="1"/>
  <c r="H12" i="17" l="1"/>
  <c r="O11" i="17"/>
  <c r="U11" i="17" s="1"/>
  <c r="E18" i="1"/>
  <c r="C59" i="7"/>
  <c r="D62" i="7"/>
  <c r="E62" i="7" s="1"/>
  <c r="C67" i="7" s="1"/>
  <c r="C68" i="7" s="1"/>
  <c r="H13" i="17" l="1"/>
  <c r="O12" i="17"/>
  <c r="U12" i="17" s="1"/>
  <c r="F18" i="1"/>
  <c r="E17" i="1"/>
  <c r="H14" i="17" l="1"/>
  <c r="O13" i="17"/>
  <c r="U13" i="17" s="1"/>
  <c r="G18" i="1"/>
  <c r="F17" i="1"/>
  <c r="H15" i="17" l="1"/>
  <c r="O14" i="17"/>
  <c r="U14" i="17" s="1"/>
  <c r="H18" i="1"/>
  <c r="G17" i="1"/>
  <c r="H16" i="17" l="1"/>
  <c r="O15" i="17"/>
  <c r="U15" i="17" s="1"/>
  <c r="I18" i="1"/>
  <c r="H17" i="1"/>
  <c r="H17" i="17" l="1"/>
  <c r="O16" i="17"/>
  <c r="U16" i="17" s="1"/>
  <c r="J18" i="1"/>
  <c r="I17" i="1"/>
  <c r="H18" i="17" l="1"/>
  <c r="O17" i="17"/>
  <c r="U17" i="17" s="1"/>
  <c r="K18" i="1"/>
  <c r="J17" i="1"/>
  <c r="H19" i="17" l="1"/>
  <c r="O18" i="17"/>
  <c r="U18" i="17" s="1"/>
  <c r="L18" i="1"/>
  <c r="K17" i="1"/>
  <c r="H20" i="17" l="1"/>
  <c r="O20" i="17" s="1"/>
  <c r="U20" i="17" s="1"/>
  <c r="O19" i="17"/>
  <c r="U19" i="17" s="1"/>
  <c r="M18" i="1"/>
  <c r="L17" i="1"/>
  <c r="B45" i="17" l="1"/>
  <c r="B46" i="17" s="1"/>
  <c r="N18" i="1"/>
  <c r="M17" i="1"/>
  <c r="B47" i="17" l="1"/>
  <c r="B62" i="17" s="1"/>
  <c r="B48" i="17"/>
  <c r="B61" i="17" s="1"/>
  <c r="B53" i="17"/>
  <c r="B54" i="17" s="1"/>
  <c r="B55" i="17" s="1"/>
  <c r="B56" i="17" s="1"/>
  <c r="B57" i="17" s="1"/>
  <c r="O18" i="1"/>
  <c r="N17" i="1"/>
  <c r="P18" i="1" l="1"/>
  <c r="O17" i="1"/>
  <c r="Q18" i="1" l="1"/>
  <c r="P17" i="1"/>
  <c r="R18" i="1" l="1"/>
  <c r="Q17" i="1"/>
  <c r="S18" i="1" l="1"/>
  <c r="R17" i="1"/>
  <c r="T18" i="1" l="1"/>
  <c r="S17" i="1"/>
  <c r="U18" i="1" l="1"/>
  <c r="T17" i="1"/>
  <c r="V18" i="1" l="1"/>
  <c r="U17" i="1"/>
  <c r="W18" i="1" l="1"/>
  <c r="V17" i="1"/>
  <c r="X18" i="1" l="1"/>
  <c r="W17" i="1"/>
  <c r="Y18" i="1" l="1"/>
  <c r="X17" i="1"/>
  <c r="Z18" i="1" l="1"/>
  <c r="Y17" i="1"/>
  <c r="AA18" i="1" l="1"/>
  <c r="Z17" i="1"/>
  <c r="AB18" i="1" l="1"/>
  <c r="AA17" i="1"/>
  <c r="AC18" i="1" l="1"/>
  <c r="AB17" i="1"/>
  <c r="AD18" i="1" l="1"/>
  <c r="AD17" i="1" s="1"/>
  <c r="AC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<sst xmlns="http://schemas.openxmlformats.org/spreadsheetml/2006/main" count="669" uniqueCount="314">
  <si>
    <t>år</t>
  </si>
  <si>
    <t>inntekt</t>
  </si>
  <si>
    <t xml:space="preserve">Analyse periode </t>
  </si>
  <si>
    <t>Tiltak A</t>
  </si>
  <si>
    <t>Økonomisk levetid</t>
  </si>
  <si>
    <t>Oppstartsår</t>
  </si>
  <si>
    <t xml:space="preserve">Inntredelsesår </t>
  </si>
  <si>
    <t>Sluttår</t>
  </si>
  <si>
    <t>LNG pris</t>
  </si>
  <si>
    <t xml:space="preserve">Kvantum </t>
  </si>
  <si>
    <t>Orginal kvantum</t>
  </si>
  <si>
    <t xml:space="preserve">Ekstra </t>
  </si>
  <si>
    <t>Nåverdi</t>
  </si>
  <si>
    <t>2023-2029</t>
  </si>
  <si>
    <t>mill tonn LNG</t>
  </si>
  <si>
    <t>Total kvantum</t>
  </si>
  <si>
    <t>Info</t>
  </si>
  <si>
    <t>Kolonne2</t>
  </si>
  <si>
    <t>Periode</t>
  </si>
  <si>
    <t>År</t>
  </si>
  <si>
    <t>2030-2035</t>
  </si>
  <si>
    <t>2036-2050</t>
  </si>
  <si>
    <t>kvantum</t>
  </si>
  <si>
    <t>Inntekt</t>
  </si>
  <si>
    <t>3</t>
  </si>
  <si>
    <t>Platå</t>
  </si>
  <si>
    <t>Kvantum</t>
  </si>
  <si>
    <t>Produksjon</t>
  </si>
  <si>
    <t>Gass til eget forbruk</t>
  </si>
  <si>
    <t>Enhet</t>
  </si>
  <si>
    <t>tonn</t>
  </si>
  <si>
    <t>Verdi</t>
  </si>
  <si>
    <t>kr</t>
  </si>
  <si>
    <t>mill/tonn</t>
  </si>
  <si>
    <t>Pris LNG</t>
  </si>
  <si>
    <t>kapasitet</t>
  </si>
  <si>
    <t>Driftkostnader</t>
  </si>
  <si>
    <t>Prosjektår</t>
  </si>
  <si>
    <t>Lønnkost</t>
  </si>
  <si>
    <t>Lønn kost 1</t>
  </si>
  <si>
    <t>Lønn kost 2</t>
  </si>
  <si>
    <t>lønn</t>
  </si>
  <si>
    <t>energi</t>
  </si>
  <si>
    <t>sum</t>
  </si>
  <si>
    <t>Strømbehov f</t>
  </si>
  <si>
    <t>Strømbehov e</t>
  </si>
  <si>
    <t>pris MWh</t>
  </si>
  <si>
    <t>El-markedet</t>
  </si>
  <si>
    <t>Etterspørselselastisitet</t>
  </si>
  <si>
    <t>Tilbudselastisitet</t>
  </si>
  <si>
    <t>Prisøkning</t>
  </si>
  <si>
    <t>Prisøkning +1</t>
  </si>
  <si>
    <t>MWh</t>
  </si>
  <si>
    <t>NOK/MWh</t>
  </si>
  <si>
    <t>forbruk Nord-Norge</t>
  </si>
  <si>
    <t>Data NO4 2022</t>
  </si>
  <si>
    <t>Pris 2022</t>
  </si>
  <si>
    <t>GWh</t>
  </si>
  <si>
    <t xml:space="preserve">Prognose </t>
  </si>
  <si>
    <t>Ny pris</t>
  </si>
  <si>
    <t>Enhetsverdi</t>
  </si>
  <si>
    <t>Samfunnsøkonomisk verdi</t>
  </si>
  <si>
    <t xml:space="preserve">Prosjektår </t>
  </si>
  <si>
    <t>Kostnadsvirkning</t>
  </si>
  <si>
    <t>n</t>
  </si>
  <si>
    <t xml:space="preserve">Diskonteringsrente </t>
  </si>
  <si>
    <t>1. Kvotepliktig utslipp (unntatt luftfart og petroleum)</t>
  </si>
  <si>
    <t>2. Ikke-kvotepliktig utslipp</t>
  </si>
  <si>
    <t>3. Petroleum</t>
  </si>
  <si>
    <t>4. Luftfart</t>
  </si>
  <si>
    <t>5. Opptak og utslipp i skog- og arealbruk</t>
  </si>
  <si>
    <t xml:space="preserve">Lav bane </t>
  </si>
  <si>
    <t>Høy bane (IPCC 1,5°-bane - median)</t>
  </si>
  <si>
    <t>Nytteverdi av utslippskutt</t>
  </si>
  <si>
    <t>Utslippskutt</t>
  </si>
  <si>
    <t>Analyseperiode</t>
  </si>
  <si>
    <t>Analyseperiode (år)</t>
  </si>
  <si>
    <t>Oppstart år</t>
  </si>
  <si>
    <t>Start utslippskutt</t>
  </si>
  <si>
    <t>Slutt utslippskutt</t>
  </si>
  <si>
    <t>Slutt analyseperiode</t>
  </si>
  <si>
    <t>Kalkulasjonsrente</t>
  </si>
  <si>
    <t>Kalkulasjonsrente +1</t>
  </si>
  <si>
    <t>Hovedprisbane</t>
  </si>
  <si>
    <t>Høyprisbane</t>
  </si>
  <si>
    <t>Lavprisbane</t>
  </si>
  <si>
    <t>Hovedbane</t>
  </si>
  <si>
    <t>Lav</t>
  </si>
  <si>
    <t>Høy</t>
  </si>
  <si>
    <t>Break-even konstant</t>
  </si>
  <si>
    <t>Break-even flytende</t>
  </si>
  <si>
    <t>Samfunnsøkonomisk verdi av utslippskutt</t>
  </si>
  <si>
    <t>Karbonprisbane</t>
  </si>
  <si>
    <t>Netto nåverdi</t>
  </si>
  <si>
    <t>Kontantstrøm</t>
  </si>
  <si>
    <t>Nullalternativ</t>
  </si>
  <si>
    <t>LNG</t>
  </si>
  <si>
    <t>Forbruk gass</t>
  </si>
  <si>
    <t>Forbruk strøm</t>
  </si>
  <si>
    <t>El-kraft</t>
  </si>
  <si>
    <t xml:space="preserve">Strømpris </t>
  </si>
  <si>
    <t>Lønn</t>
  </si>
  <si>
    <t>Kvantum LNG</t>
  </si>
  <si>
    <t>Antall</t>
  </si>
  <si>
    <t>Arbeid</t>
  </si>
  <si>
    <t>Faste ansatte</t>
  </si>
  <si>
    <t>Lærling og kontraktører</t>
  </si>
  <si>
    <t>Totalt</t>
  </si>
  <si>
    <t>Lønnkostnad</t>
  </si>
  <si>
    <t>Start</t>
  </si>
  <si>
    <t>Slutt</t>
  </si>
  <si>
    <t>Salg</t>
  </si>
  <si>
    <t>Faste kostnader</t>
  </si>
  <si>
    <t>Nullalternativ nåverdi</t>
  </si>
  <si>
    <t>Innvesteringskostnad</t>
  </si>
  <si>
    <t>Driftkostnader:</t>
  </si>
  <si>
    <t>Energi</t>
  </si>
  <si>
    <t>Nåverdi tiltak A</t>
  </si>
  <si>
    <t>Investering</t>
  </si>
  <si>
    <t>offentlig finansiering</t>
  </si>
  <si>
    <t>skattefinansierings kostnaden</t>
  </si>
  <si>
    <t>Differanse</t>
  </si>
  <si>
    <t>Graf</t>
  </si>
  <si>
    <t>Av NVE, målt som øre/kWh i reelle 2022-kroner</t>
  </si>
  <si>
    <t xml:space="preserve">Prisbane </t>
  </si>
  <si>
    <t>Base</t>
  </si>
  <si>
    <t xml:space="preserve">Lav </t>
  </si>
  <si>
    <t>Kriftprisprognoser for Nord-Norge</t>
  </si>
  <si>
    <t xml:space="preserve">År </t>
  </si>
  <si>
    <t xml:space="preserve">Pris </t>
  </si>
  <si>
    <t>Pris høy</t>
  </si>
  <si>
    <t>Pris lav</t>
  </si>
  <si>
    <t>Prisøkning (%)</t>
  </si>
  <si>
    <t>Forbruk (TWh)</t>
  </si>
  <si>
    <t>Forbruk (kWh)</t>
  </si>
  <si>
    <t>Kostnad (kr)</t>
  </si>
  <si>
    <t>Prisøkning (øre)</t>
  </si>
  <si>
    <t xml:space="preserve">Nåverdi </t>
  </si>
  <si>
    <t>Pris (øre)</t>
  </si>
  <si>
    <t>Høy prisbane</t>
  </si>
  <si>
    <t>Lav prisbane</t>
  </si>
  <si>
    <t>Hoved prisbane</t>
  </si>
  <si>
    <t>Diskonteringsrente</t>
  </si>
  <si>
    <t>1 + Diskonteringsrente</t>
  </si>
  <si>
    <t>Diskonteringsfaktor</t>
  </si>
  <si>
    <t>1+ Diskonteringsrente</t>
  </si>
  <si>
    <t>1/Diskonteringsfaktor</t>
  </si>
  <si>
    <t>Diskonteringsrente = 7%</t>
  </si>
  <si>
    <t>Diskonterte verdier</t>
  </si>
  <si>
    <t xml:space="preserve">Scenario </t>
  </si>
  <si>
    <t>Forventet pris</t>
  </si>
  <si>
    <t>Høy pris</t>
  </si>
  <si>
    <t>Lav pris</t>
  </si>
  <si>
    <t xml:space="preserve">Figurer </t>
  </si>
  <si>
    <t xml:space="preserve">Kostnad for lokalbefolkningen </t>
  </si>
  <si>
    <t>Status</t>
  </si>
  <si>
    <t>Prosjekt alder</t>
  </si>
  <si>
    <t>Planlegging/utbygging</t>
  </si>
  <si>
    <t>Drift</t>
  </si>
  <si>
    <t xml:space="preserve">Avsluttet </t>
  </si>
  <si>
    <t>Produsksjon</t>
  </si>
  <si>
    <t xml:space="preserve">Driftkostnader </t>
  </si>
  <si>
    <t>Lønnskotnader</t>
  </si>
  <si>
    <t>Innvestering</t>
  </si>
  <si>
    <t>Statnett</t>
  </si>
  <si>
    <t>Totale kostnader</t>
  </si>
  <si>
    <t>diskonteringsfaktor</t>
  </si>
  <si>
    <t>1/diskonteringsfaktor</t>
  </si>
  <si>
    <t xml:space="preserve">Totalt </t>
  </si>
  <si>
    <t xml:space="preserve">Kostnad gasskraft </t>
  </si>
  <si>
    <t>Kostnad elektrisk kraft</t>
  </si>
  <si>
    <t>Strømpris (kr/MWh)</t>
  </si>
  <si>
    <t>Forbruk elektrisk kraft (MWh)</t>
  </si>
  <si>
    <t>Kostnad kraftforbruk</t>
  </si>
  <si>
    <t xml:space="preserve">Diskonterte verdier </t>
  </si>
  <si>
    <t>Prosjektbeskrivelse</t>
  </si>
  <si>
    <t>Produksjon og inntekt</t>
  </si>
  <si>
    <t>Kostnader</t>
  </si>
  <si>
    <t>Kostnad</t>
  </si>
  <si>
    <t>Virkning</t>
  </si>
  <si>
    <t xml:space="preserve">Innvestering </t>
  </si>
  <si>
    <t>Innvesteringer</t>
  </si>
  <si>
    <t xml:space="preserve">Statnett </t>
  </si>
  <si>
    <t>Driftresultat før skatt</t>
  </si>
  <si>
    <t>Skattegrunnlag nullalternativ</t>
  </si>
  <si>
    <t>Skattegrunnlag tiltak A</t>
  </si>
  <si>
    <t>Netto endring beskatningsgrunnlag</t>
  </si>
  <si>
    <t>Direkte virkninger på offentlige budsjetter</t>
  </si>
  <si>
    <t>Netto offentlig finansieringsbehov</t>
  </si>
  <si>
    <t>Skattefinansieringskostnaden</t>
  </si>
  <si>
    <t>Indirekte virkninger på offentlige budsjetter</t>
  </si>
  <si>
    <t>Utslipp_0</t>
  </si>
  <si>
    <t>Utslippskutt A</t>
  </si>
  <si>
    <t>Utslipp_A</t>
  </si>
  <si>
    <t>Utslipp tonn co2-ekvivalenter</t>
  </si>
  <si>
    <t>Karbonprisbane for tre prisscenarioer</t>
  </si>
  <si>
    <t xml:space="preserve">Utslippskostnad </t>
  </si>
  <si>
    <t>Break-even</t>
  </si>
  <si>
    <t>Konstant break-even</t>
  </si>
  <si>
    <t>Diskonteringsrente = 4%</t>
  </si>
  <si>
    <t>Scenario</t>
  </si>
  <si>
    <t>Bedriften</t>
  </si>
  <si>
    <t xml:space="preserve">Det offentlige </t>
  </si>
  <si>
    <t>Lokalbefolkningen</t>
  </si>
  <si>
    <t>Resten av samfunnet</t>
  </si>
  <si>
    <t>Driftresultat etter skatt</t>
  </si>
  <si>
    <t>Skattefrafrag</t>
  </si>
  <si>
    <t>Samlet netto nåverdi</t>
  </si>
  <si>
    <t>Usikkerhetsanalyse</t>
  </si>
  <si>
    <t>Netto Nåverdi</t>
  </si>
  <si>
    <t>Uten strømprisvirkning</t>
  </si>
  <si>
    <t>Samlet</t>
  </si>
  <si>
    <t>Uten utslippsvirkning</t>
  </si>
  <si>
    <t>Følsomhetsanalyse - Strømpris</t>
  </si>
  <si>
    <t>Følsomhetsanalyse - Karbonpris</t>
  </si>
  <si>
    <t>konstant break-evan</t>
  </si>
  <si>
    <t>x</t>
  </si>
  <si>
    <t>KKK</t>
  </si>
  <si>
    <t>0-alternativ</t>
  </si>
  <si>
    <t>null B</t>
  </si>
  <si>
    <t>null H</t>
  </si>
  <si>
    <t>null L</t>
  </si>
  <si>
    <t>utslipp 3</t>
  </si>
  <si>
    <t>Utslippskutt_ A</t>
  </si>
  <si>
    <t>Utslipp_0 (1)</t>
  </si>
  <si>
    <t>Utslipp_0 (2)</t>
  </si>
  <si>
    <t>Uslipp_0 (3)</t>
  </si>
  <si>
    <t>Utslipp_A (1)</t>
  </si>
  <si>
    <t>Utslipp_A (2)</t>
  </si>
  <si>
    <t>Tiltakskost</t>
  </si>
  <si>
    <t>Kost</t>
  </si>
  <si>
    <t>Produsksjon (tonn LNG)</t>
  </si>
  <si>
    <t>Produksjonskapasitet (Sm3)</t>
  </si>
  <si>
    <t>Salgsgass (sm3)</t>
  </si>
  <si>
    <t>USD/MMBTU</t>
  </si>
  <si>
    <t>EUR/MWh</t>
  </si>
  <si>
    <t>NOK/sm3</t>
  </si>
  <si>
    <t>int2</t>
  </si>
  <si>
    <t>NV sm3</t>
  </si>
  <si>
    <t>NV lng</t>
  </si>
  <si>
    <t>diff</t>
  </si>
  <si>
    <t>int diff</t>
  </si>
  <si>
    <t>NV diff</t>
  </si>
  <si>
    <t>ll</t>
  </si>
  <si>
    <t>EQ NOK/sm3</t>
  </si>
  <si>
    <t>int eq</t>
  </si>
  <si>
    <t>pp2</t>
  </si>
  <si>
    <t>Produksjon (sm3LNG)</t>
  </si>
  <si>
    <t>Tiltakskostnad</t>
  </si>
  <si>
    <t>kb</t>
  </si>
  <si>
    <t>nn</t>
  </si>
  <si>
    <t>Null alternativ</t>
  </si>
  <si>
    <t>Energiforbruk (sm3 brenngass)</t>
  </si>
  <si>
    <t>Produksjon (tonn LNG)</t>
  </si>
  <si>
    <t>LNG til salg (sm3)</t>
  </si>
  <si>
    <t>Utslipp (tonn co2)</t>
  </si>
  <si>
    <t>El-energiforbruk (MWh)</t>
  </si>
  <si>
    <t>Lønnskostnader</t>
  </si>
  <si>
    <t>Utslippskostnad</t>
  </si>
  <si>
    <t>Kostnad energiforbruk</t>
  </si>
  <si>
    <t>Kostnader (totalt)</t>
  </si>
  <si>
    <t>Kostnad gassforbruk</t>
  </si>
  <si>
    <t>Kostnad strøm</t>
  </si>
  <si>
    <t>EUR/MWh (base)</t>
  </si>
  <si>
    <t>EUR/MWh (lav)</t>
  </si>
  <si>
    <t>EUR/MWh (høy)</t>
  </si>
  <si>
    <t>NOK/sm3 (base)</t>
  </si>
  <si>
    <t>NOK/sm3 (lav)</t>
  </si>
  <si>
    <t>NOK/sm3 (høy)</t>
  </si>
  <si>
    <t>Gass priser</t>
  </si>
  <si>
    <t>Strømpriser</t>
  </si>
  <si>
    <t>Prisøkning (22,3%)</t>
  </si>
  <si>
    <t>Vedlikehold</t>
  </si>
  <si>
    <t>Anleggsbidrag</t>
  </si>
  <si>
    <t>Tiltak B</t>
  </si>
  <si>
    <t>Produkuksjon LNG (sm3)</t>
  </si>
  <si>
    <t>Kostnad strømforbruk</t>
  </si>
  <si>
    <t xml:space="preserve">Kostnad energiforbruk </t>
  </si>
  <si>
    <t>Total kostnad</t>
  </si>
  <si>
    <t>Bedriftøkonomisk nytte</t>
  </si>
  <si>
    <t xml:space="preserve">Investering </t>
  </si>
  <si>
    <t>Resultat før skatt</t>
  </si>
  <si>
    <t>Resultat etter skatt</t>
  </si>
  <si>
    <t>Skatteavdrag</t>
  </si>
  <si>
    <t xml:space="preserve">minst </t>
  </si>
  <si>
    <t xml:space="preserve">platå </t>
  </si>
  <si>
    <t>sm3 kap</t>
  </si>
  <si>
    <t>Produksjon gass</t>
  </si>
  <si>
    <t>LNG A</t>
  </si>
  <si>
    <t>LNG B</t>
  </si>
  <si>
    <t>B-0</t>
  </si>
  <si>
    <t>A-0</t>
  </si>
  <si>
    <t>Bedriftøkonomisk lønnsomhet</t>
  </si>
  <si>
    <t>Samfunnsøkonomisk lønnsomhet</t>
  </si>
  <si>
    <t>Kostnad (uten utslipp)</t>
  </si>
  <si>
    <t>Nytte</t>
  </si>
  <si>
    <t>Miljøpåvirkning</t>
  </si>
  <si>
    <t>Nullalternativet</t>
  </si>
  <si>
    <t>Reduserte klimagass utslipp</t>
  </si>
  <si>
    <t>NNV per budsjettkrone</t>
  </si>
  <si>
    <t>Samfunnsøkonomisk virkning</t>
  </si>
  <si>
    <t xml:space="preserve">Virkning for det offentlige </t>
  </si>
  <si>
    <t xml:space="preserve">Skattegrunnlag ved tiltak </t>
  </si>
  <si>
    <t>Netto skattefinansieringskostnad</t>
  </si>
  <si>
    <t>Utslipp 0</t>
  </si>
  <si>
    <t>Utslipp B</t>
  </si>
  <si>
    <t>h</t>
  </si>
  <si>
    <t>l</t>
  </si>
  <si>
    <t>Kolonne1</t>
  </si>
  <si>
    <t>Samfunnsøkonomiske virkninger</t>
  </si>
  <si>
    <t>Tiltak</t>
  </si>
  <si>
    <t>Gass og strømpriser fra NVEs langsiktig kraftmarkedsanalyse 2023</t>
  </si>
  <si>
    <t>LNG produksjon ved tiltakene</t>
  </si>
  <si>
    <t>Aggregert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</si>
</sst>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kr&quot;\ #,##0.00_);[Red]\(&quot;kr&quot;\ #,##0.00\)"/>
    <numFmt numFmtId="44" formatCode="_(&quot;kr&quot;\ * #,##0.00_);_(&quot;kr&quot;\ * \(#,##0.00\);_(&quot;kr&quot;\ * &quot;-&quot;??_);_(@_)"/>
    <numFmt numFmtId="43" formatCode="_(* #,##0.00_);_(* \(#,##0.00\);_(* &quot;-&quot;??_);_(@_)"/>
    <numFmt numFmtId="164" formatCode="_(* #,##0_);_(* \(#,##0\);_(* &quot;-&quot;??_);_(@_)"/>
    <numFmt numFmtId="165" formatCode="&quot;kr&quot;\ #,##0.00"/>
    <numFmt numFmtId="166" formatCode="yyyy"/>
    <numFmt numFmtId="170" formatCode="&quot;kr&quot;\ #,##0"/>
    <numFmt numFmtId="171" formatCode="0.0\ %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001C37"/>
      <name val="Arial"/>
      <family val="2"/>
    </font>
    <font>
      <sz val="11"/>
      <name val="Calibri"/>
      <family val="2"/>
      <scheme val="minor"/>
    </font>
    <font>
      <b/>
      <u/>
      <sz val="12"/>
      <color rgb="FFFF40FF"/>
      <name val="Calibri"/>
      <family val="2"/>
      <scheme val="minor"/>
    </font>
    <font>
      <b/>
      <sz val="12"/>
      <color theme="1"/>
      <name val="Calibri (Brødtekst)"/>
    </font>
    <font>
      <sz val="12"/>
      <color rgb="FFFCD3FF"/>
      <name val="Calibri"/>
      <family val="2"/>
      <scheme val="minor"/>
    </font>
    <font>
      <sz val="12"/>
      <color rgb="FFF8EB84"/>
      <name val="Calibri"/>
      <family val="2"/>
      <scheme val="minor"/>
    </font>
    <font>
      <b/>
      <sz val="16"/>
      <color theme="1"/>
      <name val="Calibri (Brødtekst)"/>
    </font>
    <font>
      <b/>
      <sz val="20"/>
      <color theme="1"/>
      <name val="Calibri (Brødtekst)"/>
    </font>
    <font>
      <b/>
      <sz val="22"/>
      <color theme="1"/>
      <name val="Calibri (Brødtekst)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CD3FF"/>
        <bgColor indexed="64"/>
      </patternFill>
    </fill>
    <fill>
      <patternFill patternType="solid">
        <fgColor rgb="FFF8EB8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DBED"/>
        <bgColor indexed="64"/>
      </patternFill>
    </fill>
    <fill>
      <patternFill patternType="solid">
        <fgColor rgb="FFAFFFB0"/>
        <bgColor indexed="64"/>
      </patternFill>
    </fill>
    <fill>
      <patternFill patternType="solid">
        <fgColor rgb="FFFF40FF"/>
        <bgColor indexed="64"/>
      </patternFill>
    </fill>
    <fill>
      <patternFill patternType="solid">
        <fgColor rgb="FFFFB3F5"/>
        <bgColor indexed="64"/>
      </patternFill>
    </fill>
    <fill>
      <patternFill patternType="solid">
        <fgColor rgb="FFB9BDFF"/>
        <bgColor indexed="64"/>
      </patternFill>
    </fill>
  </fills>
  <borders count="31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8">
    <xf numFmtId="0" fontId="0" fillId="0" borderId="0" xfId="0"/>
    <xf numFmtId="1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9" fontId="0" fillId="0" borderId="0" xfId="2" applyFont="1"/>
    <xf numFmtId="0" fontId="0" fillId="0" borderId="0" xfId="2" applyNumberFormat="1" applyFont="1"/>
    <xf numFmtId="3" fontId="4" fillId="0" borderId="0" xfId="0" applyNumberFormat="1" applyFont="1"/>
    <xf numFmtId="8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166" fontId="0" fillId="0" borderId="0" xfId="0" applyNumberFormat="1"/>
    <xf numFmtId="1" fontId="5" fillId="0" borderId="0" xfId="0" applyNumberFormat="1" applyFont="1"/>
    <xf numFmtId="1" fontId="0" fillId="2" borderId="2" xfId="0" applyNumberFormat="1" applyFill="1" applyBorder="1"/>
    <xf numFmtId="1" fontId="0" fillId="0" borderId="2" xfId="0" applyNumberFormat="1" applyBorder="1"/>
    <xf numFmtId="1" fontId="0" fillId="2" borderId="1" xfId="0" applyNumberFormat="1" applyFill="1" applyBorder="1"/>
    <xf numFmtId="1" fontId="0" fillId="0" borderId="1" xfId="0" applyNumberFormat="1" applyBorder="1"/>
    <xf numFmtId="1" fontId="5" fillId="2" borderId="1" xfId="0" applyNumberFormat="1" applyFont="1" applyFill="1" applyBorder="1"/>
    <xf numFmtId="1" fontId="5" fillId="0" borderId="1" xfId="0" applyNumberFormat="1" applyFont="1" applyBorder="1"/>
    <xf numFmtId="0" fontId="2" fillId="0" borderId="0" xfId="0" applyFont="1"/>
    <xf numFmtId="170" fontId="0" fillId="0" borderId="0" xfId="0" applyNumberFormat="1"/>
    <xf numFmtId="0" fontId="0" fillId="3" borderId="0" xfId="0" applyFill="1"/>
    <xf numFmtId="171" fontId="0" fillId="0" borderId="0" xfId="2" applyNumberFormat="1" applyFont="1"/>
    <xf numFmtId="44" fontId="0" fillId="0" borderId="0" xfId="3" applyFont="1"/>
    <xf numFmtId="10" fontId="0" fillId="0" borderId="0" xfId="0" applyNumberFormat="1"/>
    <xf numFmtId="44" fontId="0" fillId="0" borderId="0" xfId="0" applyNumberFormat="1"/>
    <xf numFmtId="0" fontId="0" fillId="0" borderId="0" xfId="0" applyNumberFormat="1"/>
    <xf numFmtId="2" fontId="0" fillId="0" borderId="0" xfId="3" applyNumberFormat="1" applyFont="1"/>
    <xf numFmtId="2" fontId="0" fillId="0" borderId="0" xfId="0" applyNumberFormat="1"/>
    <xf numFmtId="0" fontId="2" fillId="3" borderId="3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2" fillId="4" borderId="3" xfId="0" applyFont="1" applyFill="1" applyBorder="1"/>
    <xf numFmtId="0" fontId="0" fillId="4" borderId="3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7" fillId="5" borderId="3" xfId="0" applyFont="1" applyFill="1" applyBorder="1"/>
    <xf numFmtId="0" fontId="0" fillId="5" borderId="3" xfId="0" applyFill="1" applyBorder="1"/>
    <xf numFmtId="0" fontId="2" fillId="0" borderId="3" xfId="0" applyFont="1" applyBorder="1"/>
    <xf numFmtId="0" fontId="0" fillId="0" borderId="3" xfId="0" applyBorder="1"/>
    <xf numFmtId="0" fontId="2" fillId="6" borderId="3" xfId="0" applyFont="1" applyFill="1" applyBorder="1"/>
    <xf numFmtId="0" fontId="0" fillId="6" borderId="3" xfId="0" applyFill="1" applyBorder="1"/>
    <xf numFmtId="0" fontId="0" fillId="0" borderId="6" xfId="0" applyBorder="1"/>
    <xf numFmtId="2" fontId="0" fillId="0" borderId="7" xfId="3" applyNumberFormat="1" applyFont="1" applyBorder="1"/>
    <xf numFmtId="171" fontId="0" fillId="0" borderId="7" xfId="2" applyNumberFormat="1" applyFont="1" applyBorder="1"/>
    <xf numFmtId="2" fontId="0" fillId="0" borderId="7" xfId="0" applyNumberFormat="1" applyBorder="1"/>
    <xf numFmtId="0" fontId="0" fillId="0" borderId="7" xfId="0" applyNumberFormat="1" applyBorder="1"/>
    <xf numFmtId="0" fontId="0" fillId="0" borderId="7" xfId="0" applyBorder="1"/>
    <xf numFmtId="170" fontId="0" fillId="0" borderId="8" xfId="0" applyNumberFormat="1" applyBorder="1"/>
    <xf numFmtId="2" fontId="0" fillId="0" borderId="0" xfId="3" applyNumberFormat="1" applyFont="1" applyBorder="1"/>
    <xf numFmtId="171" fontId="0" fillId="0" borderId="0" xfId="2" applyNumberFormat="1" applyFont="1" applyBorder="1"/>
    <xf numFmtId="2" fontId="0" fillId="0" borderId="0" xfId="0" applyNumberFormat="1" applyBorder="1"/>
    <xf numFmtId="0" fontId="0" fillId="0" borderId="0" xfId="0" applyNumberFormat="1" applyBorder="1"/>
    <xf numFmtId="170" fontId="0" fillId="0" borderId="9" xfId="0" applyNumberFormat="1" applyBorder="1"/>
    <xf numFmtId="0" fontId="0" fillId="0" borderId="10" xfId="0" applyBorder="1"/>
    <xf numFmtId="2" fontId="0" fillId="0" borderId="5" xfId="3" applyNumberFormat="1" applyFont="1" applyBorder="1"/>
    <xf numFmtId="171" fontId="0" fillId="0" borderId="5" xfId="2" applyNumberFormat="1" applyFont="1" applyBorder="1"/>
    <xf numFmtId="2" fontId="0" fillId="0" borderId="5" xfId="0" applyNumberFormat="1" applyBorder="1"/>
    <xf numFmtId="0" fontId="0" fillId="0" borderId="5" xfId="0" applyNumberFormat="1" applyBorder="1"/>
    <xf numFmtId="170" fontId="0" fillId="0" borderId="11" xfId="0" applyNumberFormat="1" applyBorder="1"/>
    <xf numFmtId="0" fontId="7" fillId="3" borderId="3" xfId="0" applyFont="1" applyFill="1" applyBorder="1"/>
    <xf numFmtId="0" fontId="8" fillId="3" borderId="3" xfId="0" applyFont="1" applyFill="1" applyBorder="1"/>
    <xf numFmtId="0" fontId="2" fillId="7" borderId="3" xfId="0" applyFont="1" applyFill="1" applyBorder="1"/>
    <xf numFmtId="0" fontId="0" fillId="7" borderId="3" xfId="0" applyFill="1" applyBorder="1"/>
    <xf numFmtId="165" fontId="0" fillId="0" borderId="0" xfId="3" applyNumberFormat="1" applyFont="1"/>
    <xf numFmtId="165" fontId="0" fillId="0" borderId="3" xfId="3" applyNumberFormat="1" applyFont="1" applyBorder="1"/>
    <xf numFmtId="44" fontId="0" fillId="0" borderId="0" xfId="3" applyNumberFormat="1" applyFont="1"/>
    <xf numFmtId="165" fontId="0" fillId="0" borderId="0" xfId="0" applyNumberFormat="1" applyBorder="1"/>
    <xf numFmtId="165" fontId="0" fillId="0" borderId="0" xfId="3" applyNumberFormat="1" applyFont="1" applyBorder="1"/>
    <xf numFmtId="165" fontId="0" fillId="0" borderId="3" xfId="0" applyNumberFormat="1" applyBorder="1"/>
    <xf numFmtId="0" fontId="2" fillId="0" borderId="0" xfId="0" applyFont="1" applyBorder="1"/>
    <xf numFmtId="0" fontId="2" fillId="9" borderId="3" xfId="0" applyFont="1" applyFill="1" applyBorder="1"/>
    <xf numFmtId="0" fontId="0" fillId="9" borderId="3" xfId="0" applyFill="1" applyBorder="1"/>
    <xf numFmtId="0" fontId="0" fillId="9" borderId="0" xfId="0" applyFill="1"/>
    <xf numFmtId="3" fontId="0" fillId="0" borderId="0" xfId="0" applyNumberFormat="1"/>
    <xf numFmtId="1" fontId="0" fillId="0" borderId="0" xfId="0" applyNumberFormat="1" applyFont="1" applyFill="1" applyBorder="1"/>
    <xf numFmtId="1" fontId="5" fillId="0" borderId="0" xfId="0" applyNumberFormat="1" applyFont="1" applyFill="1" applyBorder="1"/>
    <xf numFmtId="0" fontId="7" fillId="4" borderId="3" xfId="0" applyFont="1" applyFill="1" applyBorder="1"/>
    <xf numFmtId="0" fontId="9" fillId="4" borderId="3" xfId="0" applyFont="1" applyFill="1" applyBorder="1"/>
    <xf numFmtId="0" fontId="2" fillId="10" borderId="3" xfId="0" applyFont="1" applyFill="1" applyBorder="1"/>
    <xf numFmtId="0" fontId="0" fillId="10" borderId="3" xfId="0" applyFill="1" applyBorder="1"/>
    <xf numFmtId="44" fontId="0" fillId="0" borderId="3" xfId="0" applyNumberFormat="1" applyBorder="1"/>
    <xf numFmtId="44" fontId="0" fillId="0" borderId="3" xfId="3" applyFont="1" applyBorder="1"/>
    <xf numFmtId="0" fontId="0" fillId="3" borderId="3" xfId="0" applyFill="1" applyBorder="1"/>
    <xf numFmtId="0" fontId="10" fillId="0" borderId="0" xfId="0" applyFont="1"/>
    <xf numFmtId="0" fontId="11" fillId="0" borderId="0" xfId="0" applyFont="1"/>
    <xf numFmtId="0" fontId="11" fillId="0" borderId="3" xfId="0" applyFont="1" applyBorder="1"/>
    <xf numFmtId="44" fontId="0" fillId="0" borderId="5" xfId="3" applyFont="1" applyBorder="1"/>
    <xf numFmtId="44" fontId="0" fillId="0" borderId="0" xfId="3" applyFont="1" applyBorder="1"/>
    <xf numFmtId="0" fontId="0" fillId="0" borderId="12" xfId="0" applyBorder="1"/>
    <xf numFmtId="8" fontId="0" fillId="0" borderId="12" xfId="3" applyNumberFormat="1" applyFont="1" applyBorder="1"/>
    <xf numFmtId="0" fontId="0" fillId="0" borderId="13" xfId="0" applyBorder="1"/>
    <xf numFmtId="44" fontId="0" fillId="0" borderId="13" xfId="3" applyFont="1" applyBorder="1"/>
    <xf numFmtId="0" fontId="0" fillId="7" borderId="0" xfId="0" applyFill="1"/>
    <xf numFmtId="0" fontId="0" fillId="0" borderId="0" xfId="0" quotePrefix="1"/>
    <xf numFmtId="44" fontId="0" fillId="0" borderId="5" xfId="0" applyNumberFormat="1" applyBorder="1"/>
    <xf numFmtId="44" fontId="0" fillId="0" borderId="12" xfId="0" applyNumberFormat="1" applyBorder="1"/>
    <xf numFmtId="0" fontId="0" fillId="0" borderId="0" xfId="0" applyFill="1" applyBorder="1"/>
    <xf numFmtId="165" fontId="0" fillId="0" borderId="5" xfId="2" applyNumberFormat="1" applyFont="1" applyBorder="1"/>
    <xf numFmtId="0" fontId="0" fillId="0" borderId="15" xfId="0" applyBorder="1"/>
    <xf numFmtId="44" fontId="0" fillId="0" borderId="16" xfId="3" applyFont="1" applyBorder="1"/>
    <xf numFmtId="44" fontId="0" fillId="0" borderId="17" xfId="3" applyFont="1" applyBorder="1"/>
    <xf numFmtId="0" fontId="0" fillId="0" borderId="18" xfId="0" applyBorder="1"/>
    <xf numFmtId="44" fontId="0" fillId="0" borderId="19" xfId="3" applyFont="1" applyBorder="1"/>
    <xf numFmtId="0" fontId="0" fillId="0" borderId="20" xfId="0" applyBorder="1"/>
    <xf numFmtId="44" fontId="0" fillId="0" borderId="21" xfId="3" applyFont="1" applyBorder="1"/>
    <xf numFmtId="0" fontId="2" fillId="10" borderId="22" xfId="0" applyFont="1" applyFill="1" applyBorder="1"/>
    <xf numFmtId="0" fontId="2" fillId="10" borderId="13" xfId="0" applyFont="1" applyFill="1" applyBorder="1"/>
    <xf numFmtId="0" fontId="2" fillId="10" borderId="23" xfId="0" applyFont="1" applyFill="1" applyBorder="1"/>
    <xf numFmtId="44" fontId="0" fillId="0" borderId="0" xfId="0" applyNumberFormat="1" applyBorder="1"/>
    <xf numFmtId="44" fontId="0" fillId="0" borderId="19" xfId="0" applyNumberFormat="1" applyBorder="1"/>
    <xf numFmtId="0" fontId="0" fillId="0" borderId="24" xfId="0" applyBorder="1"/>
    <xf numFmtId="44" fontId="0" fillId="0" borderId="25" xfId="0" applyNumberFormat="1" applyBorder="1"/>
    <xf numFmtId="0" fontId="0" fillId="0" borderId="26" xfId="0" applyBorder="1"/>
    <xf numFmtId="44" fontId="0" fillId="0" borderId="21" xfId="0" applyNumberFormat="1" applyBorder="1"/>
    <xf numFmtId="0" fontId="2" fillId="3" borderId="22" xfId="0" applyFont="1" applyFill="1" applyBorder="1"/>
    <xf numFmtId="0" fontId="0" fillId="3" borderId="13" xfId="0" applyFill="1" applyBorder="1"/>
    <xf numFmtId="0" fontId="0" fillId="3" borderId="23" xfId="0" applyFill="1" applyBorder="1"/>
    <xf numFmtId="44" fontId="0" fillId="0" borderId="27" xfId="0" applyNumberFormat="1" applyBorder="1"/>
    <xf numFmtId="0" fontId="2" fillId="7" borderId="15" xfId="0" applyFont="1" applyFill="1" applyBorder="1"/>
    <xf numFmtId="0" fontId="0" fillId="7" borderId="16" xfId="0" applyFill="1" applyBorder="1"/>
    <xf numFmtId="0" fontId="0" fillId="7" borderId="17" xfId="0" applyFill="1" applyBorder="1"/>
    <xf numFmtId="0" fontId="0" fillId="0" borderId="14" xfId="0" applyBorder="1"/>
    <xf numFmtId="0" fontId="0" fillId="3" borderId="22" xfId="0" applyFill="1" applyBorder="1"/>
    <xf numFmtId="0" fontId="0" fillId="8" borderId="22" xfId="0" applyFill="1" applyBorder="1"/>
    <xf numFmtId="0" fontId="0" fillId="8" borderId="13" xfId="0" applyFill="1" applyBorder="1"/>
    <xf numFmtId="0" fontId="0" fillId="8" borderId="23" xfId="0" applyFill="1" applyBorder="1"/>
    <xf numFmtId="0" fontId="0" fillId="6" borderId="0" xfId="0" applyFill="1"/>
    <xf numFmtId="0" fontId="0" fillId="6" borderId="22" xfId="0" applyFill="1" applyBorder="1"/>
    <xf numFmtId="0" fontId="0" fillId="6" borderId="13" xfId="0" applyFill="1" applyBorder="1"/>
    <xf numFmtId="0" fontId="0" fillId="6" borderId="23" xfId="0" applyFill="1" applyBorder="1"/>
    <xf numFmtId="0" fontId="0" fillId="0" borderId="29" xfId="0" applyBorder="1"/>
    <xf numFmtId="0" fontId="0" fillId="0" borderId="30" xfId="0" applyBorder="1"/>
    <xf numFmtId="0" fontId="0" fillId="4" borderId="14" xfId="0" applyFill="1" applyBorder="1"/>
    <xf numFmtId="0" fontId="2" fillId="6" borderId="0" xfId="0" applyFont="1" applyFill="1"/>
    <xf numFmtId="2" fontId="0" fillId="6" borderId="0" xfId="0" applyNumberFormat="1" applyFill="1"/>
    <xf numFmtId="0" fontId="0" fillId="3" borderId="28" xfId="0" applyFill="1" applyBorder="1"/>
    <xf numFmtId="0" fontId="2" fillId="6" borderId="16" xfId="0" applyFont="1" applyFill="1" applyBorder="1"/>
    <xf numFmtId="0" fontId="2" fillId="6" borderId="17" xfId="0" applyFont="1" applyFill="1" applyBorder="1"/>
    <xf numFmtId="0" fontId="2" fillId="10" borderId="15" xfId="0" applyFont="1" applyFill="1" applyBorder="1"/>
    <xf numFmtId="0" fontId="2" fillId="10" borderId="17" xfId="0" applyFont="1" applyFill="1" applyBorder="1"/>
    <xf numFmtId="0" fontId="0" fillId="3" borderId="14" xfId="0" applyFill="1" applyBorder="1"/>
    <xf numFmtId="44" fontId="0" fillId="0" borderId="13" xfId="0" applyNumberFormat="1" applyBorder="1"/>
    <xf numFmtId="0" fontId="0" fillId="10" borderId="22" xfId="0" applyFill="1" applyBorder="1"/>
    <xf numFmtId="0" fontId="0" fillId="10" borderId="13" xfId="0" applyFill="1" applyBorder="1"/>
    <xf numFmtId="0" fontId="0" fillId="10" borderId="23" xfId="0" applyFill="1" applyBorder="1"/>
    <xf numFmtId="0" fontId="12" fillId="0" borderId="0" xfId="0" applyFont="1"/>
    <xf numFmtId="0" fontId="0" fillId="10" borderId="0" xfId="0" applyFill="1"/>
    <xf numFmtId="44" fontId="0" fillId="10" borderId="0" xfId="0" applyNumberFormat="1" applyFill="1"/>
    <xf numFmtId="0" fontId="10" fillId="9" borderId="0" xfId="0" applyFont="1" applyFill="1"/>
    <xf numFmtId="0" fontId="7" fillId="9" borderId="3" xfId="0" applyFont="1" applyFill="1" applyBorder="1"/>
    <xf numFmtId="8" fontId="0" fillId="9" borderId="0" xfId="0" applyNumberFormat="1" applyFill="1"/>
    <xf numFmtId="44" fontId="0" fillId="9" borderId="0" xfId="0" applyNumberFormat="1" applyFill="1"/>
    <xf numFmtId="0" fontId="10" fillId="7" borderId="0" xfId="0" applyFont="1" applyFill="1"/>
    <xf numFmtId="0" fontId="7" fillId="7" borderId="3" xfId="0" applyFont="1" applyFill="1" applyBorder="1"/>
    <xf numFmtId="44" fontId="0" fillId="7" borderId="0" xfId="0" applyNumberFormat="1" applyFill="1"/>
    <xf numFmtId="0" fontId="2" fillId="10" borderId="5" xfId="0" applyFont="1" applyFill="1" applyBorder="1"/>
    <xf numFmtId="8" fontId="0" fillId="10" borderId="0" xfId="0" applyNumberFormat="1" applyFill="1"/>
  </cellXfs>
  <cellStyles count="4">
    <cellStyle name="Komma" xfId="1" builtinId="3"/>
    <cellStyle name="Normal" xfId="0" builtinId="0"/>
    <cellStyle name="Prosent" xfId="2" builtinId="5"/>
    <cellStyle name="Valuta" xfId="3" builtinId="4"/>
  </cellStyles>
  <dxfs count="23">
    <dxf>
      <fill>
        <patternFill patternType="solid">
          <fgColor indexed="64"/>
          <bgColor rgb="FFFFB3F5"/>
        </patternFill>
      </fill>
    </dxf>
    <dxf>
      <fill>
        <patternFill patternType="solid">
          <fgColor indexed="64"/>
          <bgColor rgb="FFFFB3F5"/>
        </patternFill>
      </fill>
    </dxf>
    <dxf>
      <numFmt numFmtId="34" formatCode="_(&quot;kr&quot;\ * #,##0.00_);_(&quot;kr&quot;\ * \(#,##0.00\);_(&quot;kr&quot;\ * &quot;-&quot;??_);_(@_)"/>
      <fill>
        <patternFill patternType="solid">
          <fgColor indexed="64"/>
          <bgColor rgb="FFFFB3F5"/>
        </patternFill>
      </fill>
    </dxf>
    <dxf>
      <numFmt numFmtId="12" formatCode="&quot;kr&quot;\ #,##0.00_);[Red]\(&quot;kr&quot;\ #,##0.00\)"/>
      <fill>
        <patternFill patternType="solid">
          <fgColor indexed="64"/>
          <bgColor rgb="FFFFB3F5"/>
        </patternFill>
      </fill>
    </dxf>
    <dxf>
      <fill>
        <patternFill patternType="solid">
          <fgColor indexed="64"/>
          <bgColor rgb="FFFFB3F5"/>
        </patternFill>
      </fill>
    </dxf>
    <dxf>
      <numFmt numFmtId="34" formatCode="_(&quot;kr&quot;\ * #,##0.00_);_(&quot;kr&quot;\ * \(#,##0.00\);_(&quot;kr&quot;\ * &quot;-&quot;??_);_(@_)"/>
    </dxf>
    <dxf>
      <numFmt numFmtId="34" formatCode="_(&quot;kr&quot;\ * #,##0.00_);_(&quot;kr&quot;\ * \(#,##0.00\);_(&quot;kr&quot;\ * &quot;-&quot;??_);_(@_)"/>
    </dxf>
    <dxf>
      <numFmt numFmtId="34" formatCode="_(&quot;kr&quot;\ * #,##0.00_);_(&quot;kr&quot;\ * \(#,##0.00\);_(&quot;kr&quot;\ * &quot;-&quot;??_);_(@_)"/>
    </dxf>
    <dxf>
      <numFmt numFmtId="34" formatCode="_(&quot;kr&quot;\ * #,##0.00_);_(&quot;kr&quot;\ * \(#,##0.00\);_(&quot;kr&quot;\ * &quot;-&quot;??_);_(@_)"/>
    </dxf>
    <dxf>
      <fill>
        <patternFill patternType="none">
          <fgColor indexed="64"/>
          <bgColor indexed="65"/>
        </patternFill>
      </fill>
    </dxf>
    <dxf>
      <border outline="0">
        <bottom style="medium">
          <color indexed="64"/>
        </bottom>
      </border>
    </dxf>
    <dxf>
      <numFmt numFmtId="170" formatCode="&quot;kr&quot;\ #,##0"/>
    </dxf>
    <dxf>
      <numFmt numFmtId="170" formatCode="&quot;kr&quot;\ #,##0"/>
    </dxf>
    <dxf>
      <numFmt numFmtId="170" formatCode="&quot;kr&quot;\ #,##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6" formatCode="yyyy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colors>
    <mruColors>
      <color rgb="FFB9BDFF"/>
      <color rgb="FFAFFFB0"/>
      <color rgb="FFFCD3FF"/>
      <color rgb="FFFFB3F5"/>
      <color rgb="FFBBDBED"/>
      <color rgb="FFF8EB84"/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calcChain" Target="calcChain.xml"/><Relationship Id="rId5" Type="http://schemas.openxmlformats.org/officeDocument/2006/relationships/chartsheet" Target="chartsheets/sheet1.xml"/><Relationship Id="rId15" Type="http://schemas.openxmlformats.org/officeDocument/2006/relationships/worksheet" Target="worksheets/sheet14.xml"/><Relationship Id="rId23" Type="http://schemas.openxmlformats.org/officeDocument/2006/relationships/sheetMetadata" Target="metadata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 sz="1800" b="1"/>
              <a:t>Nåverdi</a:t>
            </a:r>
            <a:r>
              <a:rPr lang="nb-NO" sz="1800" b="1" baseline="0"/>
              <a:t> kontanstrøm for tiltak A og B </a:t>
            </a:r>
            <a:endParaRPr lang="nb-NO" sz="1800" b="1"/>
          </a:p>
        </c:rich>
      </c:tx>
      <c:layout>
        <c:manualLayout>
          <c:xMode val="edge"/>
          <c:yMode val="edge"/>
          <c:x val="0.33065410435489173"/>
          <c:y val="8.20512820512820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>
        <c:manualLayout>
          <c:layoutTarget val="inner"/>
          <c:xMode val="edge"/>
          <c:yMode val="edge"/>
          <c:x val="0.27515113735783026"/>
          <c:y val="0.19020851560221635"/>
          <c:w val="0.69909930008748911"/>
          <c:h val="0.57024606299212599"/>
        </c:manualLayout>
      </c:layout>
      <c:lineChart>
        <c:grouping val="standard"/>
        <c:varyColors val="0"/>
        <c:ser>
          <c:idx val="0"/>
          <c:order val="0"/>
          <c:tx>
            <c:strRef>
              <c:f>Resultater!$AU$7</c:f>
              <c:strCache>
                <c:ptCount val="1"/>
                <c:pt idx="0">
                  <c:v>Tiltak A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Resultater!$AT$15:$AT$28</c:f>
              <c:numCache>
                <c:formatCode>General</c:formatCode>
                <c:ptCount val="14"/>
                <c:pt idx="0">
                  <c:v>2030</c:v>
                </c:pt>
                <c:pt idx="1">
                  <c:v>2031</c:v>
                </c:pt>
                <c:pt idx="2">
                  <c:v>2032</c:v>
                </c:pt>
                <c:pt idx="3">
                  <c:v>2033</c:v>
                </c:pt>
                <c:pt idx="4">
                  <c:v>2034</c:v>
                </c:pt>
                <c:pt idx="5">
                  <c:v>2035</c:v>
                </c:pt>
                <c:pt idx="6">
                  <c:v>2036</c:v>
                </c:pt>
                <c:pt idx="7">
                  <c:v>2037</c:v>
                </c:pt>
                <c:pt idx="8">
                  <c:v>2038</c:v>
                </c:pt>
                <c:pt idx="9">
                  <c:v>2039</c:v>
                </c:pt>
                <c:pt idx="10">
                  <c:v>2040</c:v>
                </c:pt>
                <c:pt idx="11">
                  <c:v>2041</c:v>
                </c:pt>
                <c:pt idx="12">
                  <c:v>2042</c:v>
                </c:pt>
                <c:pt idx="13">
                  <c:v>2043</c:v>
                </c:pt>
              </c:numCache>
            </c:numRef>
          </c:cat>
          <c:val>
            <c:numRef>
              <c:f>Resultater!$AU$15:$AU$28</c:f>
              <c:numCache>
                <c:formatCode>_("kr"* #,##0.00_);_("kr"* \(#,##0.00\);_("kr"* "-"??_);_(@_)</c:formatCode>
                <c:ptCount val="14"/>
                <c:pt idx="0">
                  <c:v>12181022213.958803</c:v>
                </c:pt>
                <c:pt idx="1">
                  <c:v>11697985161.138657</c:v>
                </c:pt>
                <c:pt idx="2">
                  <c:v>10932696412.279118</c:v>
                </c:pt>
                <c:pt idx="3">
                  <c:v>10217473282.503847</c:v>
                </c:pt>
                <c:pt idx="4">
                  <c:v>9549040450.9381733</c:v>
                </c:pt>
                <c:pt idx="5">
                  <c:v>9199286455.6016731</c:v>
                </c:pt>
                <c:pt idx="6">
                  <c:v>9384029088.1705475</c:v>
                </c:pt>
                <c:pt idx="7">
                  <c:v>8770120643.1500435</c:v>
                </c:pt>
                <c:pt idx="8">
                  <c:v>8502004064.8721428</c:v>
                </c:pt>
                <c:pt idx="9">
                  <c:v>7945798191.4692907</c:v>
                </c:pt>
                <c:pt idx="10">
                  <c:v>7425979618.1955986</c:v>
                </c:pt>
                <c:pt idx="11">
                  <c:v>6940167867.4725218</c:v>
                </c:pt>
                <c:pt idx="12">
                  <c:v>6486138193.8995514</c:v>
                </c:pt>
                <c:pt idx="13">
                  <c:v>6061811396.1678047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14-DA42-8541-C27C8185EC21}"/>
            </c:ext>
          </c:extLst>
        </c:ser>
        <c:ser>
          <c:idx val="1"/>
          <c:order val="1"/>
          <c:tx>
            <c:strRef>
              <c:f>Resultater!$AV$7</c:f>
              <c:strCache>
                <c:ptCount val="1"/>
                <c:pt idx="0">
                  <c:v>Tiltak B</c:v>
                </c:pt>
              </c:strCache>
            </c:strRef>
          </c:tx>
          <c:spPr>
            <a:ln w="28575" cap="rnd">
              <a:solidFill>
                <a:srgbClr val="FCD3FF"/>
              </a:solidFill>
              <a:round/>
            </a:ln>
            <a:effectLst/>
          </c:spPr>
          <c:marker>
            <c:symbol val="none"/>
          </c:marker>
          <c:cat>
            <c:numRef>
              <c:f>Resultater!$AT$15:$AT$28</c:f>
              <c:numCache>
                <c:formatCode>General</c:formatCode>
                <c:ptCount val="14"/>
                <c:pt idx="0">
                  <c:v>2030</c:v>
                </c:pt>
                <c:pt idx="1">
                  <c:v>2031</c:v>
                </c:pt>
                <c:pt idx="2">
                  <c:v>2032</c:v>
                </c:pt>
                <c:pt idx="3">
                  <c:v>2033</c:v>
                </c:pt>
                <c:pt idx="4">
                  <c:v>2034</c:v>
                </c:pt>
                <c:pt idx="5">
                  <c:v>2035</c:v>
                </c:pt>
                <c:pt idx="6">
                  <c:v>2036</c:v>
                </c:pt>
                <c:pt idx="7">
                  <c:v>2037</c:v>
                </c:pt>
                <c:pt idx="8">
                  <c:v>2038</c:v>
                </c:pt>
                <c:pt idx="9">
                  <c:v>2039</c:v>
                </c:pt>
                <c:pt idx="10">
                  <c:v>2040</c:v>
                </c:pt>
                <c:pt idx="11">
                  <c:v>2041</c:v>
                </c:pt>
                <c:pt idx="12">
                  <c:v>2042</c:v>
                </c:pt>
                <c:pt idx="13">
                  <c:v>2043</c:v>
                </c:pt>
              </c:numCache>
            </c:numRef>
          </c:cat>
          <c:val>
            <c:numRef>
              <c:f>Resultater!$AV$15:$AV$28</c:f>
              <c:numCache>
                <c:formatCode>_("kr"* #,##0.00_);_("kr"* \(#,##0.00\);_("kr"* "-"??_);_(@_)</c:formatCode>
                <c:ptCount val="14"/>
                <c:pt idx="0">
                  <c:v>12246410936.856684</c:v>
                </c:pt>
                <c:pt idx="1">
                  <c:v>11445243866.221197</c:v>
                </c:pt>
                <c:pt idx="2">
                  <c:v>10696489594.599251</c:v>
                </c:pt>
                <c:pt idx="3">
                  <c:v>9996719247.2890186</c:v>
                </c:pt>
                <c:pt idx="4">
                  <c:v>9342728268.4944077</c:v>
                </c:pt>
                <c:pt idx="5">
                  <c:v>8755986982.8154049</c:v>
                </c:pt>
                <c:pt idx="6">
                  <c:v>8183165404.5003777</c:v>
                </c:pt>
                <c:pt idx="7">
                  <c:v>7647818135.0470819</c:v>
                </c:pt>
                <c:pt idx="8">
                  <c:v>7416539074.7823496</c:v>
                </c:pt>
                <c:pt idx="9">
                  <c:v>6931344929.7031288</c:v>
                </c:pt>
                <c:pt idx="10">
                  <c:v>6477892457.6664753</c:v>
                </c:pt>
                <c:pt idx="11">
                  <c:v>6054105100.6228743</c:v>
                </c:pt>
                <c:pt idx="12">
                  <c:v>5658042150.1148338</c:v>
                </c:pt>
                <c:pt idx="13">
                  <c:v>5287889859.9204054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14-DA42-8541-C27C8185EC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2450687"/>
        <c:axId val="382452415"/>
      </c:lineChart>
      <c:catAx>
        <c:axId val="382450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2452415"/>
        <c:crosses val="autoZero"/>
        <c:auto val="1"/>
        <c:lblAlgn val="ctr"/>
        <c:lblOffset val="100"/>
        <c:noMultiLvlLbl val="0"/>
      </c:catAx>
      <c:valAx>
        <c:axId val="38245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kr&quot;* #,##0.00_);_(&quot;kr&quot;* \(#,##0.00\);_(&quot;kr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2450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Forventet</a:t>
            </a:r>
            <a:r>
              <a:rPr lang="en-US" sz="1400" b="1" baseline="0"/>
              <a:t> fremtidig p</a:t>
            </a:r>
            <a:r>
              <a:rPr lang="en-US" sz="1400" b="1"/>
              <a:t>roduksjon av gass (mrd/sm3) </a:t>
            </a:r>
          </a:p>
        </c:rich>
      </c:tx>
      <c:layout>
        <c:manualLayout>
          <c:xMode val="edge"/>
          <c:yMode val="edge"/>
          <c:x val="0.1494134992385211"/>
          <c:y val="7.31707317073170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>
        <c:manualLayout>
          <c:layoutTarget val="inner"/>
          <c:xMode val="edge"/>
          <c:yMode val="edge"/>
          <c:x val="0.10991056673471372"/>
          <c:y val="0.2095790922476154"/>
          <c:w val="0.87386231813615889"/>
          <c:h val="0.690987452787913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'LNG produksjon'!$C$13</c:f>
              <c:strCache>
                <c:ptCount val="1"/>
                <c:pt idx="0">
                  <c:v>Produksjon gass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FF40FF"/>
              </a:solidFill>
            </a:ln>
            <a:effectLst/>
          </c:spPr>
          <c:invertIfNegative val="0"/>
          <c:cat>
            <c:strRef>
              <c:f>'LNG produksjon'!$B$13:$B$41</c:f>
              <c:strCache>
                <c:ptCount val="29"/>
                <c:pt idx="0">
                  <c:v>År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  <c:pt idx="15">
                  <c:v>2037</c:v>
                </c:pt>
                <c:pt idx="16">
                  <c:v>2038</c:v>
                </c:pt>
                <c:pt idx="17">
                  <c:v>2039</c:v>
                </c:pt>
                <c:pt idx="18">
                  <c:v>2040</c:v>
                </c:pt>
                <c:pt idx="19">
                  <c:v>2041</c:v>
                </c:pt>
                <c:pt idx="20">
                  <c:v>2042</c:v>
                </c:pt>
                <c:pt idx="21">
                  <c:v>2043</c:v>
                </c:pt>
                <c:pt idx="22">
                  <c:v>2044</c:v>
                </c:pt>
                <c:pt idx="23">
                  <c:v>2045</c:v>
                </c:pt>
                <c:pt idx="24">
                  <c:v>2046</c:v>
                </c:pt>
                <c:pt idx="25">
                  <c:v>2047</c:v>
                </c:pt>
                <c:pt idx="26">
                  <c:v>2048</c:v>
                </c:pt>
                <c:pt idx="27">
                  <c:v>2049</c:v>
                </c:pt>
                <c:pt idx="28">
                  <c:v>2050</c:v>
                </c:pt>
              </c:strCache>
            </c:strRef>
          </c:cat>
          <c:val>
            <c:numRef>
              <c:f>'LNG produksjon'!$C$14:$C$41</c:f>
              <c:numCache>
                <c:formatCode>_(* #\ ##0_);_(* \(#\ ##0\);_(* "-"??_);_(@_)</c:formatCode>
                <c:ptCount val="28"/>
                <c:pt idx="0">
                  <c:v>7300000000</c:v>
                </c:pt>
                <c:pt idx="1">
                  <c:v>7300000000</c:v>
                </c:pt>
                <c:pt idx="2">
                  <c:v>7300000000</c:v>
                </c:pt>
                <c:pt idx="3">
                  <c:v>7300000000</c:v>
                </c:pt>
                <c:pt idx="4">
                  <c:v>7300000000</c:v>
                </c:pt>
                <c:pt idx="5">
                  <c:v>7300000000</c:v>
                </c:pt>
                <c:pt idx="6">
                  <c:v>7300000000</c:v>
                </c:pt>
                <c:pt idx="7">
                  <c:v>7300000000</c:v>
                </c:pt>
                <c:pt idx="8">
                  <c:v>7300000000</c:v>
                </c:pt>
                <c:pt idx="9">
                  <c:v>7300000000</c:v>
                </c:pt>
                <c:pt idx="10">
                  <c:v>7300000000</c:v>
                </c:pt>
                <c:pt idx="11">
                  <c:v>7300000000</c:v>
                </c:pt>
                <c:pt idx="12">
                  <c:v>7300000000</c:v>
                </c:pt>
                <c:pt idx="13">
                  <c:v>7300000000</c:v>
                </c:pt>
                <c:pt idx="14">
                  <c:v>7300000000</c:v>
                </c:pt>
                <c:pt idx="15">
                  <c:v>7300000000</c:v>
                </c:pt>
                <c:pt idx="16">
                  <c:v>7300000000</c:v>
                </c:pt>
                <c:pt idx="17">
                  <c:v>7300000000</c:v>
                </c:pt>
                <c:pt idx="18">
                  <c:v>7300000000</c:v>
                </c:pt>
                <c:pt idx="19">
                  <c:v>7300000000</c:v>
                </c:pt>
                <c:pt idx="20">
                  <c:v>7300000000</c:v>
                </c:pt>
                <c:pt idx="21">
                  <c:v>6205000000</c:v>
                </c:pt>
                <c:pt idx="22">
                  <c:v>5274250000</c:v>
                </c:pt>
                <c:pt idx="23">
                  <c:v>4483112500</c:v>
                </c:pt>
                <c:pt idx="24">
                  <c:v>3810645625</c:v>
                </c:pt>
                <c:pt idx="25">
                  <c:v>3239048781.25</c:v>
                </c:pt>
                <c:pt idx="26">
                  <c:v>2753191464.0625</c:v>
                </c:pt>
                <c:pt idx="27">
                  <c:v>2555000000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9D-C945-B074-0C61CB2BF8AD}"/>
            </c:ext>
          </c:extLst>
        </c:ser>
        <c:ser>
          <c:idx val="1"/>
          <c:order val="1"/>
          <c:tx>
            <c:v>0-alternativ</c:v>
          </c:tx>
          <c:spPr>
            <a:solidFill>
              <a:schemeClr val="accent2"/>
            </a:solidFill>
            <a:ln>
              <a:solidFill>
                <a:srgbClr val="FF40FF"/>
              </a:solidFill>
            </a:ln>
            <a:effectLst/>
          </c:spPr>
          <c:invertIfNegative val="0"/>
          <c:cat>
            <c:strRef>
              <c:f>'LNG produksjon'!$B$13:$B$41</c:f>
              <c:strCache>
                <c:ptCount val="29"/>
                <c:pt idx="0">
                  <c:v>År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  <c:pt idx="15">
                  <c:v>2037</c:v>
                </c:pt>
                <c:pt idx="16">
                  <c:v>2038</c:v>
                </c:pt>
                <c:pt idx="17">
                  <c:v>2039</c:v>
                </c:pt>
                <c:pt idx="18">
                  <c:v>2040</c:v>
                </c:pt>
                <c:pt idx="19">
                  <c:v>2041</c:v>
                </c:pt>
                <c:pt idx="20">
                  <c:v>2042</c:v>
                </c:pt>
                <c:pt idx="21">
                  <c:v>2043</c:v>
                </c:pt>
                <c:pt idx="22">
                  <c:v>2044</c:v>
                </c:pt>
                <c:pt idx="23">
                  <c:v>2045</c:v>
                </c:pt>
                <c:pt idx="24">
                  <c:v>2046</c:v>
                </c:pt>
                <c:pt idx="25">
                  <c:v>2047</c:v>
                </c:pt>
                <c:pt idx="26">
                  <c:v>2048</c:v>
                </c:pt>
                <c:pt idx="27">
                  <c:v>2049</c:v>
                </c:pt>
                <c:pt idx="28">
                  <c:v>2050</c:v>
                </c:pt>
              </c:strCache>
            </c:strRef>
          </c:cat>
          <c:val>
            <c:numRef>
              <c:f>'LNG produksjon'!$F$14:$F$41</c:f>
              <c:numCache>
                <c:formatCode>#,##0</c:formatCode>
                <c:ptCount val="28"/>
                <c:pt idx="0">
                  <c:v>6283324967.8999996</c:v>
                </c:pt>
                <c:pt idx="1">
                  <c:v>6283324967.8999996</c:v>
                </c:pt>
                <c:pt idx="2">
                  <c:v>6283324967.8999996</c:v>
                </c:pt>
                <c:pt idx="3">
                  <c:v>6283324967.8999996</c:v>
                </c:pt>
                <c:pt idx="4">
                  <c:v>6283324967.8999996</c:v>
                </c:pt>
                <c:pt idx="5">
                  <c:v>6283324967.8999996</c:v>
                </c:pt>
                <c:pt idx="6">
                  <c:v>6283324967.8999996</c:v>
                </c:pt>
                <c:pt idx="7">
                  <c:v>6283324967.8999996</c:v>
                </c:pt>
                <c:pt idx="8">
                  <c:v>5280826222.7149992</c:v>
                </c:pt>
                <c:pt idx="9">
                  <c:v>4428702289.3077488</c:v>
                </c:pt>
                <c:pt idx="10">
                  <c:v>3704396945.9115863</c:v>
                </c:pt>
                <c:pt idx="11">
                  <c:v>3088737404.0248485</c:v>
                </c:pt>
                <c:pt idx="12">
                  <c:v>2565426793.4211211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9D-C945-B074-0C61CB2BF8AD}"/>
            </c:ext>
          </c:extLst>
        </c:ser>
        <c:ser>
          <c:idx val="3"/>
          <c:order val="3"/>
          <c:tx>
            <c:v>Tiltak B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'LNG produksjon'!$B$13:$B$41</c:f>
              <c:strCache>
                <c:ptCount val="29"/>
                <c:pt idx="0">
                  <c:v>År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  <c:pt idx="15">
                  <c:v>2037</c:v>
                </c:pt>
                <c:pt idx="16">
                  <c:v>2038</c:v>
                </c:pt>
                <c:pt idx="17">
                  <c:v>2039</c:v>
                </c:pt>
                <c:pt idx="18">
                  <c:v>2040</c:v>
                </c:pt>
                <c:pt idx="19">
                  <c:v>2041</c:v>
                </c:pt>
                <c:pt idx="20">
                  <c:v>2042</c:v>
                </c:pt>
                <c:pt idx="21">
                  <c:v>2043</c:v>
                </c:pt>
                <c:pt idx="22">
                  <c:v>2044</c:v>
                </c:pt>
                <c:pt idx="23">
                  <c:v>2045</c:v>
                </c:pt>
                <c:pt idx="24">
                  <c:v>2046</c:v>
                </c:pt>
                <c:pt idx="25">
                  <c:v>2047</c:v>
                </c:pt>
                <c:pt idx="26">
                  <c:v>2048</c:v>
                </c:pt>
                <c:pt idx="27">
                  <c:v>2049</c:v>
                </c:pt>
                <c:pt idx="28">
                  <c:v>2050</c:v>
                </c:pt>
              </c:strCache>
            </c:strRef>
          </c:cat>
          <c:val>
            <c:numRef>
              <c:f>'LNG produksjon'!$E$14:$E$41</c:f>
              <c:numCache>
                <c:formatCode>#,##0</c:formatCode>
                <c:ptCount val="28"/>
                <c:pt idx="0">
                  <c:v>6283324967.8999996</c:v>
                </c:pt>
                <c:pt idx="1">
                  <c:v>6283324967.8999996</c:v>
                </c:pt>
                <c:pt idx="2">
                  <c:v>6283324967.8999996</c:v>
                </c:pt>
                <c:pt idx="3">
                  <c:v>6283324967.8999996</c:v>
                </c:pt>
                <c:pt idx="4">
                  <c:v>6283324967.8999996</c:v>
                </c:pt>
                <c:pt idx="5">
                  <c:v>6283324967.8999996</c:v>
                </c:pt>
                <c:pt idx="6">
                  <c:v>6283324967.8999996</c:v>
                </c:pt>
                <c:pt idx="7">
                  <c:v>6283324967.8999996</c:v>
                </c:pt>
                <c:pt idx="8">
                  <c:v>6283324967.8999996</c:v>
                </c:pt>
                <c:pt idx="9">
                  <c:v>6283324967.8999996</c:v>
                </c:pt>
                <c:pt idx="10">
                  <c:v>6283324967.8999996</c:v>
                </c:pt>
                <c:pt idx="11">
                  <c:v>6283324967.8999996</c:v>
                </c:pt>
                <c:pt idx="12">
                  <c:v>6283324967.8999996</c:v>
                </c:pt>
                <c:pt idx="13">
                  <c:v>6283324967.8999996</c:v>
                </c:pt>
                <c:pt idx="14">
                  <c:v>6283324967.8999996</c:v>
                </c:pt>
                <c:pt idx="15">
                  <c:v>6283324967.8999996</c:v>
                </c:pt>
                <c:pt idx="16">
                  <c:v>6283324967.8999996</c:v>
                </c:pt>
                <c:pt idx="17">
                  <c:v>6283324967.8999996</c:v>
                </c:pt>
                <c:pt idx="18">
                  <c:v>6283324967.8999996</c:v>
                </c:pt>
                <c:pt idx="19">
                  <c:v>6283324967.8999996</c:v>
                </c:pt>
                <c:pt idx="20">
                  <c:v>6283324967.8999996</c:v>
                </c:pt>
                <c:pt idx="21">
                  <c:v>5680826222.7149992</c:v>
                </c:pt>
                <c:pt idx="22">
                  <c:v>4828702289.3077488</c:v>
                </c:pt>
                <c:pt idx="23">
                  <c:v>4104396945.9115863</c:v>
                </c:pt>
                <c:pt idx="24">
                  <c:v>3488737404.0248485</c:v>
                </c:pt>
                <c:pt idx="25">
                  <c:v>2965426793.4211211</c:v>
                </c:pt>
                <c:pt idx="26">
                  <c:v>2520612774.4079528</c:v>
                </c:pt>
                <c:pt idx="27">
                  <c:v>2142520858.2467599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C9D-C945-B074-0C61CB2BF8AD}"/>
            </c:ext>
          </c:extLst>
        </c:ser>
        <c:ser>
          <c:idx val="2"/>
          <c:order val="2"/>
          <c:tx>
            <c:v>Tiltak A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'LNG produksjon'!$B$13:$B$41</c:f>
              <c:strCache>
                <c:ptCount val="29"/>
                <c:pt idx="0">
                  <c:v>År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  <c:pt idx="15">
                  <c:v>2037</c:v>
                </c:pt>
                <c:pt idx="16">
                  <c:v>2038</c:v>
                </c:pt>
                <c:pt idx="17">
                  <c:v>2039</c:v>
                </c:pt>
                <c:pt idx="18">
                  <c:v>2040</c:v>
                </c:pt>
                <c:pt idx="19">
                  <c:v>2041</c:v>
                </c:pt>
                <c:pt idx="20">
                  <c:v>2042</c:v>
                </c:pt>
                <c:pt idx="21">
                  <c:v>2043</c:v>
                </c:pt>
                <c:pt idx="22">
                  <c:v>2044</c:v>
                </c:pt>
                <c:pt idx="23">
                  <c:v>2045</c:v>
                </c:pt>
                <c:pt idx="24">
                  <c:v>2046</c:v>
                </c:pt>
                <c:pt idx="25">
                  <c:v>2047</c:v>
                </c:pt>
                <c:pt idx="26">
                  <c:v>2048</c:v>
                </c:pt>
                <c:pt idx="27">
                  <c:v>2049</c:v>
                </c:pt>
                <c:pt idx="28">
                  <c:v>2050</c:v>
                </c:pt>
              </c:strCache>
            </c:strRef>
          </c:cat>
          <c:val>
            <c:numRef>
              <c:f>'LNG produksjon'!$D$14:$D$41</c:f>
              <c:numCache>
                <c:formatCode>#,##0</c:formatCode>
                <c:ptCount val="28"/>
                <c:pt idx="0">
                  <c:v>6283324967.8999996</c:v>
                </c:pt>
                <c:pt idx="1">
                  <c:v>6283324967.8999996</c:v>
                </c:pt>
                <c:pt idx="2">
                  <c:v>6283324967.8999996</c:v>
                </c:pt>
                <c:pt idx="3">
                  <c:v>6283324967.8999996</c:v>
                </c:pt>
                <c:pt idx="4">
                  <c:v>6283324967.8999996</c:v>
                </c:pt>
                <c:pt idx="5">
                  <c:v>6283324967.8999996</c:v>
                </c:pt>
                <c:pt idx="6">
                  <c:v>6283324967.8999996</c:v>
                </c:pt>
                <c:pt idx="7">
                  <c:v>6283324967.8999996</c:v>
                </c:pt>
                <c:pt idx="8">
                  <c:v>6683324967.8999996</c:v>
                </c:pt>
                <c:pt idx="9">
                  <c:v>6683324967.8999996</c:v>
                </c:pt>
                <c:pt idx="10">
                  <c:v>6683324967.8999996</c:v>
                </c:pt>
                <c:pt idx="11">
                  <c:v>6683324967.8999996</c:v>
                </c:pt>
                <c:pt idx="12">
                  <c:v>6683324967.8999996</c:v>
                </c:pt>
                <c:pt idx="13">
                  <c:v>6683324967.8999996</c:v>
                </c:pt>
                <c:pt idx="14">
                  <c:v>6683324967.8999996</c:v>
                </c:pt>
                <c:pt idx="15">
                  <c:v>6683324967.8999996</c:v>
                </c:pt>
                <c:pt idx="16">
                  <c:v>6683324967.8999996</c:v>
                </c:pt>
                <c:pt idx="17">
                  <c:v>6683324967.8999996</c:v>
                </c:pt>
                <c:pt idx="18">
                  <c:v>6683324967.8999996</c:v>
                </c:pt>
                <c:pt idx="19">
                  <c:v>6683324967.8999996</c:v>
                </c:pt>
                <c:pt idx="20">
                  <c:v>6683324967.8999996</c:v>
                </c:pt>
                <c:pt idx="21">
                  <c:v>5680826222.7149992</c:v>
                </c:pt>
                <c:pt idx="22">
                  <c:v>4828702289.3077488</c:v>
                </c:pt>
                <c:pt idx="23">
                  <c:v>4104396945.9115863</c:v>
                </c:pt>
                <c:pt idx="24">
                  <c:v>3488737404.0248485</c:v>
                </c:pt>
                <c:pt idx="25">
                  <c:v>2965426793.4211211</c:v>
                </c:pt>
                <c:pt idx="26">
                  <c:v>2520612774.4079528</c:v>
                </c:pt>
                <c:pt idx="27">
                  <c:v>2142520858.2467599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C9D-C945-B074-0C61CB2BF8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86862448"/>
        <c:axId val="1086838544"/>
      </c:barChart>
      <c:catAx>
        <c:axId val="1086862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rgbClr val="B9BDFF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086838544"/>
        <c:crosses val="autoZero"/>
        <c:auto val="1"/>
        <c:lblAlgn val="ctr"/>
        <c:lblOffset val="100"/>
        <c:tickLblSkip val="3"/>
        <c:noMultiLvlLbl val="0"/>
      </c:catAx>
      <c:valAx>
        <c:axId val="1086838544"/>
        <c:scaling>
          <c:orientation val="minMax"/>
          <c:max val="10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086862448"/>
        <c:crosses val="autoZero"/>
        <c:crossBetween val="between"/>
        <c:dispUnits>
          <c:builtInUnit val="billions"/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 sz="1600" b="1" baseline="0"/>
              <a:t>Kostnaden for lokalbefolkningen ved en 22,3 % økning i strømpris. </a:t>
            </a:r>
          </a:p>
          <a:p>
            <a:pPr>
              <a:defRPr/>
            </a:pPr>
            <a:r>
              <a:rPr lang="nb-NO" i="1" baseline="0"/>
              <a:t>Målt som årlig nåverdi ved 3 ulike pris-scenarioer (7% diskonteringsrente)</a:t>
            </a:r>
            <a:endParaRPr lang="nb-NO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>
        <c:manualLayout>
          <c:layoutTarget val="inner"/>
          <c:xMode val="edge"/>
          <c:yMode val="edge"/>
          <c:x val="0.11473654417852762"/>
          <c:y val="0.18621996657774686"/>
          <c:w val="0.7076960581079953"/>
          <c:h val="0.7175557671499434"/>
        </c:manualLayout>
      </c:layout>
      <c:lineChart>
        <c:grouping val="standard"/>
        <c:varyColors val="0"/>
        <c:ser>
          <c:idx val="0"/>
          <c:order val="0"/>
          <c:tx>
            <c:strRef>
              <c:f>'El-markedet 2'!$B$96</c:f>
              <c:strCache>
                <c:ptCount val="1"/>
                <c:pt idx="0">
                  <c:v>Forventet pris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'El-markedet 2'!$A$97:$A$102</c:f>
              <c:numCache>
                <c:formatCode>General</c:formatCode>
                <c:ptCount val="6"/>
                <c:pt idx="0">
                  <c:v>2030</c:v>
                </c:pt>
                <c:pt idx="1">
                  <c:v>2031</c:v>
                </c:pt>
                <c:pt idx="2">
                  <c:v>2032</c:v>
                </c:pt>
                <c:pt idx="3">
                  <c:v>2033</c:v>
                </c:pt>
                <c:pt idx="4">
                  <c:v>2034</c:v>
                </c:pt>
                <c:pt idx="5">
                  <c:v>2035</c:v>
                </c:pt>
              </c:numCache>
            </c:numRef>
          </c:cat>
          <c:val>
            <c:numRef>
              <c:f>'El-markedet 2'!$B$97:$B$102</c:f>
              <c:numCache>
                <c:formatCode>"kr"\ #\ ##0</c:formatCode>
                <c:ptCount val="6"/>
                <c:pt idx="0">
                  <c:v>2499717463.9247484</c:v>
                </c:pt>
                <c:pt idx="1">
                  <c:v>2336184545.7240634</c:v>
                </c:pt>
                <c:pt idx="2">
                  <c:v>2183350042.7327695</c:v>
                </c:pt>
                <c:pt idx="3">
                  <c:v>2040514058.6287563</c:v>
                </c:pt>
                <c:pt idx="4">
                  <c:v>1907022484.6997719</c:v>
                </c:pt>
                <c:pt idx="5">
                  <c:v>1607998190.6295068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A1-3E43-929D-B3F6F3C24F4F}"/>
            </c:ext>
          </c:extLst>
        </c:ser>
        <c:ser>
          <c:idx val="1"/>
          <c:order val="1"/>
          <c:tx>
            <c:strRef>
              <c:f>'El-markedet 2'!$C$96</c:f>
              <c:strCache>
                <c:ptCount val="1"/>
                <c:pt idx="0">
                  <c:v>Høy pris</c:v>
                </c:pt>
              </c:strCache>
            </c:strRef>
          </c:tx>
          <c:spPr>
            <a:ln w="28575" cap="rnd">
              <a:solidFill>
                <a:srgbClr val="FCD3FF"/>
              </a:solidFill>
              <a:round/>
            </a:ln>
            <a:effectLst/>
          </c:spPr>
          <c:marker>
            <c:symbol val="none"/>
          </c:marker>
          <c:cat>
            <c:numRef>
              <c:f>'El-markedet 2'!$A$97:$A$102</c:f>
              <c:numCache>
                <c:formatCode>General</c:formatCode>
                <c:ptCount val="6"/>
                <c:pt idx="0">
                  <c:v>2030</c:v>
                </c:pt>
                <c:pt idx="1">
                  <c:v>2031</c:v>
                </c:pt>
                <c:pt idx="2">
                  <c:v>2032</c:v>
                </c:pt>
                <c:pt idx="3">
                  <c:v>2033</c:v>
                </c:pt>
                <c:pt idx="4">
                  <c:v>2034</c:v>
                </c:pt>
                <c:pt idx="5">
                  <c:v>2035</c:v>
                </c:pt>
              </c:numCache>
            </c:numRef>
          </c:cat>
          <c:val>
            <c:numRef>
              <c:f>'El-markedet 2'!$C$97:$C$102</c:f>
              <c:numCache>
                <c:formatCode>"kr"\ #\ ##0</c:formatCode>
                <c:ptCount val="6"/>
                <c:pt idx="0">
                  <c:v>3799570545.1656175</c:v>
                </c:pt>
                <c:pt idx="1">
                  <c:v>3551000509.500576</c:v>
                </c:pt>
                <c:pt idx="2">
                  <c:v>3318692064.9538097</c:v>
                </c:pt>
                <c:pt idx="3">
                  <c:v>3101581369.1157098</c:v>
                </c:pt>
                <c:pt idx="4">
                  <c:v>2898674176.7436533</c:v>
                </c:pt>
                <c:pt idx="5">
                  <c:v>2273376752.2693028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A1-3E43-929D-B3F6F3C24F4F}"/>
            </c:ext>
          </c:extLst>
        </c:ser>
        <c:ser>
          <c:idx val="2"/>
          <c:order val="2"/>
          <c:tx>
            <c:strRef>
              <c:f>'El-markedet 2'!$D$96</c:f>
              <c:strCache>
                <c:ptCount val="1"/>
                <c:pt idx="0">
                  <c:v>Lav pris</c:v>
                </c:pt>
              </c:strCache>
            </c:strRef>
          </c:tx>
          <c:spPr>
            <a:ln w="28575" cap="rnd">
              <a:solidFill>
                <a:srgbClr val="F8EB84"/>
              </a:solidFill>
              <a:round/>
            </a:ln>
            <a:effectLst/>
          </c:spPr>
          <c:marker>
            <c:symbol val="none"/>
          </c:marker>
          <c:cat>
            <c:numRef>
              <c:f>'El-markedet 2'!$A$97:$A$102</c:f>
              <c:numCache>
                <c:formatCode>General</c:formatCode>
                <c:ptCount val="6"/>
                <c:pt idx="0">
                  <c:v>2030</c:v>
                </c:pt>
                <c:pt idx="1">
                  <c:v>2031</c:v>
                </c:pt>
                <c:pt idx="2">
                  <c:v>2032</c:v>
                </c:pt>
                <c:pt idx="3">
                  <c:v>2033</c:v>
                </c:pt>
                <c:pt idx="4">
                  <c:v>2034</c:v>
                </c:pt>
                <c:pt idx="5">
                  <c:v>2035</c:v>
                </c:pt>
              </c:numCache>
            </c:numRef>
          </c:cat>
          <c:val>
            <c:numRef>
              <c:f>'El-markedet 2'!$D$97:$D$102</c:f>
              <c:numCache>
                <c:formatCode>"kr"\ #\ ##0</c:formatCode>
                <c:ptCount val="6"/>
                <c:pt idx="0">
                  <c:v>1466500912.1691856</c:v>
                </c:pt>
                <c:pt idx="1">
                  <c:v>1370561600.1581171</c:v>
                </c:pt>
                <c:pt idx="2">
                  <c:v>1280898691.736558</c:v>
                </c:pt>
                <c:pt idx="3">
                  <c:v>1197101581.0622036</c:v>
                </c:pt>
                <c:pt idx="4">
                  <c:v>1118786524.3571997</c:v>
                </c:pt>
                <c:pt idx="5">
                  <c:v>942619628.98971081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A1-3E43-929D-B3F6F3C24F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7901088"/>
        <c:axId val="464790832"/>
      </c:lineChart>
      <c:catAx>
        <c:axId val="118790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64790832"/>
        <c:crosses val="autoZero"/>
        <c:auto val="1"/>
        <c:lblAlgn val="ctr"/>
        <c:lblOffset val="100"/>
        <c:noMultiLvlLbl val="0"/>
      </c:catAx>
      <c:valAx>
        <c:axId val="46479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kr&quot;\ #\ 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187901088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Utslipp!$A$24</c:f>
              <c:strCache>
                <c:ptCount val="1"/>
                <c:pt idx="0">
                  <c:v>Hovedprisbane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Utslipp!$I$14:$N$14</c:f>
              <c:numCache>
                <c:formatCode>General</c:formatCode>
                <c:ptCount val="6"/>
                <c:pt idx="0">
                  <c:v>2030</c:v>
                </c:pt>
                <c:pt idx="1">
                  <c:v>2031</c:v>
                </c:pt>
                <c:pt idx="2">
                  <c:v>2032</c:v>
                </c:pt>
                <c:pt idx="3">
                  <c:v>2033</c:v>
                </c:pt>
                <c:pt idx="4">
                  <c:v>2034</c:v>
                </c:pt>
                <c:pt idx="5">
                  <c:v>2035</c:v>
                </c:pt>
              </c:numCache>
            </c:numRef>
          </c:cat>
          <c:val>
            <c:numRef>
              <c:f>Utslipp!$I$24:$N$24</c:f>
              <c:numCache>
                <c:formatCode>"kr"\ #\ ##0</c:formatCode>
                <c:ptCount val="6"/>
                <c:pt idx="0">
                  <c:v>1895500000</c:v>
                </c:pt>
                <c:pt idx="1">
                  <c:v>1895500000</c:v>
                </c:pt>
                <c:pt idx="2">
                  <c:v>1895500000</c:v>
                </c:pt>
                <c:pt idx="3">
                  <c:v>1895500000</c:v>
                </c:pt>
                <c:pt idx="4">
                  <c:v>1895500000</c:v>
                </c:pt>
                <c:pt idx="5">
                  <c:v>1895500000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6D-FC4E-B817-03053502A470}"/>
            </c:ext>
          </c:extLst>
        </c:ser>
        <c:ser>
          <c:idx val="1"/>
          <c:order val="1"/>
          <c:tx>
            <c:strRef>
              <c:f>Utslipp!$A$25</c:f>
              <c:strCache>
                <c:ptCount val="1"/>
                <c:pt idx="0">
                  <c:v>Lavprisbane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Utslipp!$I$14:$N$14</c:f>
              <c:numCache>
                <c:formatCode>General</c:formatCode>
                <c:ptCount val="6"/>
                <c:pt idx="0">
                  <c:v>2030</c:v>
                </c:pt>
                <c:pt idx="1">
                  <c:v>2031</c:v>
                </c:pt>
                <c:pt idx="2">
                  <c:v>2032</c:v>
                </c:pt>
                <c:pt idx="3">
                  <c:v>2033</c:v>
                </c:pt>
                <c:pt idx="4">
                  <c:v>2034</c:v>
                </c:pt>
                <c:pt idx="5">
                  <c:v>2035</c:v>
                </c:pt>
              </c:numCache>
            </c:numRef>
          </c:cat>
          <c:val>
            <c:numRef>
              <c:f>Utslipp!$I$25:$N$25</c:f>
              <c:numCache>
                <c:formatCode>"kr"\ #\ ##0</c:formatCode>
                <c:ptCount val="6"/>
                <c:pt idx="0">
                  <c:v>643450000</c:v>
                </c:pt>
                <c:pt idx="1">
                  <c:v>668950000</c:v>
                </c:pt>
                <c:pt idx="2">
                  <c:v>696150000</c:v>
                </c:pt>
                <c:pt idx="3">
                  <c:v>724200000</c:v>
                </c:pt>
                <c:pt idx="4">
                  <c:v>753100000</c:v>
                </c:pt>
                <c:pt idx="5">
                  <c:v>782850000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6D-FC4E-B817-03053502A470}"/>
            </c:ext>
          </c:extLst>
        </c:ser>
        <c:ser>
          <c:idx val="2"/>
          <c:order val="2"/>
          <c:tx>
            <c:strRef>
              <c:f>Utslipp!$A$26</c:f>
              <c:strCache>
                <c:ptCount val="1"/>
                <c:pt idx="0">
                  <c:v>Høyprisbane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Utslipp!$I$14:$N$14</c:f>
              <c:numCache>
                <c:formatCode>General</c:formatCode>
                <c:ptCount val="6"/>
                <c:pt idx="0">
                  <c:v>2030</c:v>
                </c:pt>
                <c:pt idx="1">
                  <c:v>2031</c:v>
                </c:pt>
                <c:pt idx="2">
                  <c:v>2032</c:v>
                </c:pt>
                <c:pt idx="3">
                  <c:v>2033</c:v>
                </c:pt>
                <c:pt idx="4">
                  <c:v>2034</c:v>
                </c:pt>
                <c:pt idx="5">
                  <c:v>2035</c:v>
                </c:pt>
              </c:numCache>
            </c:numRef>
          </c:cat>
          <c:val>
            <c:numRef>
              <c:f>Utslipp!$I$26:$N$26</c:f>
              <c:numCache>
                <c:formatCode>"kr"\ #\ ##0</c:formatCode>
                <c:ptCount val="6"/>
                <c:pt idx="0">
                  <c:v>2541500000</c:v>
                </c:pt>
                <c:pt idx="1">
                  <c:v>2777800000</c:v>
                </c:pt>
                <c:pt idx="2">
                  <c:v>3036200000</c:v>
                </c:pt>
                <c:pt idx="3">
                  <c:v>3318400000</c:v>
                </c:pt>
                <c:pt idx="4">
                  <c:v>3626950000</c:v>
                </c:pt>
                <c:pt idx="5">
                  <c:v>3964400000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6D-FC4E-B817-03053502A4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3450848"/>
        <c:axId val="663596384"/>
      </c:lineChart>
      <c:catAx>
        <c:axId val="66345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63596384"/>
        <c:crosses val="autoZero"/>
        <c:auto val="1"/>
        <c:lblAlgn val="ctr"/>
        <c:lblOffset val="100"/>
        <c:noMultiLvlLbl val="0"/>
      </c:catAx>
      <c:valAx>
        <c:axId val="66359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kr&quot;\ #\ 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63450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6208674-EE22-D14D-A324-8F7FBCCD32D0}">
  <sheetPr/>
  <sheetViews>
    <sheetView zoomScale="12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000" cy="6070000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890A952D-5414-8B50-0AC9-6D79771C458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50</xdr:row>
      <xdr:rowOff>12700</xdr:rowOff>
    </xdr:from>
    <xdr:to>
      <xdr:col>6</xdr:col>
      <xdr:colOff>342900</xdr:colOff>
      <xdr:row>65</xdr:row>
      <xdr:rowOff>88900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8CB3795B-E30E-1CCD-EA5F-BD65A67323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762000</xdr:colOff>
      <xdr:row>9</xdr:row>
      <xdr:rowOff>63500</xdr:rowOff>
    </xdr:from>
    <xdr:to>
      <xdr:col>10</xdr:col>
      <xdr:colOff>736600</xdr:colOff>
      <xdr:row>28</xdr:row>
      <xdr:rowOff>76200</xdr:rowOff>
    </xdr:to>
    <xdr:graphicFrame macro="">
      <xdr:nvGraphicFramePr>
        <xdr:cNvPr id="2" name="Diagram 4">
          <a:extLst>
            <a:ext uri="{FF2B5EF4-FFF2-40B4-BE49-F238E27FC236}">
              <a16:creationId xmlns:a16="http://schemas.microsoft.com/office/drawing/2014/main" id="{6801A1A6-B88B-31B8-B401-140C1C2592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0.87623</cdr:x>
      <cdr:y>0.24712</cdr:y>
    </cdr:from>
    <cdr:to>
      <cdr:x>1</cdr:x>
      <cdr:y>0.51718</cdr:y>
    </cdr:to>
    <cdr:sp macro="" textlink="">
      <cdr:nvSpPr>
        <cdr:cNvPr id="2" name="TekstSylinder 1">
          <a:extLst xmlns:a="http://schemas.openxmlformats.org/drawingml/2006/main">
            <a:ext uri="{FF2B5EF4-FFF2-40B4-BE49-F238E27FC236}">
              <a16:creationId xmlns:a16="http://schemas.microsoft.com/office/drawing/2014/main" id="{C39D9BC1-D989-A293-2527-154F2759BA7A}"/>
            </a:ext>
          </a:extLst>
        </cdr:cNvPr>
        <cdr:cNvSpPr txBox="1"/>
      </cdr:nvSpPr>
      <cdr:spPr>
        <a:xfrm xmlns:a="http://schemas.openxmlformats.org/drawingml/2006/main">
          <a:off x="6473499" y="886810"/>
          <a:ext cx="914400" cy="9691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nb-NO" sz="11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1175045</xdr:colOff>
      <xdr:row>49</xdr:row>
      <xdr:rowOff>189194</xdr:rowOff>
    </xdr:from>
    <xdr:to>
      <xdr:col>9</xdr:col>
      <xdr:colOff>415420</xdr:colOff>
      <xdr:row>70</xdr:row>
      <xdr:rowOff>23738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7476EA59-9163-EABD-76C4-9BBAC2EAB7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CD6164-9365-2D4E-8245-E5EF95667387}" name="Tabell1" displayName="Tabell1" ref="A4:D12" totalsRowShown="0">
  <autoFilter ref="A4:D12" xr:uid="{5FCD6164-9365-2D4E-8245-E5EF95667387}"/>
  <sortState xmlns:xlrd2="http://schemas.microsoft.com/office/spreadsheetml/2017/richdata2" ref="A5:B10">
    <sortCondition ref="A4:A10"/>
  </sortState>
  <tableColumns count="4">
    <tableColumn id="1" xr3:uid="{ACBAD31D-2666-BC45-A921-3C016EAB960F}" name="Produksjon"/>
    <tableColumn id="2" xr3:uid="{CF74EDED-F1B3-C340-8614-42C7E2547049}" name="Verdi"/>
    <tableColumn id="3" xr3:uid="{1FC9F640-6FD7-5740-9D22-6C4831C88708}" name="Enhet"/>
    <tableColumn id="4" xr3:uid="{1A1A2301-9002-A841-A282-7186A0443BFA}" name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6483BB-393A-3E41-8734-5953FF603D7B}" name="Tabell4" displayName="Tabell4" ref="B74:D82" totalsRowShown="0" headerRowBorderDxfId="10">
  <autoFilter ref="B74:D82" xr:uid="{8B6483BB-393A-3E41-8734-5953FF603D7B}"/>
  <tableColumns count="3">
    <tableColumn id="1" xr3:uid="{12EE4B51-C7AC-3E42-85CD-D2AE91032696}" name="Samfunnsøkonomisk virkning" dataDxfId="9"/>
    <tableColumn id="2" xr3:uid="{72E0EDCC-841A-7749-B11E-C93FAA5475BB}" name="Tiltak A" dataDxfId="8"/>
    <tableColumn id="3" xr3:uid="{B1F81C72-1627-CF47-9D88-258C7B0C1E6D}" name="Tiltak B" dataDxfId="7"/>
  </tableColumns>
  <tableStyleInfo name="TableStyleLight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C5E9225-BB21-D94E-9FCB-8B18930D2773}" name="Tabell5" displayName="Tabell5" ref="B87:D94" totalsRowShown="0">
  <autoFilter ref="B87:D94" xr:uid="{2C5E9225-BB21-D94E-9FCB-8B18930D2773}"/>
  <tableColumns count="3">
    <tableColumn id="1" xr3:uid="{41EC1BFD-C0CD-F546-90A4-EE34AB11143C}" name="Kolonne1"/>
    <tableColumn id="2" xr3:uid="{FAC37E14-EE5B-B04D-83F6-F38BAD1988C2}" name="Tiltak A" dataDxfId="6"/>
    <tableColumn id="3" xr3:uid="{FF7996FB-5CD8-4848-862A-0F4A4D84F6FC}" name="Tiltak B" dataDxfId="5"/>
  </tableColumns>
  <tableStyleInfo name="TableStyleMedium2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5EBA00F-FF14-7B44-9AAA-BB586492EFBE}" name="Tabell6" displayName="Tabell6" ref="B14:D18" totalsRowShown="0" headerRowDxfId="1" dataDxfId="0">
  <autoFilter ref="B14:D18" xr:uid="{E5EBA00F-FF14-7B44-9AAA-BB586492EFBE}"/>
  <tableColumns count="3">
    <tableColumn id="1" xr3:uid="{1B8B3898-BB7B-6547-9D88-E64F0478A21B}" name="Følsomhetsanalyse - Strømpris" dataDxfId="4"/>
    <tableColumn id="2" xr3:uid="{856D62B4-8F11-5A4E-A7A6-214F9AA8A4E6}" name="Kolonne1" dataDxfId="3">
      <calculatedColumnFormula>'El-markedet 2'!B86</calculatedColumnFormula>
    </tableColumn>
    <tableColumn id="3" xr3:uid="{22F2C5DD-46AD-2C46-875E-BDCAA98995B0}" name="Kolonne2" dataDxfId="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DD9E96-0369-E14A-B2AA-7972E2E70716}" name="tabellA1" displayName="tabellA1" ref="A96:D102" totalsRowShown="0">
  <autoFilter ref="A96:D102" xr:uid="{D5DD9E96-0369-E14A-B2AA-7972E2E70716}"/>
  <tableColumns count="4">
    <tableColumn id="1" xr3:uid="{26E7480A-046A-B944-9605-B9406E5954A0}" name="År "/>
    <tableColumn id="2" xr3:uid="{D646C0B9-F5D3-0F43-9D8B-5DD6B9D5D818}" name="Forventet pris" dataDxfId="13">
      <calculatedColumnFormula>R63</calculatedColumnFormula>
    </tableColumn>
    <tableColumn id="3" xr3:uid="{B7C85FD2-9A63-7444-BEC8-A376804AC1A2}" name="Høy pris" dataDxfId="12">
      <calculatedColumnFormula>P63</calculatedColumnFormula>
    </tableColumn>
    <tableColumn id="4" xr3:uid="{937EAAEC-14CE-4542-8320-CDB374BB85D8}" name="Lav pris" dataDxfId="11">
      <calculatedColumnFormula>Q63</calculatedColumnFormula>
    </tableColumn>
  </tableColumns>
  <tableStyleInfo name="TableStyleMedium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85E86-1891-2149-A1AE-1DCC3DF950C8}" name="Tabell3" displayName="Tabell3" ref="A1:I79" totalsRowShown="0" headerRowDxfId="22">
  <autoFilter ref="A1:I79" xr:uid="{49E85E86-1891-2149-A1AE-1DCC3DF950C8}"/>
  <tableColumns count="9">
    <tableColumn id="1" xr3:uid="{D9375029-7044-7A4E-BF79-DB2E2AFB3F2A}" name="År" dataDxfId="21"/>
    <tableColumn id="2" xr3:uid="{3377CA7F-11C9-0A47-9EAE-2302C2AF7F98}" name="1. Kvotepliktig utslipp (unntatt luftfart og petroleum)" dataDxfId="20"/>
    <tableColumn id="3" xr3:uid="{E6E0B504-B5F0-5B45-BCC8-156F879ABD65}" name="2. Ikke-kvotepliktig utslipp" dataDxfId="19"/>
    <tableColumn id="4" xr3:uid="{31EAA000-9D59-1B4A-956A-B546BB56C28E}" name="3. Petroleum" dataDxfId="18"/>
    <tableColumn id="5" xr3:uid="{99C70400-ABEB-1D4B-B03F-34DC965E5E82}" name="4. Luftfart" dataDxfId="17"/>
    <tableColumn id="6" xr3:uid="{6CC8E216-64E3-FD4D-BD39-7D6ADA243BED}" name="5. Opptak og utslipp i skog- og arealbruk" dataDxfId="16"/>
    <tableColumn id="7" xr3:uid="{2227A220-5ABB-9D4F-B9ED-91BE95971049}" name="Kolonne2"/>
    <tableColumn id="8" xr3:uid="{0752D232-C41E-D147-9F71-00AF5A4DDA7F}" name="Lav bane " dataDxfId="15"/>
    <tableColumn id="9" xr3:uid="{EE699ED3-7FE7-CD40-8DB5-78F27A58C818}" name="Høy bane (IPCC 1,5°-bane - median)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33911-EE80-B34B-BDD2-E0592401D3A7}">
  <sheetPr codeName="Ark2"/>
  <dimension ref="A1:G17"/>
  <sheetViews>
    <sheetView workbookViewId="0">
      <selection activeCell="G8" sqref="G8"/>
    </sheetView>
  </sheetViews>
  <sheetFormatPr baseColWidth="10" defaultRowHeight="16" x14ac:dyDescent="0.2"/>
  <cols>
    <col min="1" max="1" width="19.33203125" customWidth="1"/>
    <col min="2" max="2" width="12.83203125" customWidth="1"/>
    <col min="3" max="3" width="12.5" customWidth="1"/>
    <col min="4" max="4" width="12.33203125" customWidth="1"/>
  </cols>
  <sheetData>
    <row r="1" spans="1:7" x14ac:dyDescent="0.2">
      <c r="A1" t="s">
        <v>16</v>
      </c>
    </row>
    <row r="4" spans="1:7" x14ac:dyDescent="0.2">
      <c r="A4" t="s">
        <v>27</v>
      </c>
      <c r="B4" t="s">
        <v>31</v>
      </c>
      <c r="C4" t="s">
        <v>29</v>
      </c>
      <c r="D4" t="s">
        <v>24</v>
      </c>
      <c r="F4">
        <v>1</v>
      </c>
      <c r="G4" t="s">
        <v>13</v>
      </c>
    </row>
    <row r="5" spans="1:7" x14ac:dyDescent="0.2">
      <c r="A5" t="s">
        <v>25</v>
      </c>
      <c r="B5">
        <f>4724315</f>
        <v>4724315</v>
      </c>
      <c r="C5" t="s">
        <v>33</v>
      </c>
      <c r="D5">
        <v>0</v>
      </c>
      <c r="F5">
        <v>2</v>
      </c>
      <c r="G5" t="s">
        <v>20</v>
      </c>
    </row>
    <row r="6" spans="1:7" x14ac:dyDescent="0.2">
      <c r="A6" t="s">
        <v>28</v>
      </c>
      <c r="B6">
        <f>345880</f>
        <v>345880</v>
      </c>
      <c r="C6" t="s">
        <v>33</v>
      </c>
      <c r="F6">
        <v>3</v>
      </c>
      <c r="G6" t="s">
        <v>21</v>
      </c>
    </row>
    <row r="7" spans="1:7" x14ac:dyDescent="0.2">
      <c r="A7" t="s">
        <v>34</v>
      </c>
      <c r="B7">
        <f>3000</f>
        <v>3000</v>
      </c>
      <c r="C7" t="s">
        <v>32</v>
      </c>
    </row>
    <row r="8" spans="1:7" x14ac:dyDescent="0.2">
      <c r="A8" t="s">
        <v>35</v>
      </c>
      <c r="B8">
        <f>B5+B6</f>
        <v>5070195</v>
      </c>
    </row>
    <row r="9" spans="1:7" x14ac:dyDescent="0.2">
      <c r="A9" t="s">
        <v>23</v>
      </c>
    </row>
    <row r="10" spans="1:7" x14ac:dyDescent="0.2">
      <c r="A10" t="s">
        <v>39</v>
      </c>
      <c r="B10">
        <f>8370000000</f>
        <v>8370000000</v>
      </c>
    </row>
    <row r="11" spans="1:7" x14ac:dyDescent="0.2">
      <c r="A11" t="s">
        <v>40</v>
      </c>
      <c r="B11">
        <v>0</v>
      </c>
    </row>
    <row r="12" spans="1:7" x14ac:dyDescent="0.2">
      <c r="A12" t="s">
        <v>38</v>
      </c>
      <c r="B12">
        <f>B10+B11</f>
        <v>8370000000</v>
      </c>
    </row>
    <row r="14" spans="1:7" x14ac:dyDescent="0.2">
      <c r="A14" t="s">
        <v>3</v>
      </c>
    </row>
    <row r="15" spans="1:7" x14ac:dyDescent="0.2">
      <c r="A15" t="s">
        <v>18</v>
      </c>
      <c r="B15">
        <v>1</v>
      </c>
      <c r="C15">
        <v>2</v>
      </c>
      <c r="D15">
        <v>3</v>
      </c>
    </row>
    <row r="16" spans="1:7" x14ac:dyDescent="0.2">
      <c r="A16" t="s">
        <v>22</v>
      </c>
      <c r="B16">
        <f>B5*1000000</f>
        <v>4724315000000</v>
      </c>
      <c r="C16">
        <f>(B5+B6)*1000000</f>
        <v>5070195000000</v>
      </c>
      <c r="D16">
        <v>0</v>
      </c>
    </row>
    <row r="17" spans="1:4" x14ac:dyDescent="0.2">
      <c r="A17" t="s">
        <v>1</v>
      </c>
      <c r="B17">
        <f>B16*B7</f>
        <v>1.4172945E+16</v>
      </c>
      <c r="C17">
        <f>C16*B7</f>
        <v>1.5210585E+16</v>
      </c>
      <c r="D17">
        <f>D16*B7</f>
        <v>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78373-265C-3E4E-88DF-CE2E8621C5FF}">
  <sheetPr codeName="Ark1"/>
  <dimension ref="A2:AD21"/>
  <sheetViews>
    <sheetView workbookViewId="0">
      <selection activeCell="F12" sqref="F12"/>
    </sheetView>
  </sheetViews>
  <sheetFormatPr baseColWidth="10" defaultRowHeight="16" x14ac:dyDescent="0.2"/>
  <cols>
    <col min="1" max="1" width="16.33203125" customWidth="1"/>
    <col min="2" max="2" width="14.6640625" bestFit="1" customWidth="1"/>
    <col min="3" max="3" width="24.1640625" customWidth="1"/>
    <col min="4" max="4" width="23" customWidth="1"/>
    <col min="5" max="5" width="21.1640625" bestFit="1" customWidth="1"/>
    <col min="6" max="6" width="11.1640625" bestFit="1" customWidth="1"/>
    <col min="10" max="10" width="23.5" customWidth="1"/>
    <col min="11" max="11" width="15.33203125" customWidth="1"/>
    <col min="12" max="12" width="16" customWidth="1"/>
    <col min="13" max="13" width="12" customWidth="1"/>
    <col min="14" max="14" width="11.83203125" customWidth="1"/>
    <col min="15" max="15" width="12" customWidth="1"/>
  </cols>
  <sheetData>
    <row r="2" spans="1:14" x14ac:dyDescent="0.2">
      <c r="A2" t="s">
        <v>3</v>
      </c>
    </row>
    <row r="3" spans="1:14" x14ac:dyDescent="0.2">
      <c r="A3" t="s">
        <v>2</v>
      </c>
      <c r="B3">
        <v>27</v>
      </c>
      <c r="D3">
        <v>1</v>
      </c>
    </row>
    <row r="4" spans="1:14" x14ac:dyDescent="0.2">
      <c r="A4" t="s">
        <v>4</v>
      </c>
      <c r="B4">
        <v>5</v>
      </c>
    </row>
    <row r="5" spans="1:14" x14ac:dyDescent="0.2">
      <c r="A5" t="s">
        <v>5</v>
      </c>
      <c r="B5">
        <v>2023</v>
      </c>
    </row>
    <row r="6" spans="1:14" x14ac:dyDescent="0.2">
      <c r="A6" t="s">
        <v>6</v>
      </c>
      <c r="B6">
        <v>2030</v>
      </c>
      <c r="M6" t="s">
        <v>46</v>
      </c>
    </row>
    <row r="7" spans="1:14" x14ac:dyDescent="0.2">
      <c r="A7" t="s">
        <v>7</v>
      </c>
      <c r="B7">
        <v>2050</v>
      </c>
      <c r="D7" t="s">
        <v>36</v>
      </c>
      <c r="E7">
        <v>1</v>
      </c>
      <c r="F7">
        <v>2</v>
      </c>
      <c r="G7">
        <v>3</v>
      </c>
      <c r="J7" t="s">
        <v>44</v>
      </c>
      <c r="K7">
        <v>50</v>
      </c>
      <c r="L7">
        <f>K7*24*365</f>
        <v>438000</v>
      </c>
      <c r="M7">
        <f>'El-markedet'!B14</f>
        <v>250</v>
      </c>
      <c r="N7">
        <f>L7*M7</f>
        <v>109500000</v>
      </c>
    </row>
    <row r="8" spans="1:14" x14ac:dyDescent="0.2">
      <c r="D8" t="s">
        <v>41</v>
      </c>
      <c r="E8">
        <v>370000000</v>
      </c>
      <c r="F8">
        <f>E8</f>
        <v>370000000</v>
      </c>
      <c r="J8" t="s">
        <v>45</v>
      </c>
      <c r="K8">
        <v>400</v>
      </c>
      <c r="L8">
        <f>K8*24*365</f>
        <v>3504000</v>
      </c>
      <c r="M8">
        <f>'El-markedet'!B18</f>
        <v>305.75</v>
      </c>
      <c r="N8">
        <f>L8*M8</f>
        <v>1071348000</v>
      </c>
    </row>
    <row r="9" spans="1:14" x14ac:dyDescent="0.2">
      <c r="A9" t="s">
        <v>8</v>
      </c>
      <c r="B9">
        <f>3000</f>
        <v>3000</v>
      </c>
      <c r="D9" t="s">
        <v>42</v>
      </c>
      <c r="E9" s="3">
        <f>((B12*1000000)*B9)+N7</f>
        <v>1037640109500000</v>
      </c>
      <c r="F9">
        <f>N8</f>
        <v>1071348000</v>
      </c>
    </row>
    <row r="10" spans="1:14" x14ac:dyDescent="0.2">
      <c r="A10" t="s">
        <v>9</v>
      </c>
      <c r="D10" t="s">
        <v>43</v>
      </c>
      <c r="E10" s="3">
        <f>E8+E9</f>
        <v>1037640479500000</v>
      </c>
      <c r="F10">
        <f>F8+F9</f>
        <v>1441348000</v>
      </c>
    </row>
    <row r="11" spans="1:14" x14ac:dyDescent="0.2">
      <c r="A11" t="s">
        <v>10</v>
      </c>
      <c r="B11" s="2">
        <v>4724315</v>
      </c>
      <c r="C11" t="s">
        <v>14</v>
      </c>
    </row>
    <row r="12" spans="1:14" x14ac:dyDescent="0.2">
      <c r="A12" t="s">
        <v>11</v>
      </c>
      <c r="B12" s="2">
        <v>345880</v>
      </c>
      <c r="C12" t="s">
        <v>14</v>
      </c>
    </row>
    <row r="13" spans="1:14" x14ac:dyDescent="0.2">
      <c r="A13" t="s">
        <v>15</v>
      </c>
      <c r="B13" s="3">
        <f>B11+B12</f>
        <v>5070195</v>
      </c>
    </row>
    <row r="17" spans="1:30" x14ac:dyDescent="0.2">
      <c r="B17" t="s">
        <v>0</v>
      </c>
      <c r="C17">
        <f>B5</f>
        <v>2023</v>
      </c>
      <c r="D17">
        <f>$C$17+D18</f>
        <v>2024</v>
      </c>
      <c r="E17">
        <f t="shared" ref="E17:G17" si="0">$C$17+E18</f>
        <v>2025</v>
      </c>
      <c r="F17">
        <f t="shared" si="0"/>
        <v>2026</v>
      </c>
      <c r="G17">
        <f t="shared" si="0"/>
        <v>2027</v>
      </c>
      <c r="H17">
        <f t="shared" ref="H17" si="1">$C$17+H18</f>
        <v>2028</v>
      </c>
      <c r="I17">
        <f t="shared" ref="I17" si="2">$C$17+I18</f>
        <v>2029</v>
      </c>
      <c r="J17">
        <f t="shared" ref="J17" si="3">$C$17+J18</f>
        <v>2030</v>
      </c>
      <c r="K17">
        <f t="shared" ref="K17" si="4">$C$17+K18</f>
        <v>2031</v>
      </c>
      <c r="L17">
        <f t="shared" ref="L17" si="5">$C$17+L18</f>
        <v>2032</v>
      </c>
      <c r="M17">
        <f t="shared" ref="M17" si="6">$C$17+M18</f>
        <v>2033</v>
      </c>
      <c r="N17">
        <f t="shared" ref="N17" si="7">$C$17+N18</f>
        <v>2034</v>
      </c>
      <c r="O17">
        <f t="shared" ref="O17" si="8">$C$17+O18</f>
        <v>2035</v>
      </c>
      <c r="P17">
        <f t="shared" ref="P17" si="9">$C$17+P18</f>
        <v>2036</v>
      </c>
      <c r="Q17">
        <f t="shared" ref="Q17" si="10">$C$17+Q18</f>
        <v>2037</v>
      </c>
      <c r="R17">
        <f t="shared" ref="R17" si="11">$C$17+R18</f>
        <v>2038</v>
      </c>
      <c r="S17">
        <f t="shared" ref="S17" si="12">$C$17+S18</f>
        <v>2039</v>
      </c>
      <c r="T17">
        <f t="shared" ref="T17" si="13">$C$17+T18</f>
        <v>2040</v>
      </c>
      <c r="U17">
        <f t="shared" ref="U17" si="14">$C$17+U18</f>
        <v>2041</v>
      </c>
      <c r="V17">
        <f t="shared" ref="V17" si="15">$C$17+V18</f>
        <v>2042</v>
      </c>
      <c r="W17">
        <f t="shared" ref="W17" si="16">$C$17+W18</f>
        <v>2043</v>
      </c>
      <c r="X17">
        <f t="shared" ref="X17" si="17">$C$17+X18</f>
        <v>2044</v>
      </c>
      <c r="Y17">
        <f t="shared" ref="Y17" si="18">$C$17+Y18</f>
        <v>2045</v>
      </c>
      <c r="Z17">
        <f t="shared" ref="Z17" si="19">$C$17+Z18</f>
        <v>2046</v>
      </c>
      <c r="AA17">
        <f t="shared" ref="AA17" si="20">$C$17+AA18</f>
        <v>2047</v>
      </c>
      <c r="AB17">
        <f t="shared" ref="AB17" si="21">$C$17+AB18</f>
        <v>2048</v>
      </c>
      <c r="AC17">
        <f t="shared" ref="AC17" si="22">$C$17+AC18</f>
        <v>2049</v>
      </c>
      <c r="AD17">
        <f t="shared" ref="AD17" si="23">$C$17+AD18</f>
        <v>2050</v>
      </c>
    </row>
    <row r="18" spans="1:30" x14ac:dyDescent="0.2">
      <c r="A18" t="s">
        <v>3</v>
      </c>
      <c r="B18" t="s">
        <v>37</v>
      </c>
      <c r="C18">
        <v>0</v>
      </c>
      <c r="D18">
        <f>C18+$D$3</f>
        <v>1</v>
      </c>
      <c r="E18">
        <f t="shared" ref="E18:AD18" si="24">D18+$D$3</f>
        <v>2</v>
      </c>
      <c r="F18">
        <f t="shared" si="24"/>
        <v>3</v>
      </c>
      <c r="G18">
        <f t="shared" si="24"/>
        <v>4</v>
      </c>
      <c r="H18">
        <f t="shared" si="24"/>
        <v>5</v>
      </c>
      <c r="I18">
        <f t="shared" si="24"/>
        <v>6</v>
      </c>
      <c r="J18">
        <f t="shared" si="24"/>
        <v>7</v>
      </c>
      <c r="K18">
        <f t="shared" si="24"/>
        <v>8</v>
      </c>
      <c r="L18">
        <f t="shared" si="24"/>
        <v>9</v>
      </c>
      <c r="M18">
        <f t="shared" si="24"/>
        <v>10</v>
      </c>
      <c r="N18">
        <f t="shared" si="24"/>
        <v>11</v>
      </c>
      <c r="O18">
        <f t="shared" si="24"/>
        <v>12</v>
      </c>
      <c r="P18">
        <f t="shared" si="24"/>
        <v>13</v>
      </c>
      <c r="Q18">
        <f t="shared" si="24"/>
        <v>14</v>
      </c>
      <c r="R18">
        <f t="shared" si="24"/>
        <v>15</v>
      </c>
      <c r="S18">
        <f t="shared" si="24"/>
        <v>16</v>
      </c>
      <c r="T18">
        <f t="shared" si="24"/>
        <v>17</v>
      </c>
      <c r="U18">
        <f t="shared" si="24"/>
        <v>18</v>
      </c>
      <c r="V18">
        <f t="shared" si="24"/>
        <v>19</v>
      </c>
      <c r="W18">
        <f t="shared" si="24"/>
        <v>20</v>
      </c>
      <c r="X18">
        <f t="shared" si="24"/>
        <v>21</v>
      </c>
      <c r="Y18">
        <f t="shared" si="24"/>
        <v>22</v>
      </c>
      <c r="Z18">
        <f t="shared" si="24"/>
        <v>23</v>
      </c>
      <c r="AA18">
        <f t="shared" si="24"/>
        <v>24</v>
      </c>
      <c r="AB18">
        <f t="shared" si="24"/>
        <v>25</v>
      </c>
      <c r="AC18">
        <f t="shared" si="24"/>
        <v>26</v>
      </c>
      <c r="AD18">
        <f t="shared" si="24"/>
        <v>27</v>
      </c>
    </row>
    <row r="19" spans="1:30" x14ac:dyDescent="0.2">
      <c r="B19" t="s">
        <v>23</v>
      </c>
      <c r="C19" s="3">
        <f>((B11*1000000)*B9)</f>
        <v>1.4172945E+16</v>
      </c>
      <c r="D19">
        <f>C19</f>
        <v>1.4172945E+16</v>
      </c>
      <c r="E19">
        <f t="shared" ref="E19:I19" si="25">D19</f>
        <v>1.4172945E+16</v>
      </c>
      <c r="F19">
        <f t="shared" si="25"/>
        <v>1.4172945E+16</v>
      </c>
      <c r="G19">
        <f t="shared" si="25"/>
        <v>1.4172945E+16</v>
      </c>
      <c r="H19">
        <f t="shared" si="25"/>
        <v>1.4172945E+16</v>
      </c>
      <c r="I19">
        <f t="shared" si="25"/>
        <v>1.4172945E+16</v>
      </c>
      <c r="J19" s="3">
        <f>((B13*1000000)*B9)</f>
        <v>1.5210585E+16</v>
      </c>
      <c r="K19" s="3">
        <f>J19</f>
        <v>1.5210585E+16</v>
      </c>
      <c r="L19" s="3">
        <f t="shared" ref="L19:O19" si="26">K19</f>
        <v>1.5210585E+16</v>
      </c>
      <c r="M19" s="3">
        <f t="shared" si="26"/>
        <v>1.5210585E+16</v>
      </c>
      <c r="N19" s="3">
        <f t="shared" si="26"/>
        <v>1.5210585E+16</v>
      </c>
      <c r="O19" s="3">
        <f t="shared" si="26"/>
        <v>1.5210585E+16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">
      <c r="B20" t="s">
        <v>36</v>
      </c>
      <c r="C20" s="3">
        <f>E10</f>
        <v>1037640479500000</v>
      </c>
      <c r="D20" s="3">
        <f>C20</f>
        <v>1037640479500000</v>
      </c>
      <c r="E20" s="3">
        <f t="shared" ref="E20:I20" si="27">D20</f>
        <v>1037640479500000</v>
      </c>
      <c r="F20" s="3">
        <f t="shared" si="27"/>
        <v>1037640479500000</v>
      </c>
      <c r="G20" s="3">
        <f t="shared" si="27"/>
        <v>1037640479500000</v>
      </c>
      <c r="H20" s="3">
        <f t="shared" si="27"/>
        <v>1037640479500000</v>
      </c>
      <c r="I20" s="3">
        <f t="shared" si="27"/>
        <v>1037640479500000</v>
      </c>
      <c r="J20" s="3">
        <f>F10</f>
        <v>1441348000</v>
      </c>
      <c r="K20" s="3">
        <f>J20</f>
        <v>1441348000</v>
      </c>
      <c r="L20" s="3">
        <f t="shared" ref="L20:O20" si="28">K20</f>
        <v>1441348000</v>
      </c>
      <c r="M20" s="3">
        <f t="shared" si="28"/>
        <v>1441348000</v>
      </c>
      <c r="N20" s="3">
        <f t="shared" si="28"/>
        <v>1441348000</v>
      </c>
      <c r="O20" s="3">
        <f t="shared" si="28"/>
        <v>1441348000</v>
      </c>
    </row>
    <row r="21" spans="1:30" x14ac:dyDescent="0.2">
      <c r="B21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EBEEF-16AA-DE4C-874F-B40C0A2591FF}">
  <sheetPr codeName="Ark7"/>
  <dimension ref="A1:AD68"/>
  <sheetViews>
    <sheetView topLeftCell="A93" workbookViewId="0">
      <selection activeCell="C29" sqref="C29"/>
    </sheetView>
  </sheetViews>
  <sheetFormatPr baseColWidth="10" defaultRowHeight="16" x14ac:dyDescent="0.2"/>
  <cols>
    <col min="1" max="2" width="26.5" customWidth="1"/>
    <col min="3" max="3" width="22" customWidth="1"/>
    <col min="4" max="4" width="19.83203125" customWidth="1"/>
    <col min="5" max="5" width="18.6640625" customWidth="1"/>
    <col min="6" max="6" width="19.6640625" customWidth="1"/>
    <col min="10" max="11" width="12.1640625" bestFit="1" customWidth="1"/>
  </cols>
  <sheetData>
    <row r="1" spans="1:9" x14ac:dyDescent="0.2">
      <c r="A1" s="19" t="s">
        <v>95</v>
      </c>
      <c r="B1" s="19"/>
    </row>
    <row r="4" spans="1:9" x14ac:dyDescent="0.2">
      <c r="A4" s="19" t="s">
        <v>96</v>
      </c>
      <c r="B4" s="19"/>
      <c r="D4" t="s">
        <v>29</v>
      </c>
      <c r="F4" t="s">
        <v>104</v>
      </c>
      <c r="G4" t="s">
        <v>103</v>
      </c>
      <c r="H4" t="s">
        <v>101</v>
      </c>
      <c r="I4" t="s">
        <v>108</v>
      </c>
    </row>
    <row r="5" spans="1:9" x14ac:dyDescent="0.2">
      <c r="A5" t="s">
        <v>34</v>
      </c>
      <c r="C5">
        <v>3000</v>
      </c>
      <c r="D5" t="s">
        <v>32</v>
      </c>
      <c r="F5" t="s">
        <v>105</v>
      </c>
      <c r="G5">
        <v>350</v>
      </c>
      <c r="H5">
        <v>850000</v>
      </c>
      <c r="I5">
        <f>G5*H5</f>
        <v>297500000</v>
      </c>
    </row>
    <row r="6" spans="1:9" x14ac:dyDescent="0.2">
      <c r="A6" t="s">
        <v>102</v>
      </c>
      <c r="C6">
        <v>4724315</v>
      </c>
      <c r="D6" t="s">
        <v>30</v>
      </c>
      <c r="F6" t="s">
        <v>106</v>
      </c>
      <c r="G6">
        <v>150</v>
      </c>
      <c r="H6">
        <v>500000</v>
      </c>
      <c r="I6">
        <f>G6*H6</f>
        <v>75000000</v>
      </c>
    </row>
    <row r="7" spans="1:9" x14ac:dyDescent="0.2">
      <c r="A7" t="s">
        <v>97</v>
      </c>
      <c r="C7">
        <v>345880</v>
      </c>
      <c r="D7" t="s">
        <v>30</v>
      </c>
      <c r="F7" t="s">
        <v>107</v>
      </c>
      <c r="G7">
        <f>G5+G6</f>
        <v>500</v>
      </c>
      <c r="I7">
        <f>I5+I6</f>
        <v>372500000</v>
      </c>
    </row>
    <row r="8" spans="1:9" x14ac:dyDescent="0.2">
      <c r="A8" t="s">
        <v>99</v>
      </c>
    </row>
    <row r="9" spans="1:9" x14ac:dyDescent="0.2">
      <c r="A9" t="s">
        <v>98</v>
      </c>
      <c r="C9">
        <f>kladd3!L7</f>
        <v>438000</v>
      </c>
      <c r="D9" t="s">
        <v>52</v>
      </c>
    </row>
    <row r="10" spans="1:9" x14ac:dyDescent="0.2">
      <c r="A10" t="s">
        <v>100</v>
      </c>
      <c r="C10">
        <f>'El-markedet'!B14</f>
        <v>250</v>
      </c>
      <c r="D10" t="s">
        <v>53</v>
      </c>
    </row>
    <row r="11" spans="1:9" x14ac:dyDescent="0.2">
      <c r="A11" t="s">
        <v>112</v>
      </c>
      <c r="C11">
        <f>(C9*C10)+(C7*C5)+I7</f>
        <v>1519640000</v>
      </c>
    </row>
    <row r="12" spans="1:9" x14ac:dyDescent="0.2">
      <c r="A12" t="s">
        <v>75</v>
      </c>
      <c r="C12">
        <v>27</v>
      </c>
    </row>
    <row r="13" spans="1:9" x14ac:dyDescent="0.2">
      <c r="A13" t="s">
        <v>109</v>
      </c>
      <c r="C13">
        <v>2023</v>
      </c>
      <c r="E13">
        <v>1</v>
      </c>
    </row>
    <row r="14" spans="1:9" x14ac:dyDescent="0.2">
      <c r="A14" t="s">
        <v>110</v>
      </c>
      <c r="C14">
        <v>2050</v>
      </c>
    </row>
    <row r="15" spans="1:9" x14ac:dyDescent="0.2">
      <c r="A15" t="s">
        <v>81</v>
      </c>
      <c r="C15">
        <v>7.0000000000000007E-2</v>
      </c>
    </row>
    <row r="16" spans="1:9" x14ac:dyDescent="0.2">
      <c r="C16">
        <v>1.07</v>
      </c>
    </row>
    <row r="18" spans="1:30" x14ac:dyDescent="0.2">
      <c r="A18" t="s">
        <v>19</v>
      </c>
      <c r="C18">
        <f>C13</f>
        <v>2023</v>
      </c>
      <c r="D18">
        <f>C18+$E$13</f>
        <v>2024</v>
      </c>
      <c r="E18">
        <f t="shared" ref="E18:AD18" si="0">D18+$E$13</f>
        <v>2025</v>
      </c>
      <c r="F18">
        <f t="shared" si="0"/>
        <v>2026</v>
      </c>
      <c r="G18">
        <f t="shared" si="0"/>
        <v>2027</v>
      </c>
      <c r="H18">
        <f t="shared" si="0"/>
        <v>2028</v>
      </c>
      <c r="I18">
        <f t="shared" si="0"/>
        <v>2029</v>
      </c>
      <c r="J18">
        <f t="shared" si="0"/>
        <v>2030</v>
      </c>
      <c r="K18">
        <f t="shared" si="0"/>
        <v>2031</v>
      </c>
      <c r="L18">
        <f t="shared" si="0"/>
        <v>2032</v>
      </c>
      <c r="M18">
        <f t="shared" si="0"/>
        <v>2033</v>
      </c>
      <c r="N18">
        <f t="shared" si="0"/>
        <v>2034</v>
      </c>
      <c r="O18">
        <f t="shared" si="0"/>
        <v>2035</v>
      </c>
      <c r="P18">
        <f t="shared" si="0"/>
        <v>2036</v>
      </c>
      <c r="Q18">
        <f t="shared" si="0"/>
        <v>2037</v>
      </c>
      <c r="R18">
        <f t="shared" si="0"/>
        <v>2038</v>
      </c>
      <c r="S18">
        <f t="shared" si="0"/>
        <v>2039</v>
      </c>
      <c r="T18">
        <f t="shared" si="0"/>
        <v>2040</v>
      </c>
      <c r="U18">
        <f t="shared" si="0"/>
        <v>2041</v>
      </c>
      <c r="V18">
        <f t="shared" si="0"/>
        <v>2042</v>
      </c>
      <c r="W18">
        <f t="shared" si="0"/>
        <v>2043</v>
      </c>
      <c r="X18">
        <f t="shared" si="0"/>
        <v>2044</v>
      </c>
      <c r="Y18">
        <f t="shared" si="0"/>
        <v>2045</v>
      </c>
      <c r="Z18">
        <f t="shared" si="0"/>
        <v>2046</v>
      </c>
      <c r="AA18">
        <f t="shared" si="0"/>
        <v>2047</v>
      </c>
      <c r="AB18">
        <f t="shared" si="0"/>
        <v>2048</v>
      </c>
      <c r="AC18">
        <f t="shared" si="0"/>
        <v>2049</v>
      </c>
      <c r="AD18">
        <f t="shared" si="0"/>
        <v>2050</v>
      </c>
    </row>
    <row r="19" spans="1:30" x14ac:dyDescent="0.2">
      <c r="A19" t="s">
        <v>111</v>
      </c>
      <c r="C19">
        <f>C6</f>
        <v>4724315</v>
      </c>
      <c r="D19">
        <f>C19</f>
        <v>4724315</v>
      </c>
      <c r="E19">
        <f t="shared" ref="E19:I19" si="1">D19</f>
        <v>4724315</v>
      </c>
      <c r="F19">
        <f t="shared" si="1"/>
        <v>4724315</v>
      </c>
      <c r="G19">
        <f t="shared" si="1"/>
        <v>4724315</v>
      </c>
      <c r="H19">
        <f t="shared" si="1"/>
        <v>4724315</v>
      </c>
      <c r="I19">
        <f t="shared" si="1"/>
        <v>4724315</v>
      </c>
    </row>
    <row r="20" spans="1:30" x14ac:dyDescent="0.2">
      <c r="A20" t="s">
        <v>23</v>
      </c>
      <c r="C20">
        <f>C19*C5</f>
        <v>14172945000</v>
      </c>
      <c r="D20">
        <f>C20</f>
        <v>14172945000</v>
      </c>
      <c r="E20">
        <f t="shared" ref="E20:I20" si="2">D20</f>
        <v>14172945000</v>
      </c>
      <c r="F20">
        <f t="shared" si="2"/>
        <v>14172945000</v>
      </c>
      <c r="G20">
        <f t="shared" si="2"/>
        <v>14172945000</v>
      </c>
      <c r="H20">
        <f t="shared" si="2"/>
        <v>14172945000</v>
      </c>
      <c r="I20">
        <f t="shared" si="2"/>
        <v>14172945000</v>
      </c>
    </row>
    <row r="21" spans="1:30" x14ac:dyDescent="0.2">
      <c r="A21" t="s">
        <v>112</v>
      </c>
      <c r="C21">
        <f>C11</f>
        <v>1519640000</v>
      </c>
      <c r="D21">
        <f>C21</f>
        <v>1519640000</v>
      </c>
      <c r="E21">
        <f t="shared" ref="E21:I21" si="3">D21</f>
        <v>1519640000</v>
      </c>
      <c r="F21">
        <f t="shared" si="3"/>
        <v>1519640000</v>
      </c>
      <c r="G21">
        <f t="shared" si="3"/>
        <v>1519640000</v>
      </c>
      <c r="H21">
        <f t="shared" si="3"/>
        <v>1519640000</v>
      </c>
      <c r="I21">
        <f t="shared" si="3"/>
        <v>1519640000</v>
      </c>
    </row>
    <row r="22" spans="1:30" x14ac:dyDescent="0.2">
      <c r="A22" t="s">
        <v>94</v>
      </c>
      <c r="C22">
        <f>C20-C21</f>
        <v>12653305000</v>
      </c>
      <c r="D22">
        <f>C22</f>
        <v>12653305000</v>
      </c>
      <c r="E22">
        <f t="shared" ref="E22:I22" si="4">D22</f>
        <v>12653305000</v>
      </c>
      <c r="F22">
        <f t="shared" si="4"/>
        <v>12653305000</v>
      </c>
      <c r="G22">
        <f t="shared" si="4"/>
        <v>12653305000</v>
      </c>
      <c r="H22">
        <f t="shared" si="4"/>
        <v>12653305000</v>
      </c>
      <c r="I22">
        <f t="shared" si="4"/>
        <v>12653305000</v>
      </c>
    </row>
    <row r="26" spans="1:30" x14ac:dyDescent="0.2">
      <c r="A26" t="s">
        <v>113</v>
      </c>
    </row>
    <row r="27" spans="1:30" x14ac:dyDescent="0.2">
      <c r="A27" t="s">
        <v>23</v>
      </c>
      <c r="C27" s="7">
        <f>NPV(C15,C20:AD20)</f>
        <v>76382102278.649887</v>
      </c>
    </row>
    <row r="28" spans="1:30" x14ac:dyDescent="0.2">
      <c r="A28" t="s">
        <v>36</v>
      </c>
      <c r="C28" s="7">
        <f>NPV(C15,C21:AD21)</f>
        <v>8189779746.3214245</v>
      </c>
    </row>
    <row r="29" spans="1:30" x14ac:dyDescent="0.2">
      <c r="A29" t="s">
        <v>93</v>
      </c>
      <c r="C29" s="7">
        <f>C27-C28</f>
        <v>68192322532.328461</v>
      </c>
    </row>
    <row r="32" spans="1:30" x14ac:dyDescent="0.2">
      <c r="A32" t="s">
        <v>3</v>
      </c>
    </row>
    <row r="33" spans="1:30" x14ac:dyDescent="0.2">
      <c r="A33" t="s">
        <v>114</v>
      </c>
      <c r="C33">
        <f>13.2*1000000</f>
        <v>13200000</v>
      </c>
    </row>
    <row r="34" spans="1:30" x14ac:dyDescent="0.2">
      <c r="A34" t="s">
        <v>115</v>
      </c>
    </row>
    <row r="35" spans="1:30" x14ac:dyDescent="0.2">
      <c r="A35" t="s">
        <v>104</v>
      </c>
      <c r="C35">
        <f>I7</f>
        <v>372500000</v>
      </c>
    </row>
    <row r="36" spans="1:30" x14ac:dyDescent="0.2">
      <c r="A36" t="s">
        <v>116</v>
      </c>
      <c r="C36">
        <f>kladd3!N8</f>
        <v>1071348000</v>
      </c>
    </row>
    <row r="37" spans="1:30" x14ac:dyDescent="0.2">
      <c r="A37" t="s">
        <v>43</v>
      </c>
      <c r="C37">
        <f>C35+C36</f>
        <v>1443848000</v>
      </c>
    </row>
    <row r="44" spans="1:30" x14ac:dyDescent="0.2">
      <c r="A44" t="s">
        <v>19</v>
      </c>
      <c r="C44">
        <v>2023</v>
      </c>
      <c r="D44">
        <f>C44+$E$13</f>
        <v>2024</v>
      </c>
      <c r="E44">
        <f t="shared" ref="E44:AD44" si="5">D44+$E$13</f>
        <v>2025</v>
      </c>
      <c r="F44">
        <f t="shared" si="5"/>
        <v>2026</v>
      </c>
      <c r="G44">
        <f t="shared" si="5"/>
        <v>2027</v>
      </c>
      <c r="H44">
        <f t="shared" si="5"/>
        <v>2028</v>
      </c>
      <c r="I44">
        <f t="shared" si="5"/>
        <v>2029</v>
      </c>
      <c r="J44">
        <f t="shared" si="5"/>
        <v>2030</v>
      </c>
      <c r="K44">
        <f t="shared" si="5"/>
        <v>2031</v>
      </c>
      <c r="L44">
        <f t="shared" si="5"/>
        <v>2032</v>
      </c>
      <c r="M44">
        <f t="shared" si="5"/>
        <v>2033</v>
      </c>
      <c r="N44">
        <f t="shared" si="5"/>
        <v>2034</v>
      </c>
      <c r="O44">
        <f t="shared" si="5"/>
        <v>2035</v>
      </c>
      <c r="P44">
        <f t="shared" si="5"/>
        <v>2036</v>
      </c>
      <c r="Q44">
        <f t="shared" si="5"/>
        <v>2037</v>
      </c>
      <c r="R44">
        <f t="shared" si="5"/>
        <v>2038</v>
      </c>
      <c r="S44">
        <f t="shared" si="5"/>
        <v>2039</v>
      </c>
      <c r="T44">
        <f t="shared" si="5"/>
        <v>2040</v>
      </c>
      <c r="U44">
        <f t="shared" si="5"/>
        <v>2041</v>
      </c>
      <c r="V44">
        <f t="shared" si="5"/>
        <v>2042</v>
      </c>
      <c r="W44">
        <f t="shared" si="5"/>
        <v>2043</v>
      </c>
      <c r="X44">
        <f t="shared" si="5"/>
        <v>2044</v>
      </c>
      <c r="Y44">
        <f t="shared" si="5"/>
        <v>2045</v>
      </c>
      <c r="Z44">
        <f t="shared" si="5"/>
        <v>2046</v>
      </c>
      <c r="AA44">
        <f t="shared" si="5"/>
        <v>2047</v>
      </c>
      <c r="AB44">
        <f t="shared" si="5"/>
        <v>2048</v>
      </c>
      <c r="AC44">
        <f t="shared" si="5"/>
        <v>2049</v>
      </c>
      <c r="AD44">
        <f t="shared" si="5"/>
        <v>2050</v>
      </c>
    </row>
    <row r="45" spans="1:30" x14ac:dyDescent="0.2">
      <c r="A45" t="s">
        <v>37</v>
      </c>
      <c r="C45">
        <v>0</v>
      </c>
      <c r="D45">
        <f>C45+$E$13</f>
        <v>1</v>
      </c>
      <c r="E45">
        <f t="shared" ref="E45:AD45" si="6">D45+$E$13</f>
        <v>2</v>
      </c>
      <c r="F45">
        <f t="shared" si="6"/>
        <v>3</v>
      </c>
      <c r="G45">
        <f t="shared" si="6"/>
        <v>4</v>
      </c>
      <c r="H45">
        <f t="shared" si="6"/>
        <v>5</v>
      </c>
      <c r="I45">
        <f t="shared" si="6"/>
        <v>6</v>
      </c>
      <c r="J45">
        <f t="shared" si="6"/>
        <v>7</v>
      </c>
      <c r="K45">
        <f t="shared" si="6"/>
        <v>8</v>
      </c>
      <c r="L45">
        <f t="shared" si="6"/>
        <v>9</v>
      </c>
      <c r="M45">
        <f t="shared" si="6"/>
        <v>10</v>
      </c>
      <c r="N45">
        <f t="shared" si="6"/>
        <v>11</v>
      </c>
      <c r="O45">
        <f t="shared" si="6"/>
        <v>12</v>
      </c>
      <c r="P45">
        <f t="shared" si="6"/>
        <v>13</v>
      </c>
      <c r="Q45">
        <f t="shared" si="6"/>
        <v>14</v>
      </c>
      <c r="R45">
        <f t="shared" si="6"/>
        <v>15</v>
      </c>
      <c r="S45">
        <f t="shared" si="6"/>
        <v>16</v>
      </c>
      <c r="T45">
        <f t="shared" si="6"/>
        <v>17</v>
      </c>
      <c r="U45">
        <f t="shared" si="6"/>
        <v>18</v>
      </c>
      <c r="V45">
        <f t="shared" si="6"/>
        <v>19</v>
      </c>
      <c r="W45">
        <f t="shared" si="6"/>
        <v>20</v>
      </c>
      <c r="X45">
        <f t="shared" si="6"/>
        <v>21</v>
      </c>
      <c r="Y45">
        <f t="shared" si="6"/>
        <v>22</v>
      </c>
      <c r="Z45">
        <f t="shared" si="6"/>
        <v>23</v>
      </c>
      <c r="AA45">
        <f t="shared" si="6"/>
        <v>24</v>
      </c>
      <c r="AB45">
        <f t="shared" si="6"/>
        <v>25</v>
      </c>
      <c r="AC45">
        <f t="shared" si="6"/>
        <v>26</v>
      </c>
      <c r="AD45">
        <f t="shared" si="6"/>
        <v>27</v>
      </c>
    </row>
    <row r="47" spans="1:30" x14ac:dyDescent="0.2">
      <c r="A47" t="s">
        <v>111</v>
      </c>
      <c r="C47">
        <f>C6</f>
        <v>4724315</v>
      </c>
      <c r="D47">
        <f>C47</f>
        <v>4724315</v>
      </c>
      <c r="E47">
        <f t="shared" ref="E47:I47" si="7">D47</f>
        <v>4724315</v>
      </c>
      <c r="F47">
        <f t="shared" si="7"/>
        <v>4724315</v>
      </c>
      <c r="G47">
        <f t="shared" si="7"/>
        <v>4724315</v>
      </c>
      <c r="H47">
        <f t="shared" si="7"/>
        <v>4724315</v>
      </c>
      <c r="I47">
        <f t="shared" si="7"/>
        <v>4724315</v>
      </c>
      <c r="J47">
        <f>C6+C7</f>
        <v>5070195</v>
      </c>
      <c r="K47">
        <f>J47</f>
        <v>5070195</v>
      </c>
      <c r="L47">
        <f t="shared" ref="L47:O47" si="8">K47</f>
        <v>5070195</v>
      </c>
      <c r="M47">
        <f t="shared" si="8"/>
        <v>5070195</v>
      </c>
      <c r="N47">
        <f t="shared" si="8"/>
        <v>5070195</v>
      </c>
      <c r="O47">
        <f t="shared" si="8"/>
        <v>5070195</v>
      </c>
    </row>
    <row r="48" spans="1:30" x14ac:dyDescent="0.2">
      <c r="A48" t="s">
        <v>23</v>
      </c>
      <c r="C48">
        <f>C47*C5</f>
        <v>14172945000</v>
      </c>
      <c r="D48">
        <f>C48</f>
        <v>14172945000</v>
      </c>
      <c r="E48">
        <f t="shared" ref="E48:I48" si="9">D48</f>
        <v>14172945000</v>
      </c>
      <c r="F48">
        <f t="shared" si="9"/>
        <v>14172945000</v>
      </c>
      <c r="G48">
        <f t="shared" si="9"/>
        <v>14172945000</v>
      </c>
      <c r="H48">
        <f t="shared" si="9"/>
        <v>14172945000</v>
      </c>
      <c r="I48">
        <f t="shared" si="9"/>
        <v>14172945000</v>
      </c>
      <c r="J48">
        <f>J47*C5</f>
        <v>15210585000</v>
      </c>
      <c r="K48">
        <f>J48</f>
        <v>15210585000</v>
      </c>
      <c r="L48">
        <f t="shared" ref="L48:O48" si="10">K48</f>
        <v>15210585000</v>
      </c>
      <c r="M48">
        <f t="shared" si="10"/>
        <v>15210585000</v>
      </c>
      <c r="N48">
        <f t="shared" si="10"/>
        <v>15210585000</v>
      </c>
      <c r="O48">
        <f t="shared" si="10"/>
        <v>15210585000</v>
      </c>
    </row>
    <row r="49" spans="1:15" x14ac:dyDescent="0.2">
      <c r="A49" t="s">
        <v>112</v>
      </c>
      <c r="C49">
        <f>C36</f>
        <v>1071348000</v>
      </c>
      <c r="D49">
        <f>C49</f>
        <v>1071348000</v>
      </c>
      <c r="E49">
        <f t="shared" ref="E49:I49" si="11">D49</f>
        <v>1071348000</v>
      </c>
      <c r="F49">
        <f t="shared" si="11"/>
        <v>1071348000</v>
      </c>
      <c r="G49">
        <f t="shared" si="11"/>
        <v>1071348000</v>
      </c>
      <c r="H49">
        <f t="shared" si="11"/>
        <v>1071348000</v>
      </c>
      <c r="I49">
        <f t="shared" si="11"/>
        <v>1071348000</v>
      </c>
      <c r="J49">
        <f>C37</f>
        <v>1443848000</v>
      </c>
      <c r="K49">
        <f>J49</f>
        <v>1443848000</v>
      </c>
      <c r="L49">
        <f t="shared" ref="L49:O49" si="12">K49</f>
        <v>1443848000</v>
      </c>
      <c r="M49">
        <f t="shared" si="12"/>
        <v>1443848000</v>
      </c>
      <c r="N49">
        <f t="shared" si="12"/>
        <v>1443848000</v>
      </c>
      <c r="O49">
        <f t="shared" si="12"/>
        <v>1443848000</v>
      </c>
    </row>
    <row r="50" spans="1:15" x14ac:dyDescent="0.2">
      <c r="A50" t="s">
        <v>94</v>
      </c>
      <c r="C50">
        <f>C48-C49</f>
        <v>13101597000</v>
      </c>
      <c r="D50">
        <f>C50</f>
        <v>13101597000</v>
      </c>
      <c r="E50">
        <f t="shared" ref="E50:I50" si="13">D50</f>
        <v>13101597000</v>
      </c>
      <c r="F50">
        <f t="shared" si="13"/>
        <v>13101597000</v>
      </c>
      <c r="G50">
        <f t="shared" si="13"/>
        <v>13101597000</v>
      </c>
      <c r="H50">
        <f t="shared" si="13"/>
        <v>13101597000</v>
      </c>
      <c r="I50">
        <f t="shared" si="13"/>
        <v>13101597000</v>
      </c>
      <c r="J50">
        <f>J48-J49</f>
        <v>13766737000</v>
      </c>
      <c r="K50">
        <f>J50</f>
        <v>13766737000</v>
      </c>
      <c r="L50">
        <f t="shared" ref="L50:O50" si="14">K50</f>
        <v>13766737000</v>
      </c>
      <c r="M50">
        <f t="shared" si="14"/>
        <v>13766737000</v>
      </c>
      <c r="N50">
        <f t="shared" si="14"/>
        <v>13766737000</v>
      </c>
      <c r="O50">
        <f t="shared" si="14"/>
        <v>13766737000</v>
      </c>
    </row>
    <row r="53" spans="1:15" x14ac:dyDescent="0.2">
      <c r="A53" t="s">
        <v>117</v>
      </c>
    </row>
    <row r="54" spans="1:15" x14ac:dyDescent="0.2">
      <c r="A54" t="s">
        <v>118</v>
      </c>
      <c r="C54">
        <f>-C33</f>
        <v>-13200000</v>
      </c>
    </row>
    <row r="56" spans="1:15" x14ac:dyDescent="0.2">
      <c r="A56" t="s">
        <v>23</v>
      </c>
      <c r="C56" s="7">
        <f>NPV(C15,C48:O48)</f>
        <v>121532614794.03503</v>
      </c>
    </row>
    <row r="57" spans="1:15" x14ac:dyDescent="0.2">
      <c r="A57" t="s">
        <v>36</v>
      </c>
      <c r="C57" s="7">
        <f>NPV(C15,C49:AD49)</f>
        <v>10059667009.957724</v>
      </c>
    </row>
    <row r="58" spans="1:15" x14ac:dyDescent="0.2">
      <c r="A58" t="s">
        <v>94</v>
      </c>
      <c r="C58" s="7">
        <f>C56-C57</f>
        <v>111472947784.07732</v>
      </c>
    </row>
    <row r="59" spans="1:15" x14ac:dyDescent="0.2">
      <c r="A59" t="s">
        <v>93</v>
      </c>
      <c r="C59" s="7">
        <f>C58+C54</f>
        <v>111459747784.07732</v>
      </c>
    </row>
    <row r="60" spans="1:15" x14ac:dyDescent="0.2">
      <c r="C60" s="7"/>
    </row>
    <row r="61" spans="1:15" x14ac:dyDescent="0.2">
      <c r="C61" s="7" t="s">
        <v>95</v>
      </c>
      <c r="D61" t="s">
        <v>3</v>
      </c>
      <c r="E61" t="s">
        <v>121</v>
      </c>
    </row>
    <row r="62" spans="1:15" x14ac:dyDescent="0.2">
      <c r="A62" t="s">
        <v>94</v>
      </c>
      <c r="C62" s="7">
        <f>C29</f>
        <v>68192322532.328461</v>
      </c>
      <c r="D62" s="7">
        <f>C58</f>
        <v>111472947784.07732</v>
      </c>
      <c r="E62" s="7">
        <f>D62-C62</f>
        <v>43280625251.748856</v>
      </c>
    </row>
    <row r="63" spans="1:15" x14ac:dyDescent="0.2">
      <c r="C63" s="7"/>
    </row>
    <row r="64" spans="1:15" x14ac:dyDescent="0.2">
      <c r="C64" s="7"/>
    </row>
    <row r="65" spans="1:3" x14ac:dyDescent="0.2">
      <c r="C65" s="7"/>
    </row>
    <row r="66" spans="1:3" x14ac:dyDescent="0.2">
      <c r="A66" t="s">
        <v>3</v>
      </c>
    </row>
    <row r="67" spans="1:3" x14ac:dyDescent="0.2">
      <c r="A67" t="s">
        <v>119</v>
      </c>
      <c r="C67" s="7">
        <f>(E62*0.45)+C33</f>
        <v>19489481363.286987</v>
      </c>
    </row>
    <row r="68" spans="1:3" x14ac:dyDescent="0.2">
      <c r="A68" t="s">
        <v>120</v>
      </c>
      <c r="C68" s="7">
        <f>C67*0.2</f>
        <v>3897896272.6573977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F00E1-9B3E-8844-83BF-52795F56FBCD}">
  <dimension ref="B6:J38"/>
  <sheetViews>
    <sheetView topLeftCell="A27" workbookViewId="0">
      <selection activeCell="G4" sqref="G4"/>
    </sheetView>
  </sheetViews>
  <sheetFormatPr baseColWidth="10" defaultRowHeight="16" x14ac:dyDescent="0.2"/>
  <cols>
    <col min="3" max="3" width="15.6640625" customWidth="1"/>
    <col min="4" max="4" width="14" customWidth="1"/>
    <col min="5" max="5" width="15.83203125" customWidth="1"/>
    <col min="6" max="6" width="15.6640625" customWidth="1"/>
    <col min="7" max="7" width="15.83203125" customWidth="1"/>
    <col min="8" max="8" width="17.1640625" customWidth="1"/>
    <col min="9" max="9" width="13.6640625" customWidth="1"/>
    <col min="10" max="10" width="17.1640625" customWidth="1"/>
  </cols>
  <sheetData>
    <row r="6" spans="2:10" x14ac:dyDescent="0.2">
      <c r="C6" s="19" t="s">
        <v>311</v>
      </c>
      <c r="D6" s="19"/>
      <c r="E6" s="19"/>
      <c r="F6" s="19"/>
    </row>
    <row r="7" spans="2:10" ht="17" thickBot="1" x14ac:dyDescent="0.25"/>
    <row r="8" spans="2:10" ht="17" thickBot="1" x14ac:dyDescent="0.25">
      <c r="B8" s="136"/>
      <c r="C8" s="137" t="s">
        <v>269</v>
      </c>
      <c r="D8" s="137"/>
      <c r="E8" s="137"/>
      <c r="F8" s="137"/>
      <c r="G8" s="137"/>
      <c r="H8" s="138"/>
      <c r="I8" s="139" t="s">
        <v>270</v>
      </c>
      <c r="J8" s="140"/>
    </row>
    <row r="9" spans="2:10" ht="17" thickBot="1" x14ac:dyDescent="0.25">
      <c r="B9" s="141" t="s">
        <v>19</v>
      </c>
      <c r="C9" s="91" t="s">
        <v>263</v>
      </c>
      <c r="D9" s="91" t="s">
        <v>264</v>
      </c>
      <c r="E9" s="91" t="s">
        <v>265</v>
      </c>
      <c r="F9" s="91" t="s">
        <v>266</v>
      </c>
      <c r="G9" s="91" t="s">
        <v>267</v>
      </c>
      <c r="H9" s="91" t="s">
        <v>268</v>
      </c>
      <c r="I9" s="142" t="s">
        <v>53</v>
      </c>
      <c r="J9" s="122" t="s">
        <v>271</v>
      </c>
    </row>
    <row r="10" spans="2:10" x14ac:dyDescent="0.2">
      <c r="B10" s="131">
        <v>2023</v>
      </c>
      <c r="C10">
        <v>30</v>
      </c>
      <c r="D10">
        <v>15</v>
      </c>
      <c r="E10">
        <v>48</v>
      </c>
      <c r="F10">
        <f>0.126171*C10</f>
        <v>3.7851300000000001</v>
      </c>
      <c r="G10">
        <f>0.126171*D10</f>
        <v>1.8925650000000001</v>
      </c>
      <c r="H10">
        <f>0.126171*E10</f>
        <v>6.0562079999999998</v>
      </c>
      <c r="I10" s="25">
        <v>250</v>
      </c>
      <c r="J10" s="109"/>
    </row>
    <row r="11" spans="2:10" x14ac:dyDescent="0.2">
      <c r="B11" s="131">
        <v>2024</v>
      </c>
      <c r="C11">
        <v>30</v>
      </c>
      <c r="D11">
        <v>15</v>
      </c>
      <c r="E11">
        <v>48</v>
      </c>
      <c r="F11">
        <f t="shared" ref="F11:F37" si="0">0.126171*C11</f>
        <v>3.7851300000000001</v>
      </c>
      <c r="G11">
        <f t="shared" ref="G11:G37" si="1">0.126171*D11</f>
        <v>1.8925650000000001</v>
      </c>
      <c r="H11">
        <f t="shared" ref="H11:H37" si="2">0.126171*E11</f>
        <v>6.0562079999999998</v>
      </c>
      <c r="I11" s="25">
        <v>250</v>
      </c>
      <c r="J11" s="109"/>
    </row>
    <row r="12" spans="2:10" x14ac:dyDescent="0.2">
      <c r="B12" s="131">
        <v>2025</v>
      </c>
      <c r="C12">
        <v>30</v>
      </c>
      <c r="D12">
        <v>15</v>
      </c>
      <c r="E12">
        <v>48</v>
      </c>
      <c r="F12">
        <f t="shared" si="0"/>
        <v>3.7851300000000001</v>
      </c>
      <c r="G12">
        <f t="shared" si="1"/>
        <v>1.8925650000000001</v>
      </c>
      <c r="H12">
        <f t="shared" si="2"/>
        <v>6.0562079999999998</v>
      </c>
      <c r="I12" s="25">
        <v>250</v>
      </c>
      <c r="J12" s="109"/>
    </row>
    <row r="13" spans="2:10" x14ac:dyDescent="0.2">
      <c r="B13" s="131">
        <v>2026</v>
      </c>
      <c r="C13">
        <v>30</v>
      </c>
      <c r="D13">
        <v>15</v>
      </c>
      <c r="E13">
        <v>48</v>
      </c>
      <c r="F13">
        <f t="shared" si="0"/>
        <v>3.7851300000000001</v>
      </c>
      <c r="G13">
        <f t="shared" si="1"/>
        <v>1.8925650000000001</v>
      </c>
      <c r="H13">
        <f t="shared" si="2"/>
        <v>6.0562079999999998</v>
      </c>
      <c r="I13" s="25">
        <v>250</v>
      </c>
      <c r="J13" s="109"/>
    </row>
    <row r="14" spans="2:10" x14ac:dyDescent="0.2">
      <c r="B14" s="131">
        <v>2027</v>
      </c>
      <c r="C14">
        <v>30</v>
      </c>
      <c r="D14">
        <v>15</v>
      </c>
      <c r="E14">
        <v>48</v>
      </c>
      <c r="F14">
        <f t="shared" si="0"/>
        <v>3.7851300000000001</v>
      </c>
      <c r="G14">
        <f t="shared" si="1"/>
        <v>1.8925650000000001</v>
      </c>
      <c r="H14">
        <f t="shared" si="2"/>
        <v>6.0562079999999998</v>
      </c>
      <c r="I14" s="25">
        <v>250</v>
      </c>
      <c r="J14" s="109"/>
    </row>
    <row r="15" spans="2:10" x14ac:dyDescent="0.2">
      <c r="B15" s="131">
        <v>2028</v>
      </c>
      <c r="C15">
        <v>30</v>
      </c>
      <c r="D15">
        <v>15</v>
      </c>
      <c r="E15">
        <v>48</v>
      </c>
      <c r="F15">
        <f t="shared" si="0"/>
        <v>3.7851300000000001</v>
      </c>
      <c r="G15">
        <f t="shared" si="1"/>
        <v>1.8925650000000001</v>
      </c>
      <c r="H15">
        <f t="shared" si="2"/>
        <v>6.0562079999999998</v>
      </c>
      <c r="I15" s="25">
        <v>250</v>
      </c>
      <c r="J15" s="109"/>
    </row>
    <row r="16" spans="2:10" x14ac:dyDescent="0.2">
      <c r="B16" s="131">
        <v>2029</v>
      </c>
      <c r="C16">
        <v>30</v>
      </c>
      <c r="D16">
        <v>15</v>
      </c>
      <c r="E16">
        <v>48</v>
      </c>
      <c r="F16">
        <f t="shared" si="0"/>
        <v>3.7851300000000001</v>
      </c>
      <c r="G16">
        <f t="shared" si="1"/>
        <v>1.8925650000000001</v>
      </c>
      <c r="H16">
        <f t="shared" si="2"/>
        <v>6.0562079999999998</v>
      </c>
      <c r="I16" s="25">
        <v>250</v>
      </c>
      <c r="J16" s="109"/>
    </row>
    <row r="17" spans="2:10" x14ac:dyDescent="0.2">
      <c r="B17" s="131">
        <v>2030</v>
      </c>
      <c r="C17">
        <v>30</v>
      </c>
      <c r="D17">
        <v>15</v>
      </c>
      <c r="E17">
        <v>48</v>
      </c>
      <c r="F17">
        <f t="shared" si="0"/>
        <v>3.7851300000000001</v>
      </c>
      <c r="G17">
        <f t="shared" si="1"/>
        <v>1.8925650000000001</v>
      </c>
      <c r="H17">
        <f t="shared" si="2"/>
        <v>6.0562079999999998</v>
      </c>
      <c r="I17" s="23">
        <f>75*10</f>
        <v>750</v>
      </c>
      <c r="J17" s="109">
        <f t="shared" ref="J11:J37" si="3">I17*0.223</f>
        <v>167.25</v>
      </c>
    </row>
    <row r="18" spans="2:10" x14ac:dyDescent="0.2">
      <c r="B18" s="131">
        <v>2031</v>
      </c>
      <c r="C18">
        <v>30</v>
      </c>
      <c r="D18">
        <v>15</v>
      </c>
      <c r="E18">
        <v>48</v>
      </c>
      <c r="F18">
        <f t="shared" si="0"/>
        <v>3.7851300000000001</v>
      </c>
      <c r="G18">
        <f t="shared" si="1"/>
        <v>1.8925650000000001</v>
      </c>
      <c r="H18">
        <f t="shared" si="2"/>
        <v>6.0562079999999998</v>
      </c>
      <c r="I18" s="23">
        <f t="shared" ref="I18:I21" si="4">75*10</f>
        <v>750</v>
      </c>
      <c r="J18" s="109">
        <f t="shared" si="3"/>
        <v>167.25</v>
      </c>
    </row>
    <row r="19" spans="2:10" x14ac:dyDescent="0.2">
      <c r="B19" s="131">
        <v>2032</v>
      </c>
      <c r="C19">
        <v>30</v>
      </c>
      <c r="D19">
        <v>15</v>
      </c>
      <c r="E19">
        <v>48</v>
      </c>
      <c r="F19">
        <f t="shared" si="0"/>
        <v>3.7851300000000001</v>
      </c>
      <c r="G19">
        <f t="shared" si="1"/>
        <v>1.8925650000000001</v>
      </c>
      <c r="H19">
        <f t="shared" si="2"/>
        <v>6.0562079999999998</v>
      </c>
      <c r="I19" s="23">
        <f t="shared" si="4"/>
        <v>750</v>
      </c>
      <c r="J19" s="109">
        <f t="shared" si="3"/>
        <v>167.25</v>
      </c>
    </row>
    <row r="20" spans="2:10" x14ac:dyDescent="0.2">
      <c r="B20" s="131">
        <v>2033</v>
      </c>
      <c r="C20">
        <v>30</v>
      </c>
      <c r="D20">
        <v>15</v>
      </c>
      <c r="E20">
        <v>48</v>
      </c>
      <c r="F20">
        <f t="shared" si="0"/>
        <v>3.7851300000000001</v>
      </c>
      <c r="G20">
        <f t="shared" si="1"/>
        <v>1.8925650000000001</v>
      </c>
      <c r="H20">
        <f t="shared" si="2"/>
        <v>6.0562079999999998</v>
      </c>
      <c r="I20" s="23">
        <f t="shared" si="4"/>
        <v>750</v>
      </c>
      <c r="J20" s="109">
        <f t="shared" si="3"/>
        <v>167.25</v>
      </c>
    </row>
    <row r="21" spans="2:10" x14ac:dyDescent="0.2">
      <c r="B21" s="131">
        <v>2034</v>
      </c>
      <c r="C21">
        <v>30</v>
      </c>
      <c r="D21">
        <v>15</v>
      </c>
      <c r="E21">
        <v>48</v>
      </c>
      <c r="F21">
        <f t="shared" si="0"/>
        <v>3.7851300000000001</v>
      </c>
      <c r="G21">
        <f t="shared" si="1"/>
        <v>1.8925650000000001</v>
      </c>
      <c r="H21">
        <f t="shared" si="2"/>
        <v>6.0562079999999998</v>
      </c>
      <c r="I21" s="23">
        <f t="shared" si="4"/>
        <v>750</v>
      </c>
      <c r="J21" s="109">
        <f t="shared" si="3"/>
        <v>167.25</v>
      </c>
    </row>
    <row r="22" spans="2:10" x14ac:dyDescent="0.2">
      <c r="B22" s="131">
        <v>2035</v>
      </c>
      <c r="C22">
        <v>30</v>
      </c>
      <c r="D22">
        <v>15</v>
      </c>
      <c r="E22">
        <v>50</v>
      </c>
      <c r="F22">
        <f t="shared" si="0"/>
        <v>3.7851300000000001</v>
      </c>
      <c r="G22">
        <f t="shared" si="1"/>
        <v>1.8925650000000001</v>
      </c>
      <c r="H22">
        <f t="shared" si="2"/>
        <v>6.3085500000000003</v>
      </c>
      <c r="I22" s="23">
        <f>58*10</f>
        <v>580</v>
      </c>
      <c r="J22" s="109">
        <f t="shared" si="3"/>
        <v>129.34</v>
      </c>
    </row>
    <row r="23" spans="2:10" x14ac:dyDescent="0.2">
      <c r="B23" s="131">
        <v>2036</v>
      </c>
      <c r="C23">
        <v>30</v>
      </c>
      <c r="D23">
        <v>15</v>
      </c>
      <c r="E23">
        <v>50</v>
      </c>
      <c r="F23">
        <f t="shared" si="0"/>
        <v>3.7851300000000001</v>
      </c>
      <c r="G23">
        <f t="shared" si="1"/>
        <v>1.8925650000000001</v>
      </c>
      <c r="H23">
        <f t="shared" si="2"/>
        <v>6.3085500000000003</v>
      </c>
      <c r="I23" s="23">
        <f t="shared" ref="I23:I37" si="5">58*10</f>
        <v>580</v>
      </c>
      <c r="J23" s="109">
        <f t="shared" si="3"/>
        <v>129.34</v>
      </c>
    </row>
    <row r="24" spans="2:10" x14ac:dyDescent="0.2">
      <c r="B24" s="131">
        <v>2037</v>
      </c>
      <c r="C24">
        <v>30</v>
      </c>
      <c r="D24">
        <v>15</v>
      </c>
      <c r="E24">
        <v>50</v>
      </c>
      <c r="F24">
        <f t="shared" si="0"/>
        <v>3.7851300000000001</v>
      </c>
      <c r="G24">
        <f t="shared" si="1"/>
        <v>1.8925650000000001</v>
      </c>
      <c r="H24">
        <f t="shared" si="2"/>
        <v>6.3085500000000003</v>
      </c>
      <c r="I24" s="23">
        <f t="shared" si="5"/>
        <v>580</v>
      </c>
      <c r="J24" s="109">
        <f t="shared" si="3"/>
        <v>129.34</v>
      </c>
    </row>
    <row r="25" spans="2:10" x14ac:dyDescent="0.2">
      <c r="B25" s="131">
        <v>2038</v>
      </c>
      <c r="C25">
        <v>31</v>
      </c>
      <c r="D25">
        <v>15</v>
      </c>
      <c r="E25">
        <v>50</v>
      </c>
      <c r="F25">
        <f t="shared" si="0"/>
        <v>3.9113010000000004</v>
      </c>
      <c r="G25">
        <f t="shared" si="1"/>
        <v>1.8925650000000001</v>
      </c>
      <c r="H25">
        <f t="shared" si="2"/>
        <v>6.3085500000000003</v>
      </c>
      <c r="I25" s="23">
        <f t="shared" si="5"/>
        <v>580</v>
      </c>
      <c r="J25" s="109">
        <f t="shared" si="3"/>
        <v>129.34</v>
      </c>
    </row>
    <row r="26" spans="2:10" x14ac:dyDescent="0.2">
      <c r="B26" s="131">
        <v>2039</v>
      </c>
      <c r="C26">
        <v>31</v>
      </c>
      <c r="D26">
        <v>15</v>
      </c>
      <c r="E26">
        <v>50</v>
      </c>
      <c r="F26">
        <f t="shared" si="0"/>
        <v>3.9113010000000004</v>
      </c>
      <c r="G26">
        <f t="shared" si="1"/>
        <v>1.8925650000000001</v>
      </c>
      <c r="H26">
        <f t="shared" si="2"/>
        <v>6.3085500000000003</v>
      </c>
      <c r="I26" s="23">
        <f t="shared" si="5"/>
        <v>580</v>
      </c>
      <c r="J26" s="109">
        <f t="shared" si="3"/>
        <v>129.34</v>
      </c>
    </row>
    <row r="27" spans="2:10" x14ac:dyDescent="0.2">
      <c r="B27" s="131">
        <v>2040</v>
      </c>
      <c r="C27">
        <v>31</v>
      </c>
      <c r="D27">
        <v>14</v>
      </c>
      <c r="E27">
        <v>52</v>
      </c>
      <c r="F27">
        <f t="shared" si="0"/>
        <v>3.9113010000000004</v>
      </c>
      <c r="G27">
        <f t="shared" si="1"/>
        <v>1.766394</v>
      </c>
      <c r="H27">
        <f t="shared" si="2"/>
        <v>6.5608919999999999</v>
      </c>
      <c r="I27" s="23">
        <f t="shared" si="5"/>
        <v>580</v>
      </c>
      <c r="J27" s="109">
        <f t="shared" si="3"/>
        <v>129.34</v>
      </c>
    </row>
    <row r="28" spans="2:10" x14ac:dyDescent="0.2">
      <c r="B28" s="131">
        <v>2041</v>
      </c>
      <c r="C28">
        <v>31</v>
      </c>
      <c r="D28">
        <v>14</v>
      </c>
      <c r="E28">
        <v>52</v>
      </c>
      <c r="F28">
        <f t="shared" si="0"/>
        <v>3.9113010000000004</v>
      </c>
      <c r="G28">
        <f t="shared" si="1"/>
        <v>1.766394</v>
      </c>
      <c r="H28">
        <f t="shared" si="2"/>
        <v>6.5608919999999999</v>
      </c>
      <c r="I28" s="23">
        <f t="shared" si="5"/>
        <v>580</v>
      </c>
      <c r="J28" s="109">
        <f t="shared" si="3"/>
        <v>129.34</v>
      </c>
    </row>
    <row r="29" spans="2:10" x14ac:dyDescent="0.2">
      <c r="B29" s="131">
        <v>2042</v>
      </c>
      <c r="C29">
        <v>31</v>
      </c>
      <c r="D29">
        <v>14</v>
      </c>
      <c r="E29">
        <v>52</v>
      </c>
      <c r="F29">
        <f t="shared" si="0"/>
        <v>3.9113010000000004</v>
      </c>
      <c r="G29">
        <f t="shared" si="1"/>
        <v>1.766394</v>
      </c>
      <c r="H29">
        <f t="shared" si="2"/>
        <v>6.5608919999999999</v>
      </c>
      <c r="I29" s="23">
        <f t="shared" si="5"/>
        <v>580</v>
      </c>
      <c r="J29" s="109">
        <f t="shared" si="3"/>
        <v>129.34</v>
      </c>
    </row>
    <row r="30" spans="2:10" x14ac:dyDescent="0.2">
      <c r="B30" s="131">
        <v>2043</v>
      </c>
      <c r="C30">
        <v>31</v>
      </c>
      <c r="D30">
        <v>14</v>
      </c>
      <c r="E30">
        <v>52</v>
      </c>
      <c r="F30">
        <f t="shared" si="0"/>
        <v>3.9113010000000004</v>
      </c>
      <c r="G30">
        <f t="shared" si="1"/>
        <v>1.766394</v>
      </c>
      <c r="H30">
        <f t="shared" si="2"/>
        <v>6.5608919999999999</v>
      </c>
      <c r="I30" s="23">
        <f t="shared" si="5"/>
        <v>580</v>
      </c>
      <c r="J30" s="109">
        <f t="shared" si="3"/>
        <v>129.34</v>
      </c>
    </row>
    <row r="31" spans="2:10" x14ac:dyDescent="0.2">
      <c r="B31" s="131">
        <v>2044</v>
      </c>
      <c r="C31">
        <v>31</v>
      </c>
      <c r="D31">
        <v>14</v>
      </c>
      <c r="E31">
        <v>52</v>
      </c>
      <c r="F31">
        <f t="shared" si="0"/>
        <v>3.9113010000000004</v>
      </c>
      <c r="G31">
        <f t="shared" si="1"/>
        <v>1.766394</v>
      </c>
      <c r="H31">
        <f t="shared" si="2"/>
        <v>6.5608919999999999</v>
      </c>
      <c r="I31" s="23">
        <f t="shared" si="5"/>
        <v>580</v>
      </c>
      <c r="J31" s="109">
        <f t="shared" si="3"/>
        <v>129.34</v>
      </c>
    </row>
    <row r="32" spans="2:10" x14ac:dyDescent="0.2">
      <c r="B32" s="131">
        <v>2045</v>
      </c>
      <c r="C32">
        <v>31</v>
      </c>
      <c r="D32">
        <v>14</v>
      </c>
      <c r="E32">
        <v>52</v>
      </c>
      <c r="F32">
        <f t="shared" si="0"/>
        <v>3.9113010000000004</v>
      </c>
      <c r="G32">
        <f t="shared" si="1"/>
        <v>1.766394</v>
      </c>
      <c r="H32">
        <f t="shared" si="2"/>
        <v>6.5608919999999999</v>
      </c>
      <c r="I32" s="23">
        <f t="shared" si="5"/>
        <v>580</v>
      </c>
      <c r="J32" s="109">
        <f t="shared" si="3"/>
        <v>129.34</v>
      </c>
    </row>
    <row r="33" spans="2:10" x14ac:dyDescent="0.2">
      <c r="B33" s="131">
        <v>2046</v>
      </c>
      <c r="C33">
        <v>31</v>
      </c>
      <c r="D33">
        <v>14</v>
      </c>
      <c r="E33">
        <v>52</v>
      </c>
      <c r="F33">
        <f t="shared" si="0"/>
        <v>3.9113010000000004</v>
      </c>
      <c r="G33">
        <f t="shared" si="1"/>
        <v>1.766394</v>
      </c>
      <c r="H33">
        <f t="shared" si="2"/>
        <v>6.5608919999999999</v>
      </c>
      <c r="I33" s="23">
        <f t="shared" si="5"/>
        <v>580</v>
      </c>
      <c r="J33" s="109">
        <f t="shared" si="3"/>
        <v>129.34</v>
      </c>
    </row>
    <row r="34" spans="2:10" x14ac:dyDescent="0.2">
      <c r="B34" s="131">
        <v>2047</v>
      </c>
      <c r="C34">
        <v>31</v>
      </c>
      <c r="D34">
        <v>14</v>
      </c>
      <c r="E34">
        <v>52</v>
      </c>
      <c r="F34">
        <f t="shared" si="0"/>
        <v>3.9113010000000004</v>
      </c>
      <c r="G34">
        <f t="shared" si="1"/>
        <v>1.766394</v>
      </c>
      <c r="H34">
        <f t="shared" si="2"/>
        <v>6.5608919999999999</v>
      </c>
      <c r="I34" s="23">
        <f t="shared" si="5"/>
        <v>580</v>
      </c>
      <c r="J34" s="109">
        <f t="shared" si="3"/>
        <v>129.34</v>
      </c>
    </row>
    <row r="35" spans="2:10" x14ac:dyDescent="0.2">
      <c r="B35" s="131">
        <v>2048</v>
      </c>
      <c r="C35">
        <v>31</v>
      </c>
      <c r="D35">
        <v>14</v>
      </c>
      <c r="E35">
        <v>52</v>
      </c>
      <c r="F35">
        <f t="shared" si="0"/>
        <v>3.9113010000000004</v>
      </c>
      <c r="G35">
        <f t="shared" si="1"/>
        <v>1.766394</v>
      </c>
      <c r="H35">
        <f t="shared" si="2"/>
        <v>6.5608919999999999</v>
      </c>
      <c r="I35" s="23">
        <f t="shared" si="5"/>
        <v>580</v>
      </c>
      <c r="J35" s="109">
        <f t="shared" si="3"/>
        <v>129.34</v>
      </c>
    </row>
    <row r="36" spans="2:10" x14ac:dyDescent="0.2">
      <c r="B36" s="131">
        <v>2049</v>
      </c>
      <c r="C36">
        <v>31</v>
      </c>
      <c r="D36">
        <v>14</v>
      </c>
      <c r="E36">
        <v>52</v>
      </c>
      <c r="F36">
        <f t="shared" si="0"/>
        <v>3.9113010000000004</v>
      </c>
      <c r="G36">
        <f t="shared" si="1"/>
        <v>1.766394</v>
      </c>
      <c r="H36">
        <f t="shared" si="2"/>
        <v>6.5608919999999999</v>
      </c>
      <c r="I36" s="23">
        <f t="shared" si="5"/>
        <v>580</v>
      </c>
      <c r="J36" s="109">
        <f t="shared" si="3"/>
        <v>129.34</v>
      </c>
    </row>
    <row r="37" spans="2:10" ht="17" thickBot="1" x14ac:dyDescent="0.25">
      <c r="B37" s="132">
        <v>2050</v>
      </c>
      <c r="C37">
        <v>31</v>
      </c>
      <c r="D37">
        <v>14</v>
      </c>
      <c r="E37">
        <v>52</v>
      </c>
      <c r="F37">
        <f t="shared" si="0"/>
        <v>3.9113010000000004</v>
      </c>
      <c r="G37">
        <f t="shared" si="1"/>
        <v>1.766394</v>
      </c>
      <c r="H37">
        <f t="shared" si="2"/>
        <v>6.5608919999999999</v>
      </c>
      <c r="I37" s="23">
        <f t="shared" si="5"/>
        <v>580</v>
      </c>
      <c r="J37" s="109">
        <f t="shared" si="3"/>
        <v>129.34</v>
      </c>
    </row>
    <row r="38" spans="2:10" x14ac:dyDescent="0.2">
      <c r="I38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15243-731F-DA43-B44B-161C9048C82E}">
  <dimension ref="B2:L100"/>
  <sheetViews>
    <sheetView topLeftCell="A202" workbookViewId="0">
      <selection activeCell="J29" sqref="J29"/>
    </sheetView>
  </sheetViews>
  <sheetFormatPr baseColWidth="10" defaultRowHeight="16" x14ac:dyDescent="0.2"/>
  <cols>
    <col min="2" max="2" width="13.1640625" customWidth="1"/>
    <col min="3" max="3" width="21.1640625" customWidth="1"/>
    <col min="4" max="4" width="26" customWidth="1"/>
    <col min="5" max="5" width="19.33203125" customWidth="1"/>
    <col min="6" max="6" width="20.6640625" customWidth="1"/>
    <col min="7" max="7" width="18" customWidth="1"/>
    <col min="8" max="8" width="16.83203125" customWidth="1"/>
    <col min="9" max="9" width="12.83203125" customWidth="1"/>
    <col min="11" max="11" width="12.83203125" customWidth="1"/>
  </cols>
  <sheetData>
    <row r="2" spans="2:8" x14ac:dyDescent="0.2">
      <c r="B2" t="s">
        <v>286</v>
      </c>
    </row>
    <row r="3" spans="2:8" x14ac:dyDescent="0.2">
      <c r="B3" t="s">
        <v>285</v>
      </c>
      <c r="C3" s="2">
        <v>20000000</v>
      </c>
      <c r="D3" s="2">
        <f>C3*365</f>
        <v>7300000000</v>
      </c>
      <c r="E3" s="2"/>
      <c r="F3" s="2">
        <f>(D3-D4)/7</f>
        <v>677857142.85714281</v>
      </c>
    </row>
    <row r="4" spans="2:8" x14ac:dyDescent="0.2">
      <c r="B4" t="s">
        <v>284</v>
      </c>
      <c r="C4" s="2">
        <v>7000000</v>
      </c>
      <c r="D4" s="2">
        <f>C4*365</f>
        <v>2555000000</v>
      </c>
      <c r="E4" s="2"/>
      <c r="F4" s="2"/>
    </row>
    <row r="5" spans="2:8" x14ac:dyDescent="0.2">
      <c r="C5" s="2"/>
      <c r="D5" s="2"/>
      <c r="E5" s="2"/>
      <c r="F5" s="2"/>
    </row>
    <row r="8" spans="2:8" x14ac:dyDescent="0.2">
      <c r="F8">
        <f>F3/D3</f>
        <v>9.2857142857142846E-2</v>
      </c>
      <c r="G8">
        <f>F8/7</f>
        <v>1.3265306122448977E-2</v>
      </c>
    </row>
    <row r="9" spans="2:8" ht="29" x14ac:dyDescent="0.35">
      <c r="B9" s="146" t="s">
        <v>312</v>
      </c>
    </row>
    <row r="12" spans="2:8" ht="17" thickBot="1" x14ac:dyDescent="0.25"/>
    <row r="13" spans="2:8" ht="17" thickBot="1" x14ac:dyDescent="0.25">
      <c r="B13" s="143" t="s">
        <v>19</v>
      </c>
      <c r="C13" s="144" t="s">
        <v>287</v>
      </c>
      <c r="D13" s="144" t="s">
        <v>288</v>
      </c>
      <c r="E13" s="144" t="s">
        <v>289</v>
      </c>
      <c r="F13" s="144">
        <v>0</v>
      </c>
      <c r="G13" s="144" t="s">
        <v>291</v>
      </c>
      <c r="H13" s="145" t="s">
        <v>290</v>
      </c>
    </row>
    <row r="14" spans="2:8" x14ac:dyDescent="0.2">
      <c r="B14">
        <v>2023</v>
      </c>
      <c r="C14" s="2">
        <f>D3</f>
        <v>7300000000</v>
      </c>
      <c r="D14" s="74">
        <f>Resultater!T8</f>
        <v>6283324967.8999996</v>
      </c>
      <c r="E14" s="74">
        <f>Resultater!AD8</f>
        <v>6283324967.8999996</v>
      </c>
      <c r="F14" s="74">
        <f>Resultater!F8</f>
        <v>6283324967.8999996</v>
      </c>
      <c r="G14" s="74">
        <f>D14-F14</f>
        <v>0</v>
      </c>
      <c r="H14" s="74">
        <f>E14-F14</f>
        <v>0</v>
      </c>
    </row>
    <row r="15" spans="2:8" x14ac:dyDescent="0.2">
      <c r="B15">
        <v>2024</v>
      </c>
      <c r="C15" s="2">
        <f>C14</f>
        <v>7300000000</v>
      </c>
      <c r="D15" s="74">
        <f>Resultater!T9</f>
        <v>6283324967.8999996</v>
      </c>
      <c r="E15" s="74">
        <f>Resultater!AD9</f>
        <v>6283324967.8999996</v>
      </c>
      <c r="F15" s="74">
        <f>Resultater!F9</f>
        <v>6283324967.8999996</v>
      </c>
      <c r="G15" s="74">
        <f t="shared" ref="G15:G41" si="0">D15-F15</f>
        <v>0</v>
      </c>
      <c r="H15" s="74">
        <f t="shared" ref="H15:H41" si="1">E15-F15</f>
        <v>0</v>
      </c>
    </row>
    <row r="16" spans="2:8" x14ac:dyDescent="0.2">
      <c r="B16">
        <v>2025</v>
      </c>
      <c r="C16" s="2">
        <f t="shared" ref="C16:C34" si="2">C15</f>
        <v>7300000000</v>
      </c>
      <c r="D16" s="74">
        <f>Resultater!T10</f>
        <v>6283324967.8999996</v>
      </c>
      <c r="E16" s="74">
        <f>Resultater!AD10</f>
        <v>6283324967.8999996</v>
      </c>
      <c r="F16" s="74">
        <f>Resultater!F10</f>
        <v>6283324967.8999996</v>
      </c>
      <c r="G16" s="74">
        <f t="shared" si="0"/>
        <v>0</v>
      </c>
      <c r="H16" s="74">
        <f t="shared" si="1"/>
        <v>0</v>
      </c>
    </row>
    <row r="17" spans="2:8" x14ac:dyDescent="0.2">
      <c r="B17">
        <v>2026</v>
      </c>
      <c r="C17" s="2">
        <f t="shared" si="2"/>
        <v>7300000000</v>
      </c>
      <c r="D17" s="74">
        <f>Resultater!T11</f>
        <v>6283324967.8999996</v>
      </c>
      <c r="E17" s="74">
        <f>Resultater!AD11</f>
        <v>6283324967.8999996</v>
      </c>
      <c r="F17" s="74">
        <f>Resultater!F11</f>
        <v>6283324967.8999996</v>
      </c>
      <c r="G17" s="74">
        <f t="shared" si="0"/>
        <v>0</v>
      </c>
      <c r="H17" s="74">
        <f t="shared" si="1"/>
        <v>0</v>
      </c>
    </row>
    <row r="18" spans="2:8" x14ac:dyDescent="0.2">
      <c r="B18">
        <v>2027</v>
      </c>
      <c r="C18" s="2">
        <f t="shared" si="2"/>
        <v>7300000000</v>
      </c>
      <c r="D18" s="74">
        <f>Resultater!T12</f>
        <v>6283324967.8999996</v>
      </c>
      <c r="E18" s="74">
        <f>Resultater!AD12</f>
        <v>6283324967.8999996</v>
      </c>
      <c r="F18" s="74">
        <f>Resultater!F12</f>
        <v>6283324967.8999996</v>
      </c>
      <c r="G18" s="74">
        <f t="shared" si="0"/>
        <v>0</v>
      </c>
      <c r="H18" s="74">
        <f t="shared" si="1"/>
        <v>0</v>
      </c>
    </row>
    <row r="19" spans="2:8" x14ac:dyDescent="0.2">
      <c r="B19">
        <v>2028</v>
      </c>
      <c r="C19" s="2">
        <f t="shared" si="2"/>
        <v>7300000000</v>
      </c>
      <c r="D19" s="74">
        <f>Resultater!T13</f>
        <v>6283324967.8999996</v>
      </c>
      <c r="E19" s="74">
        <f>Resultater!AD13</f>
        <v>6283324967.8999996</v>
      </c>
      <c r="F19" s="74">
        <f>Resultater!F13</f>
        <v>6283324967.8999996</v>
      </c>
      <c r="G19" s="74">
        <f t="shared" si="0"/>
        <v>0</v>
      </c>
      <c r="H19" s="74">
        <f t="shared" si="1"/>
        <v>0</v>
      </c>
    </row>
    <row r="20" spans="2:8" x14ac:dyDescent="0.2">
      <c r="B20">
        <v>2029</v>
      </c>
      <c r="C20" s="2">
        <f t="shared" si="2"/>
        <v>7300000000</v>
      </c>
      <c r="D20" s="74">
        <f>Resultater!T14</f>
        <v>6283324967.8999996</v>
      </c>
      <c r="E20" s="74">
        <f>Resultater!AD14</f>
        <v>6283324967.8999996</v>
      </c>
      <c r="F20" s="74">
        <f>Resultater!F14</f>
        <v>6283324967.8999996</v>
      </c>
      <c r="G20" s="74">
        <f t="shared" si="0"/>
        <v>0</v>
      </c>
      <c r="H20" s="74">
        <f t="shared" si="1"/>
        <v>0</v>
      </c>
    </row>
    <row r="21" spans="2:8" x14ac:dyDescent="0.2">
      <c r="B21">
        <v>2030</v>
      </c>
      <c r="C21" s="2">
        <f t="shared" si="2"/>
        <v>7300000000</v>
      </c>
      <c r="D21" s="74">
        <f>Resultater!T15</f>
        <v>6283324967.8999996</v>
      </c>
      <c r="E21" s="74">
        <f>Resultater!AD15</f>
        <v>6283324967.8999996</v>
      </c>
      <c r="F21" s="74">
        <f>Resultater!F15</f>
        <v>6283324967.8999996</v>
      </c>
      <c r="G21" s="74">
        <f t="shared" si="0"/>
        <v>0</v>
      </c>
      <c r="H21" s="74">
        <f t="shared" si="1"/>
        <v>0</v>
      </c>
    </row>
    <row r="22" spans="2:8" x14ac:dyDescent="0.2">
      <c r="B22">
        <v>2031</v>
      </c>
      <c r="C22" s="2">
        <f t="shared" si="2"/>
        <v>7300000000</v>
      </c>
      <c r="D22" s="74">
        <f>Resultater!T16</f>
        <v>6683324967.8999996</v>
      </c>
      <c r="E22" s="74">
        <f>Resultater!AD16</f>
        <v>6283324967.8999996</v>
      </c>
      <c r="F22" s="74">
        <f>Resultater!F16</f>
        <v>5280826222.7149992</v>
      </c>
      <c r="G22" s="74">
        <f t="shared" si="0"/>
        <v>1402498745.1850004</v>
      </c>
      <c r="H22" s="74">
        <f t="shared" si="1"/>
        <v>1002498745.1850004</v>
      </c>
    </row>
    <row r="23" spans="2:8" x14ac:dyDescent="0.2">
      <c r="B23">
        <v>2032</v>
      </c>
      <c r="C23" s="2">
        <f t="shared" si="2"/>
        <v>7300000000</v>
      </c>
      <c r="D23" s="74">
        <f>Resultater!T17</f>
        <v>6683324967.8999996</v>
      </c>
      <c r="E23" s="74">
        <f>Resultater!AD17</f>
        <v>6283324967.8999996</v>
      </c>
      <c r="F23" s="74">
        <f>Resultater!F17</f>
        <v>4428702289.3077488</v>
      </c>
      <c r="G23" s="74">
        <f t="shared" si="0"/>
        <v>2254622678.5922508</v>
      </c>
      <c r="H23" s="74">
        <f t="shared" si="1"/>
        <v>1854622678.5922508</v>
      </c>
    </row>
    <row r="24" spans="2:8" x14ac:dyDescent="0.2">
      <c r="B24">
        <v>2033</v>
      </c>
      <c r="C24" s="2">
        <f t="shared" si="2"/>
        <v>7300000000</v>
      </c>
      <c r="D24" s="74">
        <f>Resultater!T18</f>
        <v>6683324967.8999996</v>
      </c>
      <c r="E24" s="74">
        <f>Resultater!AD18</f>
        <v>6283324967.8999996</v>
      </c>
      <c r="F24" s="74">
        <f>Resultater!F18</f>
        <v>3704396945.9115863</v>
      </c>
      <c r="G24" s="74">
        <f t="shared" si="0"/>
        <v>2978928021.9884133</v>
      </c>
      <c r="H24" s="74">
        <f t="shared" si="1"/>
        <v>2578928021.9884133</v>
      </c>
    </row>
    <row r="25" spans="2:8" x14ac:dyDescent="0.2">
      <c r="B25">
        <v>2034</v>
      </c>
      <c r="C25" s="2">
        <f t="shared" si="2"/>
        <v>7300000000</v>
      </c>
      <c r="D25" s="74">
        <f>Resultater!T19</f>
        <v>6683324967.8999996</v>
      </c>
      <c r="E25" s="74">
        <f>Resultater!AD19</f>
        <v>6283324967.8999996</v>
      </c>
      <c r="F25" s="74">
        <f>Resultater!F19</f>
        <v>3088737404.0248485</v>
      </c>
      <c r="G25" s="74">
        <f t="shared" si="0"/>
        <v>3594587563.8751512</v>
      </c>
      <c r="H25" s="74">
        <f t="shared" si="1"/>
        <v>3194587563.8751512</v>
      </c>
    </row>
    <row r="26" spans="2:8" x14ac:dyDescent="0.2">
      <c r="B26">
        <v>2035</v>
      </c>
      <c r="C26" s="2">
        <f t="shared" si="2"/>
        <v>7300000000</v>
      </c>
      <c r="D26" s="74">
        <f>Resultater!T20</f>
        <v>6683324967.8999996</v>
      </c>
      <c r="E26" s="74">
        <f>Resultater!AD20</f>
        <v>6283324967.8999996</v>
      </c>
      <c r="F26" s="74">
        <f>Resultater!F20</f>
        <v>2565426793.4211211</v>
      </c>
      <c r="G26" s="74">
        <f t="shared" si="0"/>
        <v>4117898174.4788785</v>
      </c>
      <c r="H26" s="74">
        <f t="shared" si="1"/>
        <v>3717898174.4788785</v>
      </c>
    </row>
    <row r="27" spans="2:8" x14ac:dyDescent="0.2">
      <c r="B27">
        <v>2036</v>
      </c>
      <c r="C27" s="2">
        <f t="shared" si="2"/>
        <v>7300000000</v>
      </c>
      <c r="D27" s="74">
        <f>Resultater!T21</f>
        <v>6683324967.8999996</v>
      </c>
      <c r="E27" s="74">
        <f>Resultater!AD21</f>
        <v>6283324967.8999996</v>
      </c>
      <c r="F27" s="74">
        <f>Resultater!F21</f>
        <v>0</v>
      </c>
      <c r="G27" s="74">
        <f t="shared" si="0"/>
        <v>6683324967.8999996</v>
      </c>
      <c r="H27" s="74">
        <f t="shared" si="1"/>
        <v>6283324967.8999996</v>
      </c>
    </row>
    <row r="28" spans="2:8" x14ac:dyDescent="0.2">
      <c r="B28">
        <v>2037</v>
      </c>
      <c r="C28" s="2">
        <f t="shared" si="2"/>
        <v>7300000000</v>
      </c>
      <c r="D28" s="74">
        <f>Resultater!T22</f>
        <v>6683324967.8999996</v>
      </c>
      <c r="E28" s="74">
        <f>Resultater!AD22</f>
        <v>6283324967.8999996</v>
      </c>
      <c r="F28" s="74">
        <f>Resultater!F22</f>
        <v>0</v>
      </c>
      <c r="G28" s="74">
        <f t="shared" si="0"/>
        <v>6683324967.8999996</v>
      </c>
      <c r="H28" s="74">
        <f t="shared" si="1"/>
        <v>6283324967.8999996</v>
      </c>
    </row>
    <row r="29" spans="2:8" x14ac:dyDescent="0.2">
      <c r="B29">
        <v>2038</v>
      </c>
      <c r="C29" s="2">
        <f t="shared" si="2"/>
        <v>7300000000</v>
      </c>
      <c r="D29" s="74">
        <f>Resultater!T23</f>
        <v>6683324967.8999996</v>
      </c>
      <c r="E29" s="74">
        <f>Resultater!AD23</f>
        <v>6283324967.8999996</v>
      </c>
      <c r="F29" s="74">
        <f>Resultater!F23</f>
        <v>0</v>
      </c>
      <c r="G29" s="74">
        <f t="shared" si="0"/>
        <v>6683324967.8999996</v>
      </c>
      <c r="H29" s="74">
        <f t="shared" si="1"/>
        <v>6283324967.8999996</v>
      </c>
    </row>
    <row r="30" spans="2:8" x14ac:dyDescent="0.2">
      <c r="B30">
        <v>2039</v>
      </c>
      <c r="C30" s="2">
        <f t="shared" si="2"/>
        <v>7300000000</v>
      </c>
      <c r="D30" s="74">
        <f>Resultater!T24</f>
        <v>6683324967.8999996</v>
      </c>
      <c r="E30" s="74">
        <f>Resultater!AD24</f>
        <v>6283324967.8999996</v>
      </c>
      <c r="F30" s="74">
        <f>Resultater!F24</f>
        <v>0</v>
      </c>
      <c r="G30" s="74">
        <f t="shared" si="0"/>
        <v>6683324967.8999996</v>
      </c>
      <c r="H30" s="74">
        <f t="shared" si="1"/>
        <v>6283324967.8999996</v>
      </c>
    </row>
    <row r="31" spans="2:8" x14ac:dyDescent="0.2">
      <c r="B31">
        <v>2040</v>
      </c>
      <c r="C31" s="2">
        <f t="shared" si="2"/>
        <v>7300000000</v>
      </c>
      <c r="D31" s="74">
        <f>Resultater!T25</f>
        <v>6683324967.8999996</v>
      </c>
      <c r="E31" s="74">
        <f>Resultater!AD25</f>
        <v>6283324967.8999996</v>
      </c>
      <c r="F31" s="74">
        <f>Resultater!F25</f>
        <v>0</v>
      </c>
      <c r="G31" s="74">
        <f t="shared" si="0"/>
        <v>6683324967.8999996</v>
      </c>
      <c r="H31" s="74">
        <f t="shared" si="1"/>
        <v>6283324967.8999996</v>
      </c>
    </row>
    <row r="32" spans="2:8" x14ac:dyDescent="0.2">
      <c r="B32">
        <v>2041</v>
      </c>
      <c r="C32" s="2">
        <f t="shared" si="2"/>
        <v>7300000000</v>
      </c>
      <c r="D32" s="74">
        <f>Resultater!T26</f>
        <v>6683324967.8999996</v>
      </c>
      <c r="E32" s="74">
        <f>Resultater!AD26</f>
        <v>6283324967.8999996</v>
      </c>
      <c r="F32" s="74">
        <f>Resultater!F26</f>
        <v>0</v>
      </c>
      <c r="G32" s="74">
        <f t="shared" si="0"/>
        <v>6683324967.8999996</v>
      </c>
      <c r="H32" s="74">
        <f t="shared" si="1"/>
        <v>6283324967.8999996</v>
      </c>
    </row>
    <row r="33" spans="2:8" x14ac:dyDescent="0.2">
      <c r="B33">
        <v>2042</v>
      </c>
      <c r="C33" s="2">
        <f t="shared" si="2"/>
        <v>7300000000</v>
      </c>
      <c r="D33" s="74">
        <f>Resultater!T27</f>
        <v>6683324967.8999996</v>
      </c>
      <c r="E33" s="74">
        <f>Resultater!AD27</f>
        <v>6283324967.8999996</v>
      </c>
      <c r="F33" s="74">
        <f>Resultater!F27</f>
        <v>0</v>
      </c>
      <c r="G33" s="74">
        <f t="shared" si="0"/>
        <v>6683324967.8999996</v>
      </c>
      <c r="H33" s="74">
        <f t="shared" si="1"/>
        <v>6283324967.8999996</v>
      </c>
    </row>
    <row r="34" spans="2:8" x14ac:dyDescent="0.2">
      <c r="B34">
        <v>2043</v>
      </c>
      <c r="C34" s="2">
        <f t="shared" si="2"/>
        <v>7300000000</v>
      </c>
      <c r="D34" s="74">
        <f>Resultater!T28</f>
        <v>6683324967.8999996</v>
      </c>
      <c r="E34" s="74">
        <f>Resultater!AD28</f>
        <v>6283324967.8999996</v>
      </c>
      <c r="F34" s="74">
        <f>Resultater!F28</f>
        <v>0</v>
      </c>
      <c r="G34" s="74">
        <f t="shared" si="0"/>
        <v>6683324967.8999996</v>
      </c>
      <c r="H34" s="74">
        <f t="shared" si="1"/>
        <v>6283324967.8999996</v>
      </c>
    </row>
    <row r="35" spans="2:8" x14ac:dyDescent="0.2">
      <c r="B35">
        <v>2044</v>
      </c>
      <c r="C35" s="2">
        <f>C34*0.85</f>
        <v>6205000000</v>
      </c>
      <c r="D35" s="74">
        <f>Resultater!T29</f>
        <v>5680826222.7149992</v>
      </c>
      <c r="E35" s="74">
        <f>Resultater!AD29</f>
        <v>5680826222.7149992</v>
      </c>
      <c r="F35" s="74">
        <f>Resultater!F29</f>
        <v>0</v>
      </c>
      <c r="G35" s="74">
        <f t="shared" si="0"/>
        <v>5680826222.7149992</v>
      </c>
      <c r="H35" s="74">
        <f t="shared" si="1"/>
        <v>5680826222.7149992</v>
      </c>
    </row>
    <row r="36" spans="2:8" x14ac:dyDescent="0.2">
      <c r="B36">
        <v>2045</v>
      </c>
      <c r="C36" s="2">
        <f t="shared" ref="C36:C40" si="3">C35*0.85</f>
        <v>5274250000</v>
      </c>
      <c r="D36" s="74">
        <f>Resultater!T30</f>
        <v>4828702289.3077488</v>
      </c>
      <c r="E36" s="74">
        <f>Resultater!AD30</f>
        <v>4828702289.3077488</v>
      </c>
      <c r="F36" s="74">
        <f>Resultater!F30</f>
        <v>0</v>
      </c>
      <c r="G36" s="74">
        <f t="shared" si="0"/>
        <v>4828702289.3077488</v>
      </c>
      <c r="H36" s="74">
        <f t="shared" si="1"/>
        <v>4828702289.3077488</v>
      </c>
    </row>
    <row r="37" spans="2:8" x14ac:dyDescent="0.2">
      <c r="B37">
        <v>2046</v>
      </c>
      <c r="C37" s="2">
        <f t="shared" si="3"/>
        <v>4483112500</v>
      </c>
      <c r="D37" s="74">
        <f>Resultater!T31</f>
        <v>4104396945.9115863</v>
      </c>
      <c r="E37" s="74">
        <f>Resultater!AD31</f>
        <v>4104396945.9115863</v>
      </c>
      <c r="F37" s="74">
        <f>Resultater!F31</f>
        <v>0</v>
      </c>
      <c r="G37" s="74">
        <f t="shared" si="0"/>
        <v>4104396945.9115863</v>
      </c>
      <c r="H37" s="74">
        <f t="shared" si="1"/>
        <v>4104396945.9115863</v>
      </c>
    </row>
    <row r="38" spans="2:8" x14ac:dyDescent="0.2">
      <c r="B38">
        <v>2047</v>
      </c>
      <c r="C38" s="2">
        <f t="shared" si="3"/>
        <v>3810645625</v>
      </c>
      <c r="D38" s="74">
        <f>Resultater!T32</f>
        <v>3488737404.0248485</v>
      </c>
      <c r="E38" s="74">
        <f>Resultater!AD32</f>
        <v>3488737404.0248485</v>
      </c>
      <c r="F38" s="74">
        <f>Resultater!F32</f>
        <v>0</v>
      </c>
      <c r="G38" s="74">
        <f t="shared" si="0"/>
        <v>3488737404.0248485</v>
      </c>
      <c r="H38" s="74">
        <f t="shared" si="1"/>
        <v>3488737404.0248485</v>
      </c>
    </row>
    <row r="39" spans="2:8" x14ac:dyDescent="0.2">
      <c r="B39">
        <v>2048</v>
      </c>
      <c r="C39" s="2">
        <f t="shared" si="3"/>
        <v>3239048781.25</v>
      </c>
      <c r="D39" s="74">
        <f>Resultater!T33</f>
        <v>2965426793.4211211</v>
      </c>
      <c r="E39" s="74">
        <f>Resultater!AD33</f>
        <v>2965426793.4211211</v>
      </c>
      <c r="F39" s="74">
        <f>Resultater!F33</f>
        <v>0</v>
      </c>
      <c r="G39" s="74">
        <f t="shared" si="0"/>
        <v>2965426793.4211211</v>
      </c>
      <c r="H39" s="74">
        <f t="shared" si="1"/>
        <v>2965426793.4211211</v>
      </c>
    </row>
    <row r="40" spans="2:8" x14ac:dyDescent="0.2">
      <c r="B40">
        <v>2049</v>
      </c>
      <c r="C40" s="2">
        <f t="shared" si="3"/>
        <v>2753191464.0625</v>
      </c>
      <c r="D40" s="74">
        <f>Resultater!T34</f>
        <v>2520612774.4079528</v>
      </c>
      <c r="E40" s="74">
        <f>Resultater!AD34</f>
        <v>2520612774.4079528</v>
      </c>
      <c r="F40" s="74">
        <f>Resultater!F34</f>
        <v>0</v>
      </c>
      <c r="G40" s="74">
        <f t="shared" si="0"/>
        <v>2520612774.4079528</v>
      </c>
      <c r="H40" s="74">
        <f t="shared" si="1"/>
        <v>2520612774.4079528</v>
      </c>
    </row>
    <row r="41" spans="2:8" x14ac:dyDescent="0.2">
      <c r="B41">
        <v>2050</v>
      </c>
      <c r="C41" s="2">
        <f>D4</f>
        <v>2555000000</v>
      </c>
      <c r="D41" s="74">
        <f>Resultater!T35</f>
        <v>2142520858.2467599</v>
      </c>
      <c r="E41" s="74">
        <f>Resultater!AD35</f>
        <v>2142520858.2467599</v>
      </c>
      <c r="F41" s="74">
        <f>Resultater!F35</f>
        <v>0</v>
      </c>
      <c r="G41" s="74">
        <f t="shared" si="0"/>
        <v>2142520858.2467599</v>
      </c>
      <c r="H41" s="74">
        <f t="shared" si="1"/>
        <v>2142520858.2467599</v>
      </c>
    </row>
    <row r="71" spans="2:12" ht="17" thickBot="1" x14ac:dyDescent="0.25">
      <c r="C71" s="40" t="s">
        <v>195</v>
      </c>
      <c r="D71" s="41"/>
      <c r="E71" s="41"/>
      <c r="F71" t="s">
        <v>304</v>
      </c>
      <c r="G71" t="s">
        <v>305</v>
      </c>
      <c r="I71" t="s">
        <v>306</v>
      </c>
      <c r="J71" t="s">
        <v>307</v>
      </c>
      <c r="K71" t="s">
        <v>306</v>
      </c>
      <c r="L71" t="s">
        <v>307</v>
      </c>
    </row>
    <row r="72" spans="2:12" x14ac:dyDescent="0.2">
      <c r="B72" t="s">
        <v>19</v>
      </c>
      <c r="C72" t="s">
        <v>125</v>
      </c>
      <c r="D72" t="s">
        <v>88</v>
      </c>
      <c r="E72" t="s">
        <v>87</v>
      </c>
    </row>
    <row r="73" spans="2:12" x14ac:dyDescent="0.2">
      <c r="B73">
        <v>2023</v>
      </c>
      <c r="C73" s="75">
        <v>1559</v>
      </c>
      <c r="D73" s="75">
        <v>1470</v>
      </c>
      <c r="E73" s="75">
        <v>598</v>
      </c>
      <c r="F73" s="75">
        <v>850000</v>
      </c>
      <c r="G73" s="75">
        <v>850000</v>
      </c>
      <c r="H73" s="1">
        <f>G73-F73</f>
        <v>0</v>
      </c>
      <c r="I73">
        <f>F73*D73</f>
        <v>1249500000</v>
      </c>
      <c r="J73">
        <f>F73*E73</f>
        <v>508300000</v>
      </c>
      <c r="K73">
        <f>H73*D73</f>
        <v>0</v>
      </c>
      <c r="L73">
        <f>H73*E73</f>
        <v>0</v>
      </c>
    </row>
    <row r="74" spans="2:12" x14ac:dyDescent="0.2">
      <c r="B74">
        <v>2024</v>
      </c>
      <c r="C74" s="75">
        <v>1724</v>
      </c>
      <c r="D74" s="75">
        <v>1679</v>
      </c>
      <c r="E74" s="75">
        <v>627</v>
      </c>
      <c r="F74" s="75">
        <v>850000</v>
      </c>
      <c r="G74" s="75">
        <v>850000</v>
      </c>
      <c r="H74" s="1">
        <f t="shared" ref="H74:H100" si="4">G74-F74</f>
        <v>0</v>
      </c>
      <c r="I74">
        <f t="shared" ref="I74:I100" si="5">F74*D74</f>
        <v>1427150000</v>
      </c>
      <c r="J74">
        <f t="shared" ref="J74:J100" si="6">F74*E74</f>
        <v>532950000</v>
      </c>
      <c r="K74">
        <f t="shared" ref="K74:K100" si="7">H74*D74</f>
        <v>0</v>
      </c>
      <c r="L74">
        <f t="shared" ref="L74:L100" si="8">H74*E74</f>
        <v>0</v>
      </c>
    </row>
    <row r="75" spans="2:12" x14ac:dyDescent="0.2">
      <c r="B75">
        <v>2025</v>
      </c>
      <c r="C75" s="75">
        <v>1907</v>
      </c>
      <c r="D75" s="76">
        <v>1918</v>
      </c>
      <c r="E75" s="75">
        <v>654</v>
      </c>
      <c r="F75" s="75">
        <v>850000</v>
      </c>
      <c r="G75" s="75">
        <v>850000</v>
      </c>
      <c r="H75" s="1">
        <f t="shared" si="4"/>
        <v>0</v>
      </c>
      <c r="I75">
        <f t="shared" si="5"/>
        <v>1630300000</v>
      </c>
      <c r="J75">
        <f t="shared" si="6"/>
        <v>555900000</v>
      </c>
      <c r="K75">
        <f t="shared" si="7"/>
        <v>0</v>
      </c>
      <c r="L75">
        <f t="shared" si="8"/>
        <v>0</v>
      </c>
    </row>
    <row r="76" spans="2:12" x14ac:dyDescent="0.2">
      <c r="B76">
        <v>2026</v>
      </c>
      <c r="C76" s="75">
        <v>2121</v>
      </c>
      <c r="D76" s="75">
        <v>2096</v>
      </c>
      <c r="E76" s="75">
        <v>686</v>
      </c>
      <c r="F76" s="75">
        <v>850000</v>
      </c>
      <c r="G76" s="75">
        <v>850000</v>
      </c>
      <c r="H76" s="1">
        <f t="shared" si="4"/>
        <v>0</v>
      </c>
      <c r="I76">
        <f t="shared" si="5"/>
        <v>1781600000</v>
      </c>
      <c r="J76">
        <f t="shared" si="6"/>
        <v>583100000</v>
      </c>
      <c r="K76">
        <f t="shared" si="7"/>
        <v>0</v>
      </c>
      <c r="L76">
        <f t="shared" si="8"/>
        <v>0</v>
      </c>
    </row>
    <row r="77" spans="2:12" x14ac:dyDescent="0.2">
      <c r="B77">
        <v>2027</v>
      </c>
      <c r="C77" s="75">
        <v>2230</v>
      </c>
      <c r="D77" s="75">
        <v>2291</v>
      </c>
      <c r="E77" s="75">
        <v>703</v>
      </c>
      <c r="F77" s="75">
        <v>850000</v>
      </c>
      <c r="G77" s="75">
        <v>850000</v>
      </c>
      <c r="H77" s="1">
        <f t="shared" si="4"/>
        <v>0</v>
      </c>
      <c r="I77">
        <f t="shared" si="5"/>
        <v>1947350000</v>
      </c>
      <c r="J77">
        <f t="shared" si="6"/>
        <v>597550000</v>
      </c>
      <c r="K77">
        <f t="shared" si="7"/>
        <v>0</v>
      </c>
      <c r="L77">
        <f t="shared" si="8"/>
        <v>0</v>
      </c>
    </row>
    <row r="78" spans="2:12" x14ac:dyDescent="0.2">
      <c r="B78">
        <v>2028</v>
      </c>
      <c r="C78" s="75">
        <v>2230</v>
      </c>
      <c r="D78" s="75">
        <v>2504</v>
      </c>
      <c r="E78" s="75">
        <v>721</v>
      </c>
      <c r="F78" s="75">
        <v>850000</v>
      </c>
      <c r="G78" s="75">
        <v>850000</v>
      </c>
      <c r="H78" s="1">
        <f t="shared" si="4"/>
        <v>0</v>
      </c>
      <c r="I78">
        <f t="shared" si="5"/>
        <v>2128400000</v>
      </c>
      <c r="J78">
        <f t="shared" si="6"/>
        <v>612850000</v>
      </c>
      <c r="K78">
        <f t="shared" si="7"/>
        <v>0</v>
      </c>
      <c r="L78">
        <f t="shared" si="8"/>
        <v>0</v>
      </c>
    </row>
    <row r="79" spans="2:12" x14ac:dyDescent="0.2">
      <c r="B79">
        <v>2029</v>
      </c>
      <c r="C79" s="75">
        <v>2230</v>
      </c>
      <c r="D79" s="75">
        <v>2736</v>
      </c>
      <c r="E79" s="75">
        <v>739</v>
      </c>
      <c r="F79" s="75">
        <v>850000</v>
      </c>
      <c r="G79" s="75">
        <v>850000</v>
      </c>
      <c r="H79" s="1">
        <f t="shared" si="4"/>
        <v>0</v>
      </c>
      <c r="I79">
        <f t="shared" si="5"/>
        <v>2325600000</v>
      </c>
      <c r="J79">
        <f t="shared" si="6"/>
        <v>628150000</v>
      </c>
      <c r="K79">
        <f t="shared" si="7"/>
        <v>0</v>
      </c>
      <c r="L79">
        <f t="shared" si="8"/>
        <v>0</v>
      </c>
    </row>
    <row r="80" spans="2:12" x14ac:dyDescent="0.2">
      <c r="B80">
        <v>2030</v>
      </c>
      <c r="C80" s="75">
        <v>2230</v>
      </c>
      <c r="D80" s="76">
        <v>2990</v>
      </c>
      <c r="E80" s="75">
        <v>757</v>
      </c>
      <c r="F80" s="75">
        <v>850000</v>
      </c>
      <c r="G80" s="75">
        <v>850000</v>
      </c>
      <c r="H80" s="1">
        <f t="shared" si="4"/>
        <v>0</v>
      </c>
      <c r="I80">
        <f t="shared" si="5"/>
        <v>2541500000</v>
      </c>
      <c r="J80">
        <f t="shared" si="6"/>
        <v>643450000</v>
      </c>
      <c r="K80">
        <f t="shared" si="7"/>
        <v>0</v>
      </c>
      <c r="L80">
        <f t="shared" si="8"/>
        <v>0</v>
      </c>
    </row>
    <row r="81" spans="2:12" x14ac:dyDescent="0.2">
      <c r="B81">
        <v>2031</v>
      </c>
      <c r="C81" s="75">
        <v>2230</v>
      </c>
      <c r="D81" s="75">
        <v>3268</v>
      </c>
      <c r="E81" s="75">
        <v>787</v>
      </c>
      <c r="F81" s="75">
        <v>850000</v>
      </c>
      <c r="G81" s="75">
        <v>850000</v>
      </c>
      <c r="H81" s="1">
        <f t="shared" si="4"/>
        <v>0</v>
      </c>
      <c r="I81">
        <f t="shared" si="5"/>
        <v>2777800000</v>
      </c>
      <c r="J81">
        <f t="shared" si="6"/>
        <v>668950000</v>
      </c>
      <c r="K81">
        <f t="shared" si="7"/>
        <v>0</v>
      </c>
      <c r="L81">
        <f t="shared" si="8"/>
        <v>0</v>
      </c>
    </row>
    <row r="82" spans="2:12" x14ac:dyDescent="0.2">
      <c r="B82">
        <v>2032</v>
      </c>
      <c r="C82" s="75">
        <v>2230</v>
      </c>
      <c r="D82" s="75">
        <v>3572</v>
      </c>
      <c r="E82" s="75">
        <v>819</v>
      </c>
      <c r="F82" s="75">
        <v>850000</v>
      </c>
      <c r="G82" s="75">
        <v>850000</v>
      </c>
      <c r="H82" s="1">
        <f t="shared" si="4"/>
        <v>0</v>
      </c>
      <c r="I82">
        <f t="shared" si="5"/>
        <v>3036200000</v>
      </c>
      <c r="J82">
        <f t="shared" si="6"/>
        <v>696150000</v>
      </c>
      <c r="K82">
        <f t="shared" si="7"/>
        <v>0</v>
      </c>
      <c r="L82">
        <f t="shared" si="8"/>
        <v>0</v>
      </c>
    </row>
    <row r="83" spans="2:12" x14ac:dyDescent="0.2">
      <c r="B83">
        <v>2033</v>
      </c>
      <c r="C83" s="75">
        <v>2230</v>
      </c>
      <c r="D83" s="75">
        <v>3904</v>
      </c>
      <c r="E83" s="75">
        <v>852</v>
      </c>
      <c r="F83" s="75">
        <v>850000</v>
      </c>
      <c r="G83" s="75">
        <v>850000</v>
      </c>
      <c r="H83" s="1">
        <f t="shared" si="4"/>
        <v>0</v>
      </c>
      <c r="I83">
        <f t="shared" si="5"/>
        <v>3318400000</v>
      </c>
      <c r="J83">
        <f t="shared" si="6"/>
        <v>724200000</v>
      </c>
      <c r="K83">
        <f t="shared" si="7"/>
        <v>0</v>
      </c>
      <c r="L83">
        <f t="shared" si="8"/>
        <v>0</v>
      </c>
    </row>
    <row r="84" spans="2:12" x14ac:dyDescent="0.2">
      <c r="B84">
        <v>2034</v>
      </c>
      <c r="C84" s="75">
        <v>2230</v>
      </c>
      <c r="D84" s="75">
        <v>4267</v>
      </c>
      <c r="E84" s="75">
        <v>886</v>
      </c>
      <c r="F84" s="75">
        <v>850000</v>
      </c>
      <c r="G84" s="75">
        <v>850000</v>
      </c>
      <c r="H84" s="1">
        <f t="shared" si="4"/>
        <v>0</v>
      </c>
      <c r="I84">
        <f t="shared" si="5"/>
        <v>3626950000</v>
      </c>
      <c r="J84">
        <f t="shared" si="6"/>
        <v>753100000</v>
      </c>
      <c r="K84">
        <f t="shared" si="7"/>
        <v>0</v>
      </c>
      <c r="L84">
        <f t="shared" si="8"/>
        <v>0</v>
      </c>
    </row>
    <row r="85" spans="2:12" x14ac:dyDescent="0.2">
      <c r="B85">
        <v>2035</v>
      </c>
      <c r="C85" s="75">
        <v>2230</v>
      </c>
      <c r="D85" s="75">
        <v>4664</v>
      </c>
      <c r="E85" s="75">
        <v>921</v>
      </c>
      <c r="F85" s="75">
        <v>850000</v>
      </c>
      <c r="G85" s="75">
        <v>850000</v>
      </c>
      <c r="H85" s="1">
        <f t="shared" si="4"/>
        <v>0</v>
      </c>
      <c r="I85">
        <f t="shared" si="5"/>
        <v>3964400000</v>
      </c>
      <c r="J85">
        <f t="shared" si="6"/>
        <v>782850000</v>
      </c>
      <c r="K85">
        <f t="shared" si="7"/>
        <v>0</v>
      </c>
      <c r="L85">
        <f t="shared" si="8"/>
        <v>0</v>
      </c>
    </row>
    <row r="86" spans="2:12" x14ac:dyDescent="0.2">
      <c r="B86">
        <v>2036</v>
      </c>
      <c r="C86" s="75">
        <v>2230</v>
      </c>
      <c r="D86" s="75">
        <v>5098</v>
      </c>
      <c r="E86" s="75">
        <v>958</v>
      </c>
      <c r="G86" s="75">
        <v>850000</v>
      </c>
      <c r="H86" s="1">
        <f t="shared" si="4"/>
        <v>850000</v>
      </c>
      <c r="I86">
        <f t="shared" si="5"/>
        <v>0</v>
      </c>
      <c r="J86">
        <f t="shared" si="6"/>
        <v>0</v>
      </c>
      <c r="K86">
        <f t="shared" si="7"/>
        <v>4333300000</v>
      </c>
      <c r="L86">
        <f t="shared" si="8"/>
        <v>814300000</v>
      </c>
    </row>
    <row r="87" spans="2:12" x14ac:dyDescent="0.2">
      <c r="B87">
        <v>2037</v>
      </c>
      <c r="C87" s="75">
        <v>2230</v>
      </c>
      <c r="D87" s="75">
        <v>5572</v>
      </c>
      <c r="E87" s="75">
        <v>996</v>
      </c>
      <c r="G87" s="75">
        <v>850000</v>
      </c>
      <c r="H87" s="1">
        <f t="shared" si="4"/>
        <v>850000</v>
      </c>
      <c r="I87">
        <f t="shared" si="5"/>
        <v>0</v>
      </c>
      <c r="J87">
        <f t="shared" si="6"/>
        <v>0</v>
      </c>
      <c r="K87">
        <f t="shared" si="7"/>
        <v>4736200000</v>
      </c>
      <c r="L87">
        <f t="shared" si="8"/>
        <v>846600000</v>
      </c>
    </row>
    <row r="88" spans="2:12" x14ac:dyDescent="0.2">
      <c r="B88">
        <v>2038</v>
      </c>
      <c r="C88" s="75">
        <v>2230</v>
      </c>
      <c r="D88" s="75">
        <v>6091</v>
      </c>
      <c r="E88" s="75">
        <v>1036</v>
      </c>
      <c r="G88" s="75">
        <v>850000</v>
      </c>
      <c r="H88" s="1">
        <f t="shared" si="4"/>
        <v>850000</v>
      </c>
      <c r="I88">
        <f t="shared" si="5"/>
        <v>0</v>
      </c>
      <c r="J88">
        <f t="shared" si="6"/>
        <v>0</v>
      </c>
      <c r="K88">
        <f t="shared" si="7"/>
        <v>5177350000</v>
      </c>
      <c r="L88">
        <f t="shared" si="8"/>
        <v>880600000</v>
      </c>
    </row>
    <row r="89" spans="2:12" x14ac:dyDescent="0.2">
      <c r="B89">
        <v>2039</v>
      </c>
      <c r="C89" s="75">
        <v>2230</v>
      </c>
      <c r="D89" s="75">
        <v>6657</v>
      </c>
      <c r="E89" s="75">
        <v>1078</v>
      </c>
      <c r="G89" s="75">
        <v>850000</v>
      </c>
      <c r="H89" s="1">
        <f t="shared" si="4"/>
        <v>850000</v>
      </c>
      <c r="I89">
        <f t="shared" si="5"/>
        <v>0</v>
      </c>
      <c r="J89">
        <f t="shared" si="6"/>
        <v>0</v>
      </c>
      <c r="K89">
        <f t="shared" si="7"/>
        <v>5658450000</v>
      </c>
      <c r="L89">
        <f t="shared" si="8"/>
        <v>916300000</v>
      </c>
    </row>
    <row r="90" spans="2:12" x14ac:dyDescent="0.2">
      <c r="B90">
        <v>2040</v>
      </c>
      <c r="C90" s="75">
        <v>2230</v>
      </c>
      <c r="D90" s="76">
        <v>7277</v>
      </c>
      <c r="E90" s="75">
        <v>1121</v>
      </c>
      <c r="G90" s="75">
        <v>850000</v>
      </c>
      <c r="H90" s="1">
        <f t="shared" si="4"/>
        <v>850000</v>
      </c>
      <c r="I90">
        <f t="shared" si="5"/>
        <v>0</v>
      </c>
      <c r="J90">
        <f t="shared" si="6"/>
        <v>0</v>
      </c>
      <c r="K90">
        <f t="shared" si="7"/>
        <v>6185450000</v>
      </c>
      <c r="L90">
        <f t="shared" si="8"/>
        <v>952850000</v>
      </c>
    </row>
    <row r="91" spans="2:12" x14ac:dyDescent="0.2">
      <c r="B91">
        <v>2041</v>
      </c>
      <c r="C91" s="75">
        <v>2230</v>
      </c>
      <c r="D91" s="75">
        <v>7588</v>
      </c>
      <c r="E91" s="75">
        <v>1166</v>
      </c>
      <c r="G91" s="75">
        <v>850000</v>
      </c>
      <c r="H91" s="1">
        <f t="shared" si="4"/>
        <v>850000</v>
      </c>
      <c r="I91">
        <f t="shared" si="5"/>
        <v>0</v>
      </c>
      <c r="J91">
        <f t="shared" si="6"/>
        <v>0</v>
      </c>
      <c r="K91">
        <f t="shared" si="7"/>
        <v>6449800000</v>
      </c>
      <c r="L91">
        <f t="shared" si="8"/>
        <v>991100000</v>
      </c>
    </row>
    <row r="92" spans="2:12" x14ac:dyDescent="0.2">
      <c r="B92">
        <v>2042</v>
      </c>
      <c r="C92" s="75">
        <v>2230</v>
      </c>
      <c r="D92" s="75">
        <v>7912</v>
      </c>
      <c r="E92" s="75">
        <v>1212</v>
      </c>
      <c r="G92" s="75">
        <v>850000</v>
      </c>
      <c r="H92" s="1">
        <f t="shared" si="4"/>
        <v>850000</v>
      </c>
      <c r="I92">
        <f t="shared" si="5"/>
        <v>0</v>
      </c>
      <c r="J92">
        <f t="shared" si="6"/>
        <v>0</v>
      </c>
      <c r="K92">
        <f t="shared" si="7"/>
        <v>6725200000</v>
      </c>
      <c r="L92">
        <f t="shared" si="8"/>
        <v>1030200000</v>
      </c>
    </row>
    <row r="93" spans="2:12" x14ac:dyDescent="0.2">
      <c r="B93">
        <v>2043</v>
      </c>
      <c r="C93" s="75">
        <v>2230</v>
      </c>
      <c r="D93" s="75">
        <v>8250</v>
      </c>
      <c r="E93" s="75">
        <v>1261</v>
      </c>
      <c r="G93" s="75">
        <v>850000</v>
      </c>
      <c r="H93" s="1">
        <f t="shared" si="4"/>
        <v>850000</v>
      </c>
      <c r="I93">
        <f t="shared" si="5"/>
        <v>0</v>
      </c>
      <c r="J93">
        <f t="shared" si="6"/>
        <v>0</v>
      </c>
      <c r="K93">
        <f t="shared" si="7"/>
        <v>7012500000</v>
      </c>
      <c r="L93">
        <f t="shared" si="8"/>
        <v>1071850000</v>
      </c>
    </row>
    <row r="94" spans="2:12" x14ac:dyDescent="0.2">
      <c r="B94">
        <v>2044</v>
      </c>
      <c r="C94" s="75">
        <v>2230</v>
      </c>
      <c r="D94" s="75">
        <v>8603</v>
      </c>
      <c r="E94" s="75">
        <v>1311</v>
      </c>
      <c r="G94" s="75">
        <v>850000</v>
      </c>
      <c r="H94" s="1">
        <f t="shared" si="4"/>
        <v>850000</v>
      </c>
      <c r="I94">
        <f t="shared" si="5"/>
        <v>0</v>
      </c>
      <c r="J94">
        <f t="shared" si="6"/>
        <v>0</v>
      </c>
      <c r="K94">
        <f t="shared" si="7"/>
        <v>7312550000</v>
      </c>
      <c r="L94">
        <f t="shared" si="8"/>
        <v>1114350000</v>
      </c>
    </row>
    <row r="95" spans="2:12" x14ac:dyDescent="0.2">
      <c r="B95">
        <v>2045</v>
      </c>
      <c r="C95" s="75">
        <v>2230</v>
      </c>
      <c r="D95" s="75">
        <v>8971</v>
      </c>
      <c r="E95" s="75">
        <v>1364</v>
      </c>
      <c r="G95" s="75">
        <v>850000</v>
      </c>
      <c r="H95" s="1">
        <f t="shared" si="4"/>
        <v>850000</v>
      </c>
      <c r="I95">
        <f t="shared" si="5"/>
        <v>0</v>
      </c>
      <c r="J95">
        <f t="shared" si="6"/>
        <v>0</v>
      </c>
      <c r="K95">
        <f t="shared" si="7"/>
        <v>7625350000</v>
      </c>
      <c r="L95">
        <f t="shared" si="8"/>
        <v>1159400000</v>
      </c>
    </row>
    <row r="96" spans="2:12" x14ac:dyDescent="0.2">
      <c r="B96">
        <v>2046</v>
      </c>
      <c r="C96" s="75">
        <v>2230</v>
      </c>
      <c r="D96" s="75">
        <v>9355</v>
      </c>
      <c r="E96" s="75">
        <v>1418</v>
      </c>
      <c r="G96" s="75">
        <v>850000</v>
      </c>
      <c r="H96" s="1">
        <f t="shared" si="4"/>
        <v>850000</v>
      </c>
      <c r="I96">
        <f t="shared" si="5"/>
        <v>0</v>
      </c>
      <c r="J96">
        <f t="shared" si="6"/>
        <v>0</v>
      </c>
      <c r="K96">
        <f t="shared" si="7"/>
        <v>7951750000</v>
      </c>
      <c r="L96">
        <f t="shared" si="8"/>
        <v>1205300000</v>
      </c>
    </row>
    <row r="97" spans="2:12" x14ac:dyDescent="0.2">
      <c r="B97">
        <v>2047</v>
      </c>
      <c r="C97" s="75">
        <v>2230</v>
      </c>
      <c r="D97" s="75">
        <v>9755</v>
      </c>
      <c r="E97" s="75">
        <v>1475</v>
      </c>
      <c r="G97" s="75">
        <v>850000</v>
      </c>
      <c r="H97" s="1">
        <f t="shared" si="4"/>
        <v>850000</v>
      </c>
      <c r="I97">
        <f t="shared" si="5"/>
        <v>0</v>
      </c>
      <c r="J97">
        <f t="shared" si="6"/>
        <v>0</v>
      </c>
      <c r="K97">
        <f t="shared" si="7"/>
        <v>8291750000</v>
      </c>
      <c r="L97">
        <f t="shared" si="8"/>
        <v>1253750000</v>
      </c>
    </row>
    <row r="98" spans="2:12" x14ac:dyDescent="0.2">
      <c r="B98">
        <v>2048</v>
      </c>
      <c r="C98" s="75">
        <v>2230</v>
      </c>
      <c r="D98" s="75">
        <v>10172</v>
      </c>
      <c r="E98" s="75">
        <v>1534</v>
      </c>
      <c r="G98" s="75">
        <v>850000</v>
      </c>
      <c r="H98" s="1">
        <f t="shared" si="4"/>
        <v>850000</v>
      </c>
      <c r="I98">
        <f t="shared" si="5"/>
        <v>0</v>
      </c>
      <c r="J98">
        <f t="shared" si="6"/>
        <v>0</v>
      </c>
      <c r="K98">
        <f t="shared" si="7"/>
        <v>8646200000</v>
      </c>
      <c r="L98">
        <f t="shared" si="8"/>
        <v>1303900000</v>
      </c>
    </row>
    <row r="99" spans="2:12" x14ac:dyDescent="0.2">
      <c r="B99">
        <v>2049</v>
      </c>
      <c r="C99" s="75">
        <v>2230</v>
      </c>
      <c r="D99" s="75">
        <v>10607</v>
      </c>
      <c r="E99" s="75">
        <v>1595</v>
      </c>
      <c r="G99" s="75">
        <v>850000</v>
      </c>
      <c r="H99" s="1">
        <f t="shared" si="4"/>
        <v>850000</v>
      </c>
      <c r="I99">
        <f t="shared" si="5"/>
        <v>0</v>
      </c>
      <c r="J99">
        <f t="shared" si="6"/>
        <v>0</v>
      </c>
      <c r="K99">
        <f t="shared" si="7"/>
        <v>9015950000</v>
      </c>
      <c r="L99">
        <f t="shared" si="8"/>
        <v>1355750000</v>
      </c>
    </row>
    <row r="100" spans="2:12" x14ac:dyDescent="0.2">
      <c r="B100">
        <v>2050</v>
      </c>
      <c r="C100" s="75">
        <v>2230</v>
      </c>
      <c r="D100" s="76">
        <v>11060</v>
      </c>
      <c r="E100" s="75">
        <v>1659</v>
      </c>
      <c r="G100" s="75">
        <v>850000</v>
      </c>
      <c r="H100" s="1">
        <f t="shared" si="4"/>
        <v>850000</v>
      </c>
      <c r="I100">
        <f t="shared" si="5"/>
        <v>0</v>
      </c>
      <c r="J100">
        <f t="shared" si="6"/>
        <v>0</v>
      </c>
      <c r="K100">
        <f t="shared" si="7"/>
        <v>9401000000</v>
      </c>
      <c r="L100">
        <f t="shared" si="8"/>
        <v>1410150000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ED0D4-34F0-9E4F-8725-633BF8DFF33A}">
  <dimension ref="B3:AV102"/>
  <sheetViews>
    <sheetView topLeftCell="A77" workbookViewId="0">
      <selection activeCell="D26" sqref="D26"/>
    </sheetView>
  </sheetViews>
  <sheetFormatPr baseColWidth="10" defaultRowHeight="16" x14ac:dyDescent="0.2"/>
  <cols>
    <col min="2" max="2" width="37.6640625" customWidth="1"/>
    <col min="3" max="3" width="20.1640625" customWidth="1"/>
    <col min="4" max="4" width="21.1640625" customWidth="1"/>
    <col min="5" max="5" width="21.5" customWidth="1"/>
    <col min="6" max="6" width="21" customWidth="1"/>
    <col min="7" max="7" width="19.83203125" customWidth="1"/>
    <col min="8" max="16" width="22" customWidth="1"/>
    <col min="17" max="17" width="25.6640625" customWidth="1"/>
    <col min="18" max="18" width="21" customWidth="1"/>
    <col min="19" max="19" width="28" customWidth="1"/>
    <col min="20" max="20" width="22.1640625" customWidth="1"/>
    <col min="21" max="21" width="21.33203125" customWidth="1"/>
    <col min="22" max="22" width="21.6640625" customWidth="1"/>
    <col min="23" max="23" width="19.83203125" customWidth="1"/>
    <col min="24" max="24" width="22.5" customWidth="1"/>
    <col min="25" max="25" width="17.1640625" customWidth="1"/>
    <col min="26" max="27" width="22" customWidth="1"/>
    <col min="28" max="28" width="18" customWidth="1"/>
    <col min="29" max="29" width="20.6640625" customWidth="1"/>
    <col min="30" max="30" width="23.33203125" customWidth="1"/>
    <col min="31" max="31" width="30.1640625" customWidth="1"/>
    <col min="32" max="32" width="28" customWidth="1"/>
    <col min="33" max="33" width="22.5" customWidth="1"/>
    <col min="34" max="34" width="23.33203125" customWidth="1"/>
    <col min="35" max="35" width="19.5" customWidth="1"/>
    <col min="36" max="36" width="19.33203125" customWidth="1"/>
    <col min="37" max="37" width="18.33203125" customWidth="1"/>
    <col min="38" max="38" width="20.5" customWidth="1"/>
    <col min="39" max="39" width="16.83203125" customWidth="1"/>
    <col min="40" max="40" width="20.5" customWidth="1"/>
    <col min="41" max="41" width="21.6640625" customWidth="1"/>
    <col min="42" max="44" width="21.1640625" customWidth="1"/>
    <col min="45" max="46" width="23.5" customWidth="1"/>
    <col min="47" max="47" width="22.33203125" customWidth="1"/>
    <col min="48" max="48" width="22" customWidth="1"/>
    <col min="49" max="49" width="21.6640625" customWidth="1"/>
  </cols>
  <sheetData>
    <row r="3" spans="2:48" x14ac:dyDescent="0.2">
      <c r="B3" s="19" t="s">
        <v>313</v>
      </c>
    </row>
    <row r="5" spans="2:48" ht="17" thickBot="1" x14ac:dyDescent="0.25"/>
    <row r="6" spans="2:48" ht="17" thickBot="1" x14ac:dyDescent="0.25">
      <c r="B6" s="133" t="s">
        <v>310</v>
      </c>
      <c r="C6" s="123" t="s">
        <v>251</v>
      </c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7"/>
      <c r="Q6" s="124" t="s">
        <v>3</v>
      </c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6"/>
      <c r="AD6" s="128" t="s">
        <v>274</v>
      </c>
      <c r="AE6" s="129"/>
      <c r="AF6" s="129"/>
      <c r="AG6" s="129"/>
      <c r="AH6" s="129"/>
      <c r="AI6" s="129"/>
      <c r="AJ6" s="129"/>
      <c r="AK6" s="129"/>
      <c r="AL6" s="129"/>
      <c r="AM6" s="129"/>
      <c r="AN6" s="129"/>
      <c r="AO6" s="129"/>
      <c r="AP6" s="130"/>
    </row>
    <row r="7" spans="2:48" ht="17" thickBot="1" x14ac:dyDescent="0.25">
      <c r="B7" s="122" t="s">
        <v>19</v>
      </c>
      <c r="C7" s="2" t="s">
        <v>253</v>
      </c>
      <c r="D7" s="2" t="s">
        <v>247</v>
      </c>
      <c r="E7" t="s">
        <v>252</v>
      </c>
      <c r="F7" t="s">
        <v>254</v>
      </c>
      <c r="G7" t="s">
        <v>255</v>
      </c>
      <c r="H7" t="s">
        <v>256</v>
      </c>
      <c r="I7" t="s">
        <v>261</v>
      </c>
      <c r="J7" t="s">
        <v>262</v>
      </c>
      <c r="K7" t="s">
        <v>259</v>
      </c>
      <c r="L7" t="s">
        <v>257</v>
      </c>
      <c r="M7" t="s">
        <v>258</v>
      </c>
      <c r="N7" t="s">
        <v>260</v>
      </c>
      <c r="O7" t="s">
        <v>294</v>
      </c>
      <c r="P7" t="s">
        <v>23</v>
      </c>
      <c r="Q7" t="s">
        <v>253</v>
      </c>
      <c r="R7" t="s">
        <v>247</v>
      </c>
      <c r="S7" t="s">
        <v>252</v>
      </c>
      <c r="T7" t="s">
        <v>254</v>
      </c>
      <c r="U7" t="s">
        <v>256</v>
      </c>
      <c r="V7" t="s">
        <v>259</v>
      </c>
      <c r="W7" t="s">
        <v>257</v>
      </c>
      <c r="X7" t="s">
        <v>258</v>
      </c>
      <c r="Y7" t="s">
        <v>272</v>
      </c>
      <c r="Z7" t="s">
        <v>260</v>
      </c>
      <c r="AA7" t="s">
        <v>294</v>
      </c>
      <c r="AB7" t="s">
        <v>273</v>
      </c>
      <c r="AC7" t="s">
        <v>23</v>
      </c>
      <c r="AD7" t="s">
        <v>275</v>
      </c>
      <c r="AE7" t="str">
        <f>E7</f>
        <v>Energiforbruk (sm3 brenngass)</v>
      </c>
      <c r="AF7" t="s">
        <v>255</v>
      </c>
      <c r="AG7" t="str">
        <f>H7</f>
        <v>El-energiforbruk (MWh)</v>
      </c>
      <c r="AH7" t="str">
        <f>I7</f>
        <v>Kostnad gassforbruk</v>
      </c>
      <c r="AI7" t="s">
        <v>276</v>
      </c>
      <c r="AJ7" t="s">
        <v>277</v>
      </c>
      <c r="AK7" t="s">
        <v>257</v>
      </c>
      <c r="AL7" t="s">
        <v>258</v>
      </c>
      <c r="AM7" t="s">
        <v>272</v>
      </c>
      <c r="AN7" t="s">
        <v>278</v>
      </c>
      <c r="AO7" t="s">
        <v>294</v>
      </c>
      <c r="AP7" t="s">
        <v>23</v>
      </c>
      <c r="AR7" t="s">
        <v>0</v>
      </c>
      <c r="AS7">
        <v>0</v>
      </c>
      <c r="AT7" t="str">
        <f>AR7</f>
        <v>år</v>
      </c>
      <c r="AU7" t="s">
        <v>3</v>
      </c>
      <c r="AV7" t="s">
        <v>274</v>
      </c>
    </row>
    <row r="8" spans="2:48" x14ac:dyDescent="0.2">
      <c r="B8" s="131">
        <v>2023</v>
      </c>
      <c r="C8" s="2">
        <v>4900000</v>
      </c>
      <c r="D8" s="2">
        <f>C8*1363.943871</f>
        <v>6683324967.8999996</v>
      </c>
      <c r="E8" s="74">
        <v>400000000</v>
      </c>
      <c r="F8" s="74">
        <f>D8-E8</f>
        <v>6283324967.8999996</v>
      </c>
      <c r="G8" s="74">
        <v>850000</v>
      </c>
      <c r="H8" s="74">
        <f>37*24*365</f>
        <v>324120</v>
      </c>
      <c r="I8" s="74">
        <f>E8*Priser!F10</f>
        <v>1514052000</v>
      </c>
      <c r="J8" s="74">
        <f>H8*Priser!I10</f>
        <v>81030000</v>
      </c>
      <c r="K8" s="23">
        <f>I8+J8</f>
        <v>1595082000</v>
      </c>
      <c r="L8" s="23">
        <f>utkast1!H8</f>
        <v>372500000</v>
      </c>
      <c r="M8" s="23">
        <f>G8*utslipp2!H10</f>
        <v>1325150000</v>
      </c>
      <c r="N8" s="23">
        <f>K8+L8+M8</f>
        <v>3292732000</v>
      </c>
      <c r="O8" s="23">
        <f>K8+L8</f>
        <v>1967582000</v>
      </c>
      <c r="P8" s="23">
        <f>F8*Priser!F10</f>
        <v>23783201835.747326</v>
      </c>
      <c r="Q8">
        <f>C8</f>
        <v>4900000</v>
      </c>
      <c r="R8">
        <f>Q8*1363.943871</f>
        <v>6683324967.8999996</v>
      </c>
      <c r="S8" s="74">
        <f>E8</f>
        <v>400000000</v>
      </c>
      <c r="T8" s="74">
        <f>R8-S8</f>
        <v>6283324967.8999996</v>
      </c>
      <c r="U8" s="74">
        <f>H8</f>
        <v>324120</v>
      </c>
      <c r="V8" s="25">
        <f>K8</f>
        <v>1595082000</v>
      </c>
      <c r="W8" s="23">
        <f>L8</f>
        <v>372500000</v>
      </c>
      <c r="X8" s="23">
        <f>M8</f>
        <v>1325150000</v>
      </c>
      <c r="Y8" s="74"/>
      <c r="Z8" s="25">
        <f>V8+W8+X8+Y8</f>
        <v>3292732000</v>
      </c>
      <c r="AA8" s="25">
        <f>V8+W8+Y8</f>
        <v>1967582000</v>
      </c>
      <c r="AB8" s="23">
        <v>400000000</v>
      </c>
      <c r="AC8" s="23">
        <f>T8*Priser!F10</f>
        <v>23783201835.747326</v>
      </c>
      <c r="AD8" s="74">
        <f>F8</f>
        <v>6283324967.8999996</v>
      </c>
      <c r="AE8">
        <f t="shared" ref="AE8:AE15" si="0">E8</f>
        <v>400000000</v>
      </c>
      <c r="AF8" s="74">
        <f>G8</f>
        <v>850000</v>
      </c>
      <c r="AG8">
        <f>H8</f>
        <v>324120</v>
      </c>
      <c r="AH8" s="23">
        <f>AE8*Priser!F10</f>
        <v>1514052000</v>
      </c>
      <c r="AI8" s="25">
        <f>AG8*Priser!I10</f>
        <v>81030000</v>
      </c>
      <c r="AJ8" s="25">
        <f>AH8+AI8</f>
        <v>1595082000</v>
      </c>
      <c r="AK8" s="23">
        <f>L8</f>
        <v>372500000</v>
      </c>
      <c r="AL8" s="23">
        <f>AF8*utslipp2!H10</f>
        <v>1325150000</v>
      </c>
      <c r="AM8" s="23"/>
      <c r="AN8" s="23">
        <f>AJ8+AK8+AL8+AM8</f>
        <v>3292732000</v>
      </c>
      <c r="AO8" s="23">
        <f>AJ8+AK8+AM8</f>
        <v>1967582000</v>
      </c>
      <c r="AP8" s="23">
        <f>AD8*Priser!F10</f>
        <v>23783201835.747326</v>
      </c>
      <c r="AR8">
        <f>B8</f>
        <v>2023</v>
      </c>
      <c r="AS8" s="25">
        <f>(P8-N8)*utkast1!R8</f>
        <v>20490469835.747326</v>
      </c>
      <c r="AT8">
        <f t="shared" ref="AT8:AT35" si="1">AR8</f>
        <v>2023</v>
      </c>
      <c r="AU8" s="25">
        <f>(AC8-Z8)*utkast1!R8</f>
        <v>20490469835.747326</v>
      </c>
      <c r="AV8" s="25">
        <f>(AP8-AN8)*utkast1!R8</f>
        <v>20490469835.747326</v>
      </c>
    </row>
    <row r="9" spans="2:48" x14ac:dyDescent="0.2">
      <c r="B9" s="131">
        <v>2024</v>
      </c>
      <c r="C9" s="2">
        <v>4900000</v>
      </c>
      <c r="D9" s="2">
        <f t="shared" ref="D9:D15" si="2">C9*1363.943871</f>
        <v>6683324967.8999996</v>
      </c>
      <c r="E9" s="74">
        <v>400000000</v>
      </c>
      <c r="F9" s="74">
        <f t="shared" ref="F9:F20" si="3">D9-E9</f>
        <v>6283324967.8999996</v>
      </c>
      <c r="G9" s="74">
        <v>850000</v>
      </c>
      <c r="H9" s="74">
        <f>H8</f>
        <v>324120</v>
      </c>
      <c r="I9" s="74">
        <f>E9*Priser!F11</f>
        <v>1514052000</v>
      </c>
      <c r="J9" s="74">
        <f>H9*Priser!I11</f>
        <v>81030000</v>
      </c>
      <c r="K9" s="23">
        <f t="shared" ref="K9:K20" si="4">I9+J9</f>
        <v>1595082000</v>
      </c>
      <c r="L9" s="23">
        <f>utkast1!H9</f>
        <v>372500000</v>
      </c>
      <c r="M9" s="23">
        <f>G9*utslipp2!H11</f>
        <v>1465400000</v>
      </c>
      <c r="N9" s="23">
        <f t="shared" ref="N9:N35" si="5">K9+L9+M9</f>
        <v>3432982000</v>
      </c>
      <c r="O9" s="23">
        <f t="shared" ref="O9:O35" si="6">K9+L9</f>
        <v>1967582000</v>
      </c>
      <c r="P9" s="23">
        <f>F9*Priser!F11</f>
        <v>23783201835.747326</v>
      </c>
      <c r="Q9">
        <f>C9</f>
        <v>4900000</v>
      </c>
      <c r="R9">
        <f t="shared" ref="R9:R28" si="7">Q9*1363.943871</f>
        <v>6683324967.8999996</v>
      </c>
      <c r="S9" s="74">
        <f t="shared" ref="S9:S15" si="8">E9</f>
        <v>400000000</v>
      </c>
      <c r="T9" s="74">
        <f t="shared" ref="T9:T35" si="9">R9-S9</f>
        <v>6283324967.8999996</v>
      </c>
      <c r="U9" s="74">
        <f t="shared" ref="U9:U14" si="10">H9</f>
        <v>324120</v>
      </c>
      <c r="V9" s="25">
        <f t="shared" ref="V9:V15" si="11">K9</f>
        <v>1595082000</v>
      </c>
      <c r="W9" s="23">
        <f t="shared" ref="W9:W15" si="12">L9</f>
        <v>372500000</v>
      </c>
      <c r="X9" s="23">
        <f t="shared" ref="X9:X35" si="13">M9</f>
        <v>1465400000</v>
      </c>
      <c r="Y9" s="74"/>
      <c r="Z9" s="25">
        <f t="shared" ref="Z9:Z35" si="14">V9+W9+X9+Y9</f>
        <v>3432982000</v>
      </c>
      <c r="AA9" s="25">
        <f t="shared" ref="AA9:AA35" si="15">V9+W9+Y9</f>
        <v>1967582000</v>
      </c>
      <c r="AB9" s="23">
        <v>400000000</v>
      </c>
      <c r="AC9" s="23">
        <f>T9*Priser!F11</f>
        <v>23783201835.747326</v>
      </c>
      <c r="AD9" s="74">
        <f t="shared" ref="AD9:AD15" si="16">F9</f>
        <v>6283324967.8999996</v>
      </c>
      <c r="AE9">
        <f t="shared" si="0"/>
        <v>400000000</v>
      </c>
      <c r="AF9" s="74">
        <f>AF8</f>
        <v>850000</v>
      </c>
      <c r="AG9">
        <f>H9</f>
        <v>324120</v>
      </c>
      <c r="AH9" s="23">
        <f>AE9*Priser!F11</f>
        <v>1514052000</v>
      </c>
      <c r="AI9" s="25">
        <f>AG9*Priser!I11</f>
        <v>81030000</v>
      </c>
      <c r="AJ9" s="25">
        <f t="shared" ref="AJ9:AJ35" si="17">AH9+AI9</f>
        <v>1595082000</v>
      </c>
      <c r="AK9" s="23">
        <f>AK8</f>
        <v>372500000</v>
      </c>
      <c r="AL9" s="23">
        <f>AF9*utslipp2!H11</f>
        <v>1465400000</v>
      </c>
      <c r="AM9" s="23"/>
      <c r="AN9" s="23">
        <f t="shared" ref="AN9:AN35" si="18">AJ9+AK9+AL9+AM9</f>
        <v>3432982000</v>
      </c>
      <c r="AO9" s="23">
        <f t="shared" ref="AO9:AO35" si="19">AJ9+AK9+AM9</f>
        <v>1967582000</v>
      </c>
      <c r="AP9" s="23">
        <f>AD9*Priser!F11</f>
        <v>23783201835.747326</v>
      </c>
      <c r="AR9">
        <f t="shared" ref="AR9:AR35" si="20">B9</f>
        <v>2024</v>
      </c>
      <c r="AS9" s="25">
        <f>(P9-N9)*utkast1!R9</f>
        <v>19018897042.754509</v>
      </c>
      <c r="AT9">
        <f t="shared" si="1"/>
        <v>2024</v>
      </c>
      <c r="AU9" s="25">
        <f>(AC9-Z9)*utkast1!R9</f>
        <v>19018897042.754509</v>
      </c>
      <c r="AV9" s="25">
        <f>(AP9-AN9)*utkast1!R9</f>
        <v>19018897042.754509</v>
      </c>
    </row>
    <row r="10" spans="2:48" x14ac:dyDescent="0.2">
      <c r="B10" s="131">
        <v>2025</v>
      </c>
      <c r="C10" s="2">
        <v>4900000</v>
      </c>
      <c r="D10" s="2">
        <f t="shared" si="2"/>
        <v>6683324967.8999996</v>
      </c>
      <c r="E10" s="74">
        <v>400000000</v>
      </c>
      <c r="F10" s="74">
        <f t="shared" si="3"/>
        <v>6283324967.8999996</v>
      </c>
      <c r="G10" s="74">
        <v>850000</v>
      </c>
      <c r="H10" s="74">
        <f t="shared" ref="H10:H20" si="21">H9</f>
        <v>324120</v>
      </c>
      <c r="I10" s="74">
        <f>E10*Priser!F12</f>
        <v>1514052000</v>
      </c>
      <c r="J10" s="74">
        <f>H10*Priser!I12</f>
        <v>81030000</v>
      </c>
      <c r="K10" s="23">
        <f t="shared" si="4"/>
        <v>1595082000</v>
      </c>
      <c r="L10" s="23">
        <f>utkast1!H10</f>
        <v>372500000</v>
      </c>
      <c r="M10" s="23">
        <f>G10*utslipp2!H12</f>
        <v>1620950000</v>
      </c>
      <c r="N10" s="23">
        <f t="shared" si="5"/>
        <v>3588532000</v>
      </c>
      <c r="O10" s="23">
        <f t="shared" si="6"/>
        <v>1967582000</v>
      </c>
      <c r="P10" s="23">
        <f>F10*Priser!F12</f>
        <v>23783201835.747326</v>
      </c>
      <c r="Q10">
        <f>C10</f>
        <v>4900000</v>
      </c>
      <c r="R10">
        <f t="shared" si="7"/>
        <v>6683324967.8999996</v>
      </c>
      <c r="S10" s="74">
        <f t="shared" si="8"/>
        <v>400000000</v>
      </c>
      <c r="T10" s="74">
        <f t="shared" si="9"/>
        <v>6283324967.8999996</v>
      </c>
      <c r="U10" s="74">
        <f t="shared" si="10"/>
        <v>324120</v>
      </c>
      <c r="V10" s="25">
        <f t="shared" si="11"/>
        <v>1595082000</v>
      </c>
      <c r="W10" s="23">
        <f t="shared" si="12"/>
        <v>372500000</v>
      </c>
      <c r="X10" s="23">
        <f t="shared" si="13"/>
        <v>1620950000</v>
      </c>
      <c r="Y10" s="74"/>
      <c r="Z10" s="25">
        <f t="shared" si="14"/>
        <v>3588532000</v>
      </c>
      <c r="AA10" s="25">
        <f t="shared" si="15"/>
        <v>1967582000</v>
      </c>
      <c r="AB10" s="23">
        <v>400000000</v>
      </c>
      <c r="AC10" s="23">
        <f>T10*Priser!F12</f>
        <v>23783201835.747326</v>
      </c>
      <c r="AD10" s="74">
        <f t="shared" si="16"/>
        <v>6283324967.8999996</v>
      </c>
      <c r="AE10">
        <f t="shared" si="0"/>
        <v>400000000</v>
      </c>
      <c r="AF10" s="74">
        <f t="shared" ref="AF10:AF35" si="22">AF9</f>
        <v>850000</v>
      </c>
      <c r="AG10">
        <f>H10</f>
        <v>324120</v>
      </c>
      <c r="AH10" s="23">
        <f>AE10*Priser!F12</f>
        <v>1514052000</v>
      </c>
      <c r="AI10" s="25">
        <f>AG10*Priser!I12</f>
        <v>81030000</v>
      </c>
      <c r="AJ10" s="25">
        <f t="shared" si="17"/>
        <v>1595082000</v>
      </c>
      <c r="AK10" s="23">
        <f t="shared" ref="AK10:AK35" si="23">AK9</f>
        <v>372500000</v>
      </c>
      <c r="AL10" s="23">
        <f>AF10*utslipp2!H12</f>
        <v>1620950000</v>
      </c>
      <c r="AM10" s="23"/>
      <c r="AN10" s="23">
        <f t="shared" si="18"/>
        <v>3588532000</v>
      </c>
      <c r="AO10" s="23">
        <f t="shared" si="19"/>
        <v>1967582000</v>
      </c>
      <c r="AP10" s="23">
        <f>AD10*Priser!F12</f>
        <v>23783201835.747326</v>
      </c>
      <c r="AR10">
        <f t="shared" si="20"/>
        <v>2025</v>
      </c>
      <c r="AS10" s="25">
        <f>(P10-N10)*utkast1!R10</f>
        <v>17638806739.232529</v>
      </c>
      <c r="AT10">
        <f t="shared" si="1"/>
        <v>2025</v>
      </c>
      <c r="AU10" s="25">
        <f>(AC10-Z10)*utkast1!R10</f>
        <v>17638806739.232529</v>
      </c>
      <c r="AV10" s="25">
        <f>(AP10-AN10)*utkast1!R10</f>
        <v>17638806739.232529</v>
      </c>
    </row>
    <row r="11" spans="2:48" x14ac:dyDescent="0.2">
      <c r="B11" s="131">
        <v>2026</v>
      </c>
      <c r="C11" s="2">
        <v>4900000</v>
      </c>
      <c r="D11" s="2">
        <f t="shared" si="2"/>
        <v>6683324967.8999996</v>
      </c>
      <c r="E11" s="74">
        <v>400000000</v>
      </c>
      <c r="F11" s="74">
        <f t="shared" si="3"/>
        <v>6283324967.8999996</v>
      </c>
      <c r="G11" s="74">
        <v>850000</v>
      </c>
      <c r="H11" s="74">
        <f t="shared" si="21"/>
        <v>324120</v>
      </c>
      <c r="I11" s="74">
        <f>E11*Priser!F13</f>
        <v>1514052000</v>
      </c>
      <c r="J11" s="74">
        <f>H11*Priser!I13</f>
        <v>81030000</v>
      </c>
      <c r="K11" s="23">
        <f t="shared" si="4"/>
        <v>1595082000</v>
      </c>
      <c r="L11" s="23">
        <f>utkast1!H11</f>
        <v>372500000</v>
      </c>
      <c r="M11" s="23">
        <f>G11*utslipp2!H13</f>
        <v>1802850000</v>
      </c>
      <c r="N11" s="23">
        <f t="shared" si="5"/>
        <v>3770432000</v>
      </c>
      <c r="O11" s="23">
        <f t="shared" si="6"/>
        <v>1967582000</v>
      </c>
      <c r="P11" s="23">
        <f>F11*Priser!F13</f>
        <v>23783201835.747326</v>
      </c>
      <c r="Q11">
        <f>C11</f>
        <v>4900000</v>
      </c>
      <c r="R11">
        <f t="shared" si="7"/>
        <v>6683324967.8999996</v>
      </c>
      <c r="S11" s="74">
        <f t="shared" si="8"/>
        <v>400000000</v>
      </c>
      <c r="T11" s="74">
        <f t="shared" si="9"/>
        <v>6283324967.8999996</v>
      </c>
      <c r="U11" s="74">
        <f t="shared" si="10"/>
        <v>324120</v>
      </c>
      <c r="V11" s="25">
        <f t="shared" si="11"/>
        <v>1595082000</v>
      </c>
      <c r="W11" s="23">
        <f t="shared" si="12"/>
        <v>372500000</v>
      </c>
      <c r="X11" s="23">
        <f t="shared" si="13"/>
        <v>1802850000</v>
      </c>
      <c r="Y11" s="74"/>
      <c r="Z11" s="25">
        <f t="shared" si="14"/>
        <v>3770432000</v>
      </c>
      <c r="AA11" s="25">
        <f t="shared" si="15"/>
        <v>1967582000</v>
      </c>
      <c r="AB11" s="23">
        <v>400000000</v>
      </c>
      <c r="AC11" s="23">
        <f>T11*Priser!F13</f>
        <v>23783201835.747326</v>
      </c>
      <c r="AD11" s="74">
        <f t="shared" si="16"/>
        <v>6283324967.8999996</v>
      </c>
      <c r="AE11">
        <f t="shared" si="0"/>
        <v>400000000</v>
      </c>
      <c r="AF11" s="74">
        <f t="shared" si="22"/>
        <v>850000</v>
      </c>
      <c r="AG11">
        <f>H11</f>
        <v>324120</v>
      </c>
      <c r="AH11" s="23">
        <f>AE11*Priser!F13</f>
        <v>1514052000</v>
      </c>
      <c r="AI11" s="25">
        <f>AG11*Priser!I13</f>
        <v>81030000</v>
      </c>
      <c r="AJ11" s="25">
        <f t="shared" si="17"/>
        <v>1595082000</v>
      </c>
      <c r="AK11" s="23">
        <f t="shared" si="23"/>
        <v>372500000</v>
      </c>
      <c r="AL11" s="23">
        <f>AF11*utslipp2!H13</f>
        <v>1802850000</v>
      </c>
      <c r="AM11" s="23"/>
      <c r="AN11" s="23">
        <f t="shared" si="18"/>
        <v>3770432000</v>
      </c>
      <c r="AO11" s="23">
        <f t="shared" si="19"/>
        <v>1967582000</v>
      </c>
      <c r="AP11" s="23">
        <f>AD11*Priser!F13</f>
        <v>23783201835.747326</v>
      </c>
      <c r="AR11">
        <f t="shared" si="20"/>
        <v>2026</v>
      </c>
      <c r="AS11" s="25">
        <f>(P11-N11)*utkast1!R11</f>
        <v>16336381527.625824</v>
      </c>
      <c r="AT11">
        <f t="shared" si="1"/>
        <v>2026</v>
      </c>
      <c r="AU11" s="25">
        <f>(AC11-Z11)*utkast1!R11</f>
        <v>16336381527.625824</v>
      </c>
      <c r="AV11" s="25">
        <f>(AP11-AN11)*utkast1!R11</f>
        <v>16336381527.625824</v>
      </c>
    </row>
    <row r="12" spans="2:48" x14ac:dyDescent="0.2">
      <c r="B12" s="131">
        <v>2027</v>
      </c>
      <c r="C12" s="2">
        <v>4900000</v>
      </c>
      <c r="D12" s="2">
        <f t="shared" si="2"/>
        <v>6683324967.8999996</v>
      </c>
      <c r="E12" s="74">
        <v>400000000</v>
      </c>
      <c r="F12" s="74">
        <f t="shared" si="3"/>
        <v>6283324967.8999996</v>
      </c>
      <c r="G12" s="74">
        <v>850000</v>
      </c>
      <c r="H12" s="74">
        <f t="shared" si="21"/>
        <v>324120</v>
      </c>
      <c r="I12" s="74">
        <f>E12*Priser!F14</f>
        <v>1514052000</v>
      </c>
      <c r="J12" s="74">
        <f>H12*Priser!I14</f>
        <v>81030000</v>
      </c>
      <c r="K12" s="23">
        <f t="shared" si="4"/>
        <v>1595082000</v>
      </c>
      <c r="L12" s="23">
        <f>utkast1!H12</f>
        <v>372500000</v>
      </c>
      <c r="M12" s="23">
        <f>G12*utslipp2!H14</f>
        <v>1895500000</v>
      </c>
      <c r="N12" s="23">
        <f t="shared" si="5"/>
        <v>3863082000</v>
      </c>
      <c r="O12" s="23">
        <f t="shared" si="6"/>
        <v>1967582000</v>
      </c>
      <c r="P12" s="23">
        <f>F12*Priser!F14</f>
        <v>23783201835.747326</v>
      </c>
      <c r="Q12">
        <f>C12</f>
        <v>4900000</v>
      </c>
      <c r="R12">
        <f t="shared" si="7"/>
        <v>6683324967.8999996</v>
      </c>
      <c r="S12" s="74">
        <f t="shared" si="8"/>
        <v>400000000</v>
      </c>
      <c r="T12" s="74">
        <f t="shared" si="9"/>
        <v>6283324967.8999996</v>
      </c>
      <c r="U12" s="74">
        <f t="shared" si="10"/>
        <v>324120</v>
      </c>
      <c r="V12" s="25">
        <f t="shared" si="11"/>
        <v>1595082000</v>
      </c>
      <c r="W12" s="23">
        <f t="shared" si="12"/>
        <v>372500000</v>
      </c>
      <c r="X12" s="23">
        <f t="shared" si="13"/>
        <v>1895500000</v>
      </c>
      <c r="Y12" s="74"/>
      <c r="Z12" s="25">
        <f t="shared" si="14"/>
        <v>3863082000</v>
      </c>
      <c r="AA12" s="25">
        <f t="shared" si="15"/>
        <v>1967582000</v>
      </c>
      <c r="AB12" s="23">
        <v>400000000</v>
      </c>
      <c r="AC12" s="23">
        <f>T12*Priser!F14</f>
        <v>23783201835.747326</v>
      </c>
      <c r="AD12" s="74">
        <f t="shared" si="16"/>
        <v>6283324967.8999996</v>
      </c>
      <c r="AE12">
        <f t="shared" si="0"/>
        <v>400000000</v>
      </c>
      <c r="AF12" s="74">
        <f t="shared" si="22"/>
        <v>850000</v>
      </c>
      <c r="AG12">
        <f>H12</f>
        <v>324120</v>
      </c>
      <c r="AH12" s="23">
        <f>AE12*Priser!F14</f>
        <v>1514052000</v>
      </c>
      <c r="AI12" s="25">
        <f>AG12*Priser!I14</f>
        <v>81030000</v>
      </c>
      <c r="AJ12" s="25">
        <f t="shared" si="17"/>
        <v>1595082000</v>
      </c>
      <c r="AK12" s="23">
        <f t="shared" si="23"/>
        <v>372500000</v>
      </c>
      <c r="AL12" s="23">
        <f>AF12*utslipp2!H14</f>
        <v>1895500000</v>
      </c>
      <c r="AM12" s="23"/>
      <c r="AN12" s="23">
        <f t="shared" si="18"/>
        <v>3863082000</v>
      </c>
      <c r="AO12" s="23">
        <f t="shared" si="19"/>
        <v>1967582000</v>
      </c>
      <c r="AP12" s="23">
        <f>AD12*Priser!F14</f>
        <v>23783201835.747326</v>
      </c>
      <c r="AR12">
        <f t="shared" si="20"/>
        <v>2027</v>
      </c>
      <c r="AS12" s="25">
        <f>(P12-N12)*utkast1!R12</f>
        <v>15196964046.104567</v>
      </c>
      <c r="AT12">
        <f t="shared" si="1"/>
        <v>2027</v>
      </c>
      <c r="AU12" s="25">
        <f>(AC12-Z12)*utkast1!R12</f>
        <v>15196964046.104567</v>
      </c>
      <c r="AV12" s="25">
        <f>(AP12-AN12)*utkast1!R12</f>
        <v>15196964046.104567</v>
      </c>
    </row>
    <row r="13" spans="2:48" x14ac:dyDescent="0.2">
      <c r="B13" s="131">
        <v>2028</v>
      </c>
      <c r="C13" s="2">
        <v>4900000</v>
      </c>
      <c r="D13" s="2">
        <f t="shared" si="2"/>
        <v>6683324967.8999996</v>
      </c>
      <c r="E13" s="74">
        <v>400000000</v>
      </c>
      <c r="F13" s="74">
        <f t="shared" si="3"/>
        <v>6283324967.8999996</v>
      </c>
      <c r="G13" s="74">
        <v>850000</v>
      </c>
      <c r="H13" s="74">
        <f t="shared" si="21"/>
        <v>324120</v>
      </c>
      <c r="I13" s="74">
        <f>E13*Priser!F15</f>
        <v>1514052000</v>
      </c>
      <c r="J13" s="74">
        <f>H13*Priser!I15</f>
        <v>81030000</v>
      </c>
      <c r="K13" s="23">
        <f t="shared" si="4"/>
        <v>1595082000</v>
      </c>
      <c r="L13" s="23">
        <f>utkast1!H13</f>
        <v>372500000</v>
      </c>
      <c r="M13" s="23">
        <f>G13*utslipp2!H15</f>
        <v>1895500000</v>
      </c>
      <c r="N13" s="23">
        <f t="shared" si="5"/>
        <v>3863082000</v>
      </c>
      <c r="O13" s="23">
        <f t="shared" si="6"/>
        <v>1967582000</v>
      </c>
      <c r="P13" s="23">
        <f>F13*Priser!F15</f>
        <v>23783201835.747326</v>
      </c>
      <c r="Q13">
        <f>C13</f>
        <v>4900000</v>
      </c>
      <c r="R13">
        <f t="shared" si="7"/>
        <v>6683324967.8999996</v>
      </c>
      <c r="S13" s="74">
        <f t="shared" si="8"/>
        <v>400000000</v>
      </c>
      <c r="T13" s="74">
        <f t="shared" si="9"/>
        <v>6283324967.8999996</v>
      </c>
      <c r="U13" s="74">
        <f t="shared" si="10"/>
        <v>324120</v>
      </c>
      <c r="V13" s="25">
        <f t="shared" si="11"/>
        <v>1595082000</v>
      </c>
      <c r="W13" s="23">
        <f t="shared" si="12"/>
        <v>372500000</v>
      </c>
      <c r="X13" s="23">
        <f t="shared" si="13"/>
        <v>1895500000</v>
      </c>
      <c r="Y13" s="74"/>
      <c r="Z13" s="25">
        <f t="shared" si="14"/>
        <v>3863082000</v>
      </c>
      <c r="AA13" s="25">
        <f t="shared" si="15"/>
        <v>1967582000</v>
      </c>
      <c r="AB13" s="23"/>
      <c r="AC13" s="23">
        <f>T13*Priser!F15</f>
        <v>23783201835.747326</v>
      </c>
      <c r="AD13" s="74">
        <f t="shared" si="16"/>
        <v>6283324967.8999996</v>
      </c>
      <c r="AE13">
        <f t="shared" si="0"/>
        <v>400000000</v>
      </c>
      <c r="AF13" s="74">
        <f t="shared" si="22"/>
        <v>850000</v>
      </c>
      <c r="AG13">
        <f>H13</f>
        <v>324120</v>
      </c>
      <c r="AH13" s="23">
        <f>AE13*Priser!F15</f>
        <v>1514052000</v>
      </c>
      <c r="AI13" s="25">
        <f>AG13*Priser!I15</f>
        <v>81030000</v>
      </c>
      <c r="AJ13" s="25">
        <f t="shared" si="17"/>
        <v>1595082000</v>
      </c>
      <c r="AK13" s="23">
        <f t="shared" si="23"/>
        <v>372500000</v>
      </c>
      <c r="AL13" s="23">
        <f>AF13*utslipp2!H15</f>
        <v>1895500000</v>
      </c>
      <c r="AM13" s="23"/>
      <c r="AN13" s="23">
        <f t="shared" si="18"/>
        <v>3863082000</v>
      </c>
      <c r="AO13" s="23">
        <f t="shared" si="19"/>
        <v>1967582000</v>
      </c>
      <c r="AP13" s="23">
        <f>AD13*Priser!F15</f>
        <v>23783201835.747326</v>
      </c>
      <c r="AR13">
        <f t="shared" si="20"/>
        <v>2028</v>
      </c>
      <c r="AS13" s="25">
        <f>(P13-N13)*utkast1!R13</f>
        <v>14202770136.546324</v>
      </c>
      <c r="AT13">
        <f t="shared" si="1"/>
        <v>2028</v>
      </c>
      <c r="AU13" s="25">
        <f>(AC13-Z13)*utkast1!R13</f>
        <v>14202770136.546324</v>
      </c>
      <c r="AV13" s="25">
        <f>(AP13-AN13)*utkast1!R13</f>
        <v>14202770136.546324</v>
      </c>
    </row>
    <row r="14" spans="2:48" x14ac:dyDescent="0.2">
      <c r="B14" s="131">
        <v>2029</v>
      </c>
      <c r="C14" s="2">
        <v>4900000</v>
      </c>
      <c r="D14" s="2">
        <f t="shared" si="2"/>
        <v>6683324967.8999996</v>
      </c>
      <c r="E14" s="74">
        <v>400000000</v>
      </c>
      <c r="F14" s="74">
        <f t="shared" si="3"/>
        <v>6283324967.8999996</v>
      </c>
      <c r="G14" s="74">
        <v>850000</v>
      </c>
      <c r="H14" s="74">
        <f t="shared" si="21"/>
        <v>324120</v>
      </c>
      <c r="I14" s="74">
        <f>E14*Priser!F16</f>
        <v>1514052000</v>
      </c>
      <c r="J14" s="74">
        <f>H14*Priser!I16</f>
        <v>81030000</v>
      </c>
      <c r="K14" s="23">
        <f t="shared" si="4"/>
        <v>1595082000</v>
      </c>
      <c r="L14" s="23">
        <f>utkast1!H14</f>
        <v>372500000</v>
      </c>
      <c r="M14" s="23">
        <f>G14*utslipp2!H16</f>
        <v>1895500000</v>
      </c>
      <c r="N14" s="23">
        <f t="shared" si="5"/>
        <v>3863082000</v>
      </c>
      <c r="O14" s="23">
        <f t="shared" si="6"/>
        <v>1967582000</v>
      </c>
      <c r="P14" s="23">
        <f>F14*Priser!F16</f>
        <v>23783201835.747326</v>
      </c>
      <c r="Q14">
        <f>C14</f>
        <v>4900000</v>
      </c>
      <c r="R14">
        <f t="shared" si="7"/>
        <v>6683324967.8999996</v>
      </c>
      <c r="S14" s="74">
        <f t="shared" si="8"/>
        <v>400000000</v>
      </c>
      <c r="T14" s="74">
        <f t="shared" si="9"/>
        <v>6283324967.8999996</v>
      </c>
      <c r="U14" s="74">
        <f t="shared" si="10"/>
        <v>324120</v>
      </c>
      <c r="V14" s="25">
        <f t="shared" si="11"/>
        <v>1595082000</v>
      </c>
      <c r="W14" s="23">
        <f t="shared" si="12"/>
        <v>372500000</v>
      </c>
      <c r="X14" s="23">
        <f t="shared" si="13"/>
        <v>1895500000</v>
      </c>
      <c r="Y14" s="74"/>
      <c r="Z14" s="25">
        <f t="shared" si="14"/>
        <v>3863082000</v>
      </c>
      <c r="AA14" s="25">
        <f t="shared" si="15"/>
        <v>1967582000</v>
      </c>
      <c r="AC14" s="23">
        <f>T14*Priser!F16</f>
        <v>23783201835.747326</v>
      </c>
      <c r="AD14" s="74">
        <f t="shared" si="16"/>
        <v>6283324967.8999996</v>
      </c>
      <c r="AE14">
        <f t="shared" si="0"/>
        <v>400000000</v>
      </c>
      <c r="AF14" s="74">
        <f t="shared" si="22"/>
        <v>850000</v>
      </c>
      <c r="AG14">
        <f>H14</f>
        <v>324120</v>
      </c>
      <c r="AH14" s="23">
        <f>AE14*Priser!F16</f>
        <v>1514052000</v>
      </c>
      <c r="AI14" s="25">
        <f>AG14*Priser!I16</f>
        <v>81030000</v>
      </c>
      <c r="AJ14" s="25">
        <f t="shared" si="17"/>
        <v>1595082000</v>
      </c>
      <c r="AK14" s="23">
        <f t="shared" si="23"/>
        <v>372500000</v>
      </c>
      <c r="AL14" s="23">
        <f>AF14*utslipp2!H16</f>
        <v>1895500000</v>
      </c>
      <c r="AM14" s="23"/>
      <c r="AN14" s="23">
        <f t="shared" si="18"/>
        <v>3863082000</v>
      </c>
      <c r="AO14" s="23">
        <f t="shared" si="19"/>
        <v>1967582000</v>
      </c>
      <c r="AP14" s="23">
        <f>AD14*Priser!F16</f>
        <v>23783201835.747326</v>
      </c>
      <c r="AR14">
        <f t="shared" si="20"/>
        <v>2029</v>
      </c>
      <c r="AS14" s="25">
        <f>(P14-N14)*utkast1!R14</f>
        <v>13273616950.043291</v>
      </c>
      <c r="AT14">
        <f t="shared" si="1"/>
        <v>2029</v>
      </c>
      <c r="AU14" s="25">
        <f>(AC14-Z14)*utkast1!R14</f>
        <v>13273616950.043291</v>
      </c>
      <c r="AV14" s="25">
        <f>(AP14-AN14)*utkast1!R14</f>
        <v>13273616950.043291</v>
      </c>
    </row>
    <row r="15" spans="2:48" x14ac:dyDescent="0.2">
      <c r="B15" s="131">
        <v>2030</v>
      </c>
      <c r="C15" s="2">
        <v>4900000</v>
      </c>
      <c r="D15" s="2">
        <f t="shared" si="2"/>
        <v>6683324967.8999996</v>
      </c>
      <c r="E15" s="74">
        <v>400000000</v>
      </c>
      <c r="F15" s="74">
        <f t="shared" si="3"/>
        <v>6283324967.8999996</v>
      </c>
      <c r="G15" s="74">
        <v>850000</v>
      </c>
      <c r="H15" s="74">
        <f t="shared" si="21"/>
        <v>324120</v>
      </c>
      <c r="I15" s="74">
        <f>E15*Priser!F17</f>
        <v>1514052000</v>
      </c>
      <c r="J15" s="74">
        <f>H15*Priser!I17</f>
        <v>243090000</v>
      </c>
      <c r="K15" s="23">
        <f t="shared" si="4"/>
        <v>1757142000</v>
      </c>
      <c r="L15" s="23">
        <f>utkast1!H15</f>
        <v>372500000</v>
      </c>
      <c r="M15" s="23">
        <f>G15*utslipp2!H17</f>
        <v>1895500000</v>
      </c>
      <c r="N15" s="23">
        <f t="shared" si="5"/>
        <v>4025142000</v>
      </c>
      <c r="O15" s="23">
        <f t="shared" si="6"/>
        <v>2129642000</v>
      </c>
      <c r="P15" s="23">
        <f>F15*Priser!F17</f>
        <v>23783201835.747326</v>
      </c>
      <c r="Q15">
        <f>C15</f>
        <v>4900000</v>
      </c>
      <c r="R15">
        <f t="shared" si="7"/>
        <v>6683324967.8999996</v>
      </c>
      <c r="S15" s="74">
        <f t="shared" si="8"/>
        <v>400000000</v>
      </c>
      <c r="T15" s="74">
        <f t="shared" si="9"/>
        <v>6283324967.8999996</v>
      </c>
      <c r="U15" s="74">
        <f>340*24*365</f>
        <v>2978400</v>
      </c>
      <c r="V15" s="25">
        <f t="shared" si="11"/>
        <v>1757142000</v>
      </c>
      <c r="W15" s="23">
        <f t="shared" si="12"/>
        <v>372500000</v>
      </c>
      <c r="X15" s="23">
        <f t="shared" si="13"/>
        <v>1895500000</v>
      </c>
      <c r="Y15" s="23">
        <f>Y16</f>
        <v>198000000</v>
      </c>
      <c r="Z15" s="25">
        <f t="shared" si="14"/>
        <v>4223142000</v>
      </c>
      <c r="AA15" s="25">
        <f t="shared" si="15"/>
        <v>2327642000</v>
      </c>
      <c r="AC15" s="23">
        <f>T15*Priser!F17</f>
        <v>23783201835.747326</v>
      </c>
      <c r="AD15" s="74">
        <f t="shared" si="16"/>
        <v>6283324967.8999996</v>
      </c>
      <c r="AE15">
        <f t="shared" si="0"/>
        <v>400000000</v>
      </c>
      <c r="AF15" s="74">
        <f t="shared" si="22"/>
        <v>850000</v>
      </c>
      <c r="AG15">
        <f>H15</f>
        <v>324120</v>
      </c>
      <c r="AH15" s="23">
        <f>AE15*Priser!F17</f>
        <v>1514052000</v>
      </c>
      <c r="AI15" s="25">
        <f>AG15*Priser!I17</f>
        <v>243090000</v>
      </c>
      <c r="AJ15" s="25">
        <f t="shared" si="17"/>
        <v>1757142000</v>
      </c>
      <c r="AK15" s="23">
        <f t="shared" si="23"/>
        <v>372500000</v>
      </c>
      <c r="AL15" s="23">
        <f>AF15*utslipp2!H17</f>
        <v>1895500000</v>
      </c>
      <c r="AM15" s="23">
        <f>6200000000*0.015</f>
        <v>93000000</v>
      </c>
      <c r="AN15" s="23">
        <f t="shared" si="18"/>
        <v>4118142000</v>
      </c>
      <c r="AO15" s="23">
        <f t="shared" si="19"/>
        <v>2222642000</v>
      </c>
      <c r="AP15" s="23">
        <f>AD15*Priser!F17</f>
        <v>23783201835.747326</v>
      </c>
      <c r="AR15">
        <f t="shared" si="20"/>
        <v>2030</v>
      </c>
      <c r="AS15" s="25">
        <f>(P15-N15)*utkast1!R15</f>
        <v>12304326662.851952</v>
      </c>
      <c r="AT15">
        <f t="shared" si="1"/>
        <v>2030</v>
      </c>
      <c r="AU15" s="25">
        <f>(AC15-Z15)*utkast1!R15</f>
        <v>12181022213.958803</v>
      </c>
      <c r="AV15" s="25">
        <f>(AP15-AN15)*utkast1!R15</f>
        <v>12246410936.856684</v>
      </c>
    </row>
    <row r="16" spans="2:48" x14ac:dyDescent="0.2">
      <c r="B16" s="131">
        <v>2031</v>
      </c>
      <c r="C16" s="2"/>
      <c r="D16" s="2">
        <f>D15*0.85</f>
        <v>5680826222.7149992</v>
      </c>
      <c r="E16" s="74">
        <v>400000000</v>
      </c>
      <c r="F16" s="74">
        <f t="shared" si="3"/>
        <v>5280826222.7149992</v>
      </c>
      <c r="G16" s="74">
        <v>850000</v>
      </c>
      <c r="H16" s="74">
        <f t="shared" si="21"/>
        <v>324120</v>
      </c>
      <c r="I16" s="74">
        <f>E16*Priser!F18</f>
        <v>1514052000</v>
      </c>
      <c r="J16" s="74">
        <f>H16*Priser!I18</f>
        <v>243090000</v>
      </c>
      <c r="K16" s="23">
        <f t="shared" si="4"/>
        <v>1757142000</v>
      </c>
      <c r="L16" s="23">
        <f>utkast1!H16</f>
        <v>372500000</v>
      </c>
      <c r="M16" s="23">
        <f>G16*utslipp2!H18</f>
        <v>1895500000</v>
      </c>
      <c r="N16" s="23">
        <f t="shared" si="5"/>
        <v>4025142000</v>
      </c>
      <c r="O16" s="23">
        <f t="shared" si="6"/>
        <v>2129642000</v>
      </c>
      <c r="P16" s="23">
        <f>F16*Priser!F18</f>
        <v>19988613760.385227</v>
      </c>
      <c r="Q16">
        <f>Q15</f>
        <v>4900000</v>
      </c>
      <c r="R16">
        <f t="shared" si="7"/>
        <v>6683324967.8999996</v>
      </c>
      <c r="T16" s="74">
        <f t="shared" si="9"/>
        <v>6683324967.8999996</v>
      </c>
      <c r="U16" s="74">
        <f t="shared" ref="U16:U35" si="24">340*24*365</f>
        <v>2978400</v>
      </c>
      <c r="V16" s="25">
        <f>U16*(Priser!I18*1.223)</f>
        <v>2731937400.0000005</v>
      </c>
      <c r="W16" s="23">
        <f>W15</f>
        <v>372500000</v>
      </c>
      <c r="X16" s="23">
        <f t="shared" si="13"/>
        <v>1895500000</v>
      </c>
      <c r="Y16" s="23">
        <f>13200000000*0.015</f>
        <v>198000000</v>
      </c>
      <c r="Z16" s="25">
        <f t="shared" si="14"/>
        <v>5197937400</v>
      </c>
      <c r="AA16" s="25">
        <f t="shared" si="15"/>
        <v>3302437400.0000005</v>
      </c>
      <c r="AC16" s="23">
        <f>T16*Priser!F18</f>
        <v>25297253835.747326</v>
      </c>
      <c r="AD16" s="74">
        <f>AD15</f>
        <v>6283324967.8999996</v>
      </c>
      <c r="AE16">
        <f>AE15</f>
        <v>400000000</v>
      </c>
      <c r="AF16" s="74">
        <f t="shared" si="22"/>
        <v>850000</v>
      </c>
      <c r="AG16">
        <f>AG15</f>
        <v>324120</v>
      </c>
      <c r="AH16" s="23">
        <f>AE16*Priser!F18</f>
        <v>1514052000</v>
      </c>
      <c r="AI16" s="25">
        <f>AG16*Priser!I18</f>
        <v>243090000</v>
      </c>
      <c r="AJ16" s="25">
        <f t="shared" si="17"/>
        <v>1757142000</v>
      </c>
      <c r="AK16" s="23">
        <f t="shared" si="23"/>
        <v>372500000</v>
      </c>
      <c r="AL16" s="23">
        <f>AF16*utslipp2!H18</f>
        <v>1895500000</v>
      </c>
      <c r="AM16" s="23">
        <f t="shared" ref="AM16:AM35" si="25">6200000000*0.015</f>
        <v>93000000</v>
      </c>
      <c r="AN16" s="23">
        <f t="shared" si="18"/>
        <v>4118142000</v>
      </c>
      <c r="AO16" s="23">
        <f t="shared" si="19"/>
        <v>2222642000</v>
      </c>
      <c r="AP16" s="23">
        <f>AD16*Priser!F18</f>
        <v>23783201835.747326</v>
      </c>
      <c r="AR16">
        <f t="shared" si="20"/>
        <v>2031</v>
      </c>
      <c r="AS16" s="25">
        <f>(P16-N16)*utkast1!R16</f>
        <v>9290885905.0110798</v>
      </c>
      <c r="AT16">
        <f t="shared" si="1"/>
        <v>2031</v>
      </c>
      <c r="AU16" s="25">
        <f>(AC16-Z16)*utkast1!R16</f>
        <v>11697985161.138657</v>
      </c>
      <c r="AV16" s="25">
        <f>(AP16-AN16)*utkast1!R16</f>
        <v>11445243866.221197</v>
      </c>
    </row>
    <row r="17" spans="2:48" x14ac:dyDescent="0.2">
      <c r="B17" s="131">
        <v>2032</v>
      </c>
      <c r="C17" s="2"/>
      <c r="D17" s="2">
        <f t="shared" ref="D17:D20" si="26">D16*0.85</f>
        <v>4828702289.3077488</v>
      </c>
      <c r="E17" s="74">
        <v>400000000</v>
      </c>
      <c r="F17" s="74">
        <f t="shared" si="3"/>
        <v>4428702289.3077488</v>
      </c>
      <c r="G17" s="74">
        <v>850000</v>
      </c>
      <c r="H17" s="74">
        <f t="shared" si="21"/>
        <v>324120</v>
      </c>
      <c r="I17" s="74">
        <f>E17*Priser!F19</f>
        <v>1514052000</v>
      </c>
      <c r="J17" s="74">
        <f>H17*Priser!I19</f>
        <v>243090000</v>
      </c>
      <c r="K17" s="23">
        <f t="shared" si="4"/>
        <v>1757142000</v>
      </c>
      <c r="L17" s="23">
        <f>utkast1!H17</f>
        <v>372500000</v>
      </c>
      <c r="M17" s="23">
        <f>G17*utslipp2!H19</f>
        <v>1895500000</v>
      </c>
      <c r="N17" s="23">
        <f t="shared" si="5"/>
        <v>4025142000</v>
      </c>
      <c r="O17" s="23">
        <f t="shared" si="6"/>
        <v>2129642000</v>
      </c>
      <c r="P17" s="23">
        <f>F17*Priser!F19</f>
        <v>16763213896.32744</v>
      </c>
      <c r="Q17">
        <f t="shared" ref="Q17:Q28" si="27">Q16</f>
        <v>4900000</v>
      </c>
      <c r="R17">
        <f t="shared" si="7"/>
        <v>6683324967.8999996</v>
      </c>
      <c r="T17" s="74">
        <f t="shared" si="9"/>
        <v>6683324967.8999996</v>
      </c>
      <c r="U17" s="74">
        <f t="shared" si="24"/>
        <v>2978400</v>
      </c>
      <c r="V17" s="25">
        <f>U17*(Priser!I19*1.223)</f>
        <v>2731937400.0000005</v>
      </c>
      <c r="W17" s="23">
        <f t="shared" ref="W17:W35" si="28">W16</f>
        <v>372500000</v>
      </c>
      <c r="X17" s="23">
        <f t="shared" si="13"/>
        <v>1895500000</v>
      </c>
      <c r="Y17" s="23">
        <f t="shared" ref="Y17:Y35" si="29">13200000000*0.015</f>
        <v>198000000</v>
      </c>
      <c r="Z17" s="25">
        <f t="shared" si="14"/>
        <v>5197937400</v>
      </c>
      <c r="AA17" s="25">
        <f t="shared" si="15"/>
        <v>3302437400.0000005</v>
      </c>
      <c r="AC17" s="23">
        <f>T17*Priser!F19</f>
        <v>25297253835.747326</v>
      </c>
      <c r="AD17" s="74">
        <f t="shared" ref="AD17:AD28" si="30">AD16</f>
        <v>6283324967.8999996</v>
      </c>
      <c r="AE17">
        <f t="shared" ref="AE17:AE35" si="31">AE16</f>
        <v>400000000</v>
      </c>
      <c r="AF17" s="74">
        <f t="shared" si="22"/>
        <v>850000</v>
      </c>
      <c r="AG17">
        <f t="shared" ref="AG17:AG35" si="32">AG16</f>
        <v>324120</v>
      </c>
      <c r="AH17" s="23">
        <f>AE17*Priser!F19</f>
        <v>1514052000</v>
      </c>
      <c r="AI17" s="25">
        <f>AG17*Priser!I19</f>
        <v>243090000</v>
      </c>
      <c r="AJ17" s="25">
        <f t="shared" si="17"/>
        <v>1757142000</v>
      </c>
      <c r="AK17" s="23">
        <f t="shared" si="23"/>
        <v>372500000</v>
      </c>
      <c r="AL17" s="23">
        <f>AF17*utslipp2!H19</f>
        <v>1895500000</v>
      </c>
      <c r="AM17" s="23">
        <f t="shared" si="25"/>
        <v>93000000</v>
      </c>
      <c r="AN17" s="23">
        <f t="shared" si="18"/>
        <v>4118142000</v>
      </c>
      <c r="AO17" s="23">
        <f t="shared" si="19"/>
        <v>2222642000</v>
      </c>
      <c r="AP17" s="23">
        <f>AD17*Priser!F19</f>
        <v>23783201835.747326</v>
      </c>
      <c r="AR17">
        <f t="shared" si="20"/>
        <v>2032</v>
      </c>
      <c r="AS17" s="25">
        <f>(P17-N17)*utkast1!R17</f>
        <v>6928667119.8753376</v>
      </c>
      <c r="AT17">
        <f t="shared" si="1"/>
        <v>2032</v>
      </c>
      <c r="AU17" s="25">
        <f>(AC17-Z17)*utkast1!R17</f>
        <v>10932696412.279118</v>
      </c>
      <c r="AV17" s="25">
        <f>(AP17-AN17)*utkast1!R17</f>
        <v>10696489594.599251</v>
      </c>
    </row>
    <row r="18" spans="2:48" x14ac:dyDescent="0.2">
      <c r="B18" s="131">
        <v>2033</v>
      </c>
      <c r="C18" s="2"/>
      <c r="D18" s="2">
        <f t="shared" si="26"/>
        <v>4104396945.9115863</v>
      </c>
      <c r="E18" s="74">
        <v>400000000</v>
      </c>
      <c r="F18" s="74">
        <f t="shared" si="3"/>
        <v>3704396945.9115863</v>
      </c>
      <c r="G18" s="74">
        <v>850000</v>
      </c>
      <c r="H18" s="74">
        <f t="shared" si="21"/>
        <v>324120</v>
      </c>
      <c r="I18" s="74">
        <f>E18*Priser!F20</f>
        <v>1514052000</v>
      </c>
      <c r="J18" s="74">
        <f>H18*Priser!I20</f>
        <v>243090000</v>
      </c>
      <c r="K18" s="23">
        <f t="shared" si="4"/>
        <v>1757142000</v>
      </c>
      <c r="L18" s="23">
        <f>utkast1!H18</f>
        <v>372500000</v>
      </c>
      <c r="M18" s="23">
        <f>G18*utslipp2!H20</f>
        <v>1895500000</v>
      </c>
      <c r="N18" s="23">
        <f t="shared" si="5"/>
        <v>4025142000</v>
      </c>
      <c r="O18" s="23">
        <f t="shared" si="6"/>
        <v>2129642000</v>
      </c>
      <c r="P18" s="23">
        <f>F18*Priser!F20</f>
        <v>14021624011.878323</v>
      </c>
      <c r="Q18">
        <f t="shared" si="27"/>
        <v>4900000</v>
      </c>
      <c r="R18">
        <f t="shared" si="7"/>
        <v>6683324967.8999996</v>
      </c>
      <c r="T18" s="74">
        <f t="shared" si="9"/>
        <v>6683324967.8999996</v>
      </c>
      <c r="U18" s="74">
        <f t="shared" si="24"/>
        <v>2978400</v>
      </c>
      <c r="V18" s="25">
        <f>U18*(Priser!I20*1.223)</f>
        <v>2731937400.0000005</v>
      </c>
      <c r="W18" s="23">
        <f t="shared" si="28"/>
        <v>372500000</v>
      </c>
      <c r="X18" s="23">
        <f t="shared" si="13"/>
        <v>1895500000</v>
      </c>
      <c r="Y18" s="23">
        <f t="shared" si="29"/>
        <v>198000000</v>
      </c>
      <c r="Z18" s="25">
        <f t="shared" si="14"/>
        <v>5197937400</v>
      </c>
      <c r="AA18" s="25">
        <f t="shared" si="15"/>
        <v>3302437400.0000005</v>
      </c>
      <c r="AC18" s="23">
        <f>T18*Priser!F20</f>
        <v>25297253835.747326</v>
      </c>
      <c r="AD18" s="74">
        <f t="shared" si="30"/>
        <v>6283324967.8999996</v>
      </c>
      <c r="AE18">
        <f t="shared" si="31"/>
        <v>400000000</v>
      </c>
      <c r="AF18" s="74">
        <f t="shared" si="22"/>
        <v>850000</v>
      </c>
      <c r="AG18">
        <f t="shared" si="32"/>
        <v>324120</v>
      </c>
      <c r="AH18" s="23">
        <f>AE18*Priser!F20</f>
        <v>1514052000</v>
      </c>
      <c r="AI18" s="25">
        <f>AG18*Priser!I20</f>
        <v>243090000</v>
      </c>
      <c r="AJ18" s="25">
        <f t="shared" si="17"/>
        <v>1757142000</v>
      </c>
      <c r="AK18" s="23">
        <f t="shared" si="23"/>
        <v>372500000</v>
      </c>
      <c r="AL18" s="23">
        <f>AF18*utslipp2!H20</f>
        <v>1895500000</v>
      </c>
      <c r="AM18" s="23">
        <f t="shared" si="25"/>
        <v>93000000</v>
      </c>
      <c r="AN18" s="23">
        <f t="shared" si="18"/>
        <v>4118142000</v>
      </c>
      <c r="AO18" s="23">
        <f t="shared" si="19"/>
        <v>2222642000</v>
      </c>
      <c r="AP18" s="23">
        <f>AD18*Priser!F20</f>
        <v>23783201835.747326</v>
      </c>
      <c r="AR18">
        <f t="shared" si="20"/>
        <v>2033</v>
      </c>
      <c r="AS18" s="25">
        <f>(P18-N18)*utkast1!R18</f>
        <v>5081704554.5757828</v>
      </c>
      <c r="AT18">
        <f t="shared" si="1"/>
        <v>2033</v>
      </c>
      <c r="AU18" s="25">
        <f>(AC18-Z18)*utkast1!R18</f>
        <v>10217473282.503847</v>
      </c>
      <c r="AV18" s="25">
        <f>(AP18-AN18)*utkast1!R18</f>
        <v>9996719247.2890186</v>
      </c>
    </row>
    <row r="19" spans="2:48" x14ac:dyDescent="0.2">
      <c r="B19" s="131">
        <v>2034</v>
      </c>
      <c r="C19" s="2"/>
      <c r="D19" s="2">
        <f t="shared" si="26"/>
        <v>3488737404.0248485</v>
      </c>
      <c r="E19" s="74">
        <v>400000000</v>
      </c>
      <c r="F19" s="74">
        <f t="shared" si="3"/>
        <v>3088737404.0248485</v>
      </c>
      <c r="G19" s="74">
        <v>850000</v>
      </c>
      <c r="H19" s="74">
        <f t="shared" si="21"/>
        <v>324120</v>
      </c>
      <c r="I19" s="74">
        <f>E19*Priser!F21</f>
        <v>1514052000</v>
      </c>
      <c r="J19" s="74">
        <f>H19*Priser!I21</f>
        <v>243090000</v>
      </c>
      <c r="K19" s="23">
        <f t="shared" si="4"/>
        <v>1757142000</v>
      </c>
      <c r="L19" s="23">
        <f>utkast1!H19</f>
        <v>372500000</v>
      </c>
      <c r="M19" s="23">
        <f>G19*utslipp2!H21</f>
        <v>1895500000</v>
      </c>
      <c r="N19" s="23">
        <f t="shared" si="5"/>
        <v>4025142000</v>
      </c>
      <c r="O19" s="23">
        <f t="shared" si="6"/>
        <v>2129642000</v>
      </c>
      <c r="P19" s="23">
        <f>F19*Priser!F21</f>
        <v>11691272610.096575</v>
      </c>
      <c r="Q19">
        <f t="shared" si="27"/>
        <v>4900000</v>
      </c>
      <c r="R19">
        <f t="shared" si="7"/>
        <v>6683324967.8999996</v>
      </c>
      <c r="T19" s="74">
        <f t="shared" si="9"/>
        <v>6683324967.8999996</v>
      </c>
      <c r="U19" s="74">
        <f t="shared" si="24"/>
        <v>2978400</v>
      </c>
      <c r="V19" s="25">
        <f>U19*(Priser!I21*1.223)</f>
        <v>2731937400.0000005</v>
      </c>
      <c r="W19" s="23">
        <f t="shared" si="28"/>
        <v>372500000</v>
      </c>
      <c r="X19" s="23">
        <f t="shared" si="13"/>
        <v>1895500000</v>
      </c>
      <c r="Y19" s="23">
        <f t="shared" si="29"/>
        <v>198000000</v>
      </c>
      <c r="Z19" s="25">
        <f t="shared" si="14"/>
        <v>5197937400</v>
      </c>
      <c r="AA19" s="25">
        <f t="shared" si="15"/>
        <v>3302437400.0000005</v>
      </c>
      <c r="AC19" s="23">
        <f>T19*Priser!F21</f>
        <v>25297253835.747326</v>
      </c>
      <c r="AD19" s="74">
        <f t="shared" si="30"/>
        <v>6283324967.8999996</v>
      </c>
      <c r="AE19">
        <f t="shared" si="31"/>
        <v>400000000</v>
      </c>
      <c r="AF19" s="74">
        <f t="shared" si="22"/>
        <v>850000</v>
      </c>
      <c r="AG19">
        <f t="shared" si="32"/>
        <v>324120</v>
      </c>
      <c r="AH19" s="23">
        <f>AE19*Priser!F21</f>
        <v>1514052000</v>
      </c>
      <c r="AI19" s="25">
        <f>AG19*Priser!I21</f>
        <v>243090000</v>
      </c>
      <c r="AJ19" s="25">
        <f t="shared" si="17"/>
        <v>1757142000</v>
      </c>
      <c r="AK19" s="23">
        <f t="shared" si="23"/>
        <v>372500000</v>
      </c>
      <c r="AL19" s="23">
        <f>AF19*utslipp2!H21</f>
        <v>1895500000</v>
      </c>
      <c r="AM19" s="23">
        <f t="shared" si="25"/>
        <v>93000000</v>
      </c>
      <c r="AN19" s="23">
        <f t="shared" si="18"/>
        <v>4118142000</v>
      </c>
      <c r="AO19" s="23">
        <f t="shared" si="19"/>
        <v>2222642000</v>
      </c>
      <c r="AP19" s="23">
        <f>AD19*Priser!F21</f>
        <v>23783201835.747326</v>
      </c>
      <c r="AR19">
        <f t="shared" si="20"/>
        <v>2034</v>
      </c>
      <c r="AS19" s="25">
        <f>(P19-N19)*utkast1!R19</f>
        <v>3642123429.0232558</v>
      </c>
      <c r="AT19">
        <f t="shared" si="1"/>
        <v>2034</v>
      </c>
      <c r="AU19" s="25">
        <f>(AC19-Z19)*utkast1!R19</f>
        <v>9549040450.9381733</v>
      </c>
      <c r="AV19" s="25">
        <f>(AP19-AN19)*utkast1!R19</f>
        <v>9342728268.4944077</v>
      </c>
    </row>
    <row r="20" spans="2:48" x14ac:dyDescent="0.2">
      <c r="B20" s="131">
        <v>2035</v>
      </c>
      <c r="C20" s="2"/>
      <c r="D20" s="2">
        <f t="shared" si="26"/>
        <v>2965426793.4211211</v>
      </c>
      <c r="E20" s="74">
        <v>400000000</v>
      </c>
      <c r="F20" s="74">
        <f t="shared" si="3"/>
        <v>2565426793.4211211</v>
      </c>
      <c r="G20" s="74">
        <v>850000</v>
      </c>
      <c r="H20" s="74">
        <f t="shared" si="21"/>
        <v>324120</v>
      </c>
      <c r="I20" s="74">
        <f>E20*Priser!F22</f>
        <v>1514052000</v>
      </c>
      <c r="J20" s="74">
        <f>H20*Priser!I22</f>
        <v>187989600</v>
      </c>
      <c r="K20" s="23">
        <f t="shared" si="4"/>
        <v>1702041600</v>
      </c>
      <c r="L20" s="23">
        <f>utkast1!H20</f>
        <v>372500000</v>
      </c>
      <c r="M20" s="23">
        <f>G20*utslipp2!H22</f>
        <v>1895500000</v>
      </c>
      <c r="N20" s="23">
        <f t="shared" si="5"/>
        <v>3970041600</v>
      </c>
      <c r="O20" s="23">
        <f t="shared" si="6"/>
        <v>2074541600</v>
      </c>
      <c r="P20" s="23">
        <f>F20*Priser!F22</f>
        <v>9710473918.5820885</v>
      </c>
      <c r="Q20">
        <f t="shared" si="27"/>
        <v>4900000</v>
      </c>
      <c r="R20">
        <f t="shared" si="7"/>
        <v>6683324967.8999996</v>
      </c>
      <c r="T20" s="74">
        <f t="shared" si="9"/>
        <v>6683324967.8999996</v>
      </c>
      <c r="U20" s="74">
        <f t="shared" si="24"/>
        <v>2978400</v>
      </c>
      <c r="V20" s="25">
        <f>U20*(Priser!I22*1.223)</f>
        <v>2112698256</v>
      </c>
      <c r="W20" s="23">
        <f t="shared" si="28"/>
        <v>372500000</v>
      </c>
      <c r="X20" s="23">
        <f t="shared" si="13"/>
        <v>1895500000</v>
      </c>
      <c r="Y20" s="23">
        <f t="shared" si="29"/>
        <v>198000000</v>
      </c>
      <c r="Z20" s="25">
        <f t="shared" si="14"/>
        <v>4578698256</v>
      </c>
      <c r="AA20" s="25">
        <f t="shared" si="15"/>
        <v>2683198256</v>
      </c>
      <c r="AC20" s="23">
        <f>T20*Priser!F22</f>
        <v>25297253835.747326</v>
      </c>
      <c r="AD20" s="74">
        <f t="shared" si="30"/>
        <v>6283324967.8999996</v>
      </c>
      <c r="AE20">
        <f t="shared" si="31"/>
        <v>400000000</v>
      </c>
      <c r="AF20" s="74">
        <f t="shared" si="22"/>
        <v>850000</v>
      </c>
      <c r="AG20">
        <f t="shared" si="32"/>
        <v>324120</v>
      </c>
      <c r="AH20" s="23">
        <f>AE20*Priser!F22</f>
        <v>1514052000</v>
      </c>
      <c r="AI20" s="25">
        <f>AG20*Priser!I22</f>
        <v>187989600</v>
      </c>
      <c r="AJ20" s="25">
        <f t="shared" si="17"/>
        <v>1702041600</v>
      </c>
      <c r="AK20" s="23">
        <f t="shared" si="23"/>
        <v>372500000</v>
      </c>
      <c r="AL20" s="23">
        <f>AF20*utslipp2!H22</f>
        <v>1895500000</v>
      </c>
      <c r="AM20" s="23">
        <f t="shared" si="25"/>
        <v>93000000</v>
      </c>
      <c r="AN20" s="23">
        <f t="shared" si="18"/>
        <v>4063041600</v>
      </c>
      <c r="AO20" s="23">
        <f t="shared" si="19"/>
        <v>2167541600</v>
      </c>
      <c r="AP20" s="23">
        <f>AD20*Priser!F22</f>
        <v>23783201835.747326</v>
      </c>
      <c r="AR20">
        <f t="shared" si="20"/>
        <v>2035</v>
      </c>
      <c r="AS20" s="25">
        <f>(P20-N20)*utkast1!R20</f>
        <v>2548820600.662468</v>
      </c>
      <c r="AT20">
        <f t="shared" si="1"/>
        <v>2035</v>
      </c>
      <c r="AU20" s="25">
        <f>(AC20-Z20)*utkast1!R20</f>
        <v>9199286455.6016731</v>
      </c>
      <c r="AV20" s="25">
        <f>(AP20-AN20)*utkast1!R20</f>
        <v>8755986982.8154049</v>
      </c>
    </row>
    <row r="21" spans="2:48" x14ac:dyDescent="0.2">
      <c r="B21" s="131">
        <v>2036</v>
      </c>
      <c r="C21" s="2"/>
      <c r="D21" s="2"/>
      <c r="K21" s="23"/>
      <c r="L21" s="23"/>
      <c r="M21" s="23">
        <f>G21*utslipp2!H23</f>
        <v>0</v>
      </c>
      <c r="N21" s="23">
        <f t="shared" si="5"/>
        <v>0</v>
      </c>
      <c r="O21" s="23">
        <f t="shared" si="6"/>
        <v>0</v>
      </c>
      <c r="P21" s="23"/>
      <c r="Q21">
        <f t="shared" si="27"/>
        <v>4900000</v>
      </c>
      <c r="R21">
        <f t="shared" si="7"/>
        <v>6683324967.8999996</v>
      </c>
      <c r="T21" s="74">
        <f t="shared" si="9"/>
        <v>6683324967.8999996</v>
      </c>
      <c r="U21" s="74">
        <f t="shared" si="24"/>
        <v>2978400</v>
      </c>
      <c r="V21" s="25">
        <f>U21*(Priser!I23*1.223)</f>
        <v>2112698256</v>
      </c>
      <c r="W21" s="23">
        <f t="shared" si="28"/>
        <v>372500000</v>
      </c>
      <c r="X21" s="23">
        <f t="shared" si="13"/>
        <v>0</v>
      </c>
      <c r="Y21" s="23">
        <f t="shared" si="29"/>
        <v>198000000</v>
      </c>
      <c r="Z21" s="25">
        <f t="shared" si="14"/>
        <v>2683198256</v>
      </c>
      <c r="AA21" s="25">
        <f t="shared" si="15"/>
        <v>2683198256</v>
      </c>
      <c r="AC21" s="23">
        <f>T21*Priser!F23</f>
        <v>25297253835.747326</v>
      </c>
      <c r="AD21" s="74">
        <f t="shared" si="30"/>
        <v>6283324967.8999996</v>
      </c>
      <c r="AE21">
        <f t="shared" si="31"/>
        <v>400000000</v>
      </c>
      <c r="AF21" s="74">
        <f t="shared" si="22"/>
        <v>850000</v>
      </c>
      <c r="AG21">
        <f t="shared" si="32"/>
        <v>324120</v>
      </c>
      <c r="AH21" s="23">
        <f>AE21*Priser!F23</f>
        <v>1514052000</v>
      </c>
      <c r="AI21" s="25">
        <f>AG21*Priser!I23</f>
        <v>187989600</v>
      </c>
      <c r="AJ21" s="25">
        <f t="shared" si="17"/>
        <v>1702041600</v>
      </c>
      <c r="AK21" s="23">
        <f t="shared" si="23"/>
        <v>372500000</v>
      </c>
      <c r="AL21" s="23">
        <f>AF21*utslipp2!H23</f>
        <v>1895500000</v>
      </c>
      <c r="AM21" s="23">
        <f t="shared" si="25"/>
        <v>93000000</v>
      </c>
      <c r="AN21" s="23">
        <f t="shared" si="18"/>
        <v>4063041600</v>
      </c>
      <c r="AO21" s="23">
        <f t="shared" si="19"/>
        <v>2167541600</v>
      </c>
      <c r="AP21" s="23">
        <f>AD21*Priser!F23</f>
        <v>23783201835.747326</v>
      </c>
      <c r="AR21">
        <f t="shared" si="20"/>
        <v>2036</v>
      </c>
      <c r="AS21" s="25">
        <f>(P21-N21)*utkast1!R21</f>
        <v>0</v>
      </c>
      <c r="AT21">
        <f t="shared" si="1"/>
        <v>2036</v>
      </c>
      <c r="AU21" s="25">
        <f>(AC21-Z21)*utkast1!R21</f>
        <v>9384029088.1705475</v>
      </c>
      <c r="AV21" s="25">
        <f>(AP21-AN21)*utkast1!R21</f>
        <v>8183165404.5003777</v>
      </c>
    </row>
    <row r="22" spans="2:48" x14ac:dyDescent="0.2">
      <c r="B22" s="131">
        <v>2037</v>
      </c>
      <c r="C22" s="2"/>
      <c r="D22" s="2"/>
      <c r="K22" s="23"/>
      <c r="L22" s="23"/>
      <c r="M22" s="23">
        <f>G22*utslipp2!H24</f>
        <v>0</v>
      </c>
      <c r="N22" s="23">
        <f t="shared" si="5"/>
        <v>0</v>
      </c>
      <c r="O22" s="23">
        <f t="shared" si="6"/>
        <v>0</v>
      </c>
      <c r="P22" s="23"/>
      <c r="Q22">
        <f t="shared" si="27"/>
        <v>4900000</v>
      </c>
      <c r="R22">
        <f t="shared" si="7"/>
        <v>6683324967.8999996</v>
      </c>
      <c r="T22" s="74">
        <f t="shared" si="9"/>
        <v>6683324967.8999996</v>
      </c>
      <c r="U22" s="74">
        <f t="shared" si="24"/>
        <v>2978400</v>
      </c>
      <c r="V22" s="25">
        <f>U22*(Priser!I24*1.223)</f>
        <v>2112698256</v>
      </c>
      <c r="W22" s="23">
        <f t="shared" si="28"/>
        <v>372500000</v>
      </c>
      <c r="X22" s="23">
        <f t="shared" si="13"/>
        <v>0</v>
      </c>
      <c r="Y22" s="23">
        <f t="shared" si="29"/>
        <v>198000000</v>
      </c>
      <c r="Z22" s="25">
        <f t="shared" si="14"/>
        <v>2683198256</v>
      </c>
      <c r="AA22" s="25">
        <f t="shared" si="15"/>
        <v>2683198256</v>
      </c>
      <c r="AC22" s="23">
        <f>T22*Priser!F24</f>
        <v>25297253835.747326</v>
      </c>
      <c r="AD22" s="74">
        <f t="shared" si="30"/>
        <v>6283324967.8999996</v>
      </c>
      <c r="AE22">
        <f t="shared" si="31"/>
        <v>400000000</v>
      </c>
      <c r="AF22" s="74">
        <f t="shared" si="22"/>
        <v>850000</v>
      </c>
      <c r="AG22">
        <f t="shared" si="32"/>
        <v>324120</v>
      </c>
      <c r="AH22" s="23">
        <f>AE22*Priser!F24</f>
        <v>1514052000</v>
      </c>
      <c r="AI22" s="25">
        <f>AG22*Priser!I24</f>
        <v>187989600</v>
      </c>
      <c r="AJ22" s="25">
        <f t="shared" si="17"/>
        <v>1702041600</v>
      </c>
      <c r="AK22" s="23">
        <f t="shared" si="23"/>
        <v>372500000</v>
      </c>
      <c r="AL22" s="23">
        <f>AF22*utslipp2!H24</f>
        <v>1895500000</v>
      </c>
      <c r="AM22" s="23">
        <f t="shared" si="25"/>
        <v>93000000</v>
      </c>
      <c r="AN22" s="23">
        <f t="shared" si="18"/>
        <v>4063041600</v>
      </c>
      <c r="AO22" s="23">
        <f t="shared" si="19"/>
        <v>2167541600</v>
      </c>
      <c r="AP22" s="23">
        <f>AD22*Priser!F24</f>
        <v>23783201835.747326</v>
      </c>
      <c r="AR22">
        <f t="shared" si="20"/>
        <v>2037</v>
      </c>
      <c r="AS22" s="25">
        <f>(P22-N22)*utkast1!R22</f>
        <v>0</v>
      </c>
      <c r="AT22">
        <f t="shared" si="1"/>
        <v>2037</v>
      </c>
      <c r="AU22" s="25">
        <f>(AC22-Z22)*utkast1!R22</f>
        <v>8770120643.1500435</v>
      </c>
      <c r="AV22" s="25">
        <f>(AP22-AN22)*utkast1!R22</f>
        <v>7647818135.0470819</v>
      </c>
    </row>
    <row r="23" spans="2:48" x14ac:dyDescent="0.2">
      <c r="B23" s="131">
        <v>2038</v>
      </c>
      <c r="C23" s="2"/>
      <c r="D23" s="2"/>
      <c r="K23" s="23"/>
      <c r="L23" s="23"/>
      <c r="M23" s="23">
        <f>G23*utslipp2!H25</f>
        <v>0</v>
      </c>
      <c r="N23" s="23">
        <f t="shared" si="5"/>
        <v>0</v>
      </c>
      <c r="O23" s="23">
        <f t="shared" si="6"/>
        <v>0</v>
      </c>
      <c r="P23" s="23"/>
      <c r="Q23">
        <f t="shared" si="27"/>
        <v>4900000</v>
      </c>
      <c r="R23">
        <f t="shared" si="7"/>
        <v>6683324967.8999996</v>
      </c>
      <c r="T23" s="74">
        <f t="shared" si="9"/>
        <v>6683324967.8999996</v>
      </c>
      <c r="U23" s="74">
        <f t="shared" si="24"/>
        <v>2978400</v>
      </c>
      <c r="V23" s="25">
        <f>U23*(Priser!I25*1.223)</f>
        <v>2112698256</v>
      </c>
      <c r="W23" s="23">
        <f t="shared" si="28"/>
        <v>372500000</v>
      </c>
      <c r="X23" s="23">
        <f t="shared" si="13"/>
        <v>0</v>
      </c>
      <c r="Y23" s="23">
        <f t="shared" si="29"/>
        <v>198000000</v>
      </c>
      <c r="Z23" s="25">
        <f t="shared" si="14"/>
        <v>2683198256</v>
      </c>
      <c r="AA23" s="25">
        <f t="shared" si="15"/>
        <v>2683198256</v>
      </c>
      <c r="AC23" s="23">
        <f>T23*Priser!F25</f>
        <v>26140495630.27224</v>
      </c>
      <c r="AD23" s="74">
        <f t="shared" si="30"/>
        <v>6283324967.8999996</v>
      </c>
      <c r="AE23">
        <f t="shared" si="31"/>
        <v>400000000</v>
      </c>
      <c r="AF23" s="74">
        <f t="shared" si="22"/>
        <v>850000</v>
      </c>
      <c r="AG23">
        <f t="shared" si="32"/>
        <v>324120</v>
      </c>
      <c r="AH23" s="23">
        <f>AE23*Priser!F25</f>
        <v>1564520400.0000002</v>
      </c>
      <c r="AI23" s="25">
        <f>AG23*Priser!I25</f>
        <v>187989600</v>
      </c>
      <c r="AJ23" s="25">
        <f t="shared" si="17"/>
        <v>1752510000.0000002</v>
      </c>
      <c r="AK23" s="23">
        <f t="shared" si="23"/>
        <v>372500000</v>
      </c>
      <c r="AL23" s="23">
        <f>AF23*utslipp2!H25</f>
        <v>1895500000</v>
      </c>
      <c r="AM23" s="23">
        <f t="shared" si="25"/>
        <v>93000000</v>
      </c>
      <c r="AN23" s="23">
        <f t="shared" si="18"/>
        <v>4113510000</v>
      </c>
      <c r="AO23" s="23">
        <f t="shared" si="19"/>
        <v>2218010000</v>
      </c>
      <c r="AP23" s="23">
        <f>AD23*Priser!F25</f>
        <v>24575975230.27224</v>
      </c>
      <c r="AR23">
        <f t="shared" si="20"/>
        <v>2038</v>
      </c>
      <c r="AS23" s="25">
        <f>(P23-N23)*utkast1!R23</f>
        <v>0</v>
      </c>
      <c r="AT23">
        <f t="shared" si="1"/>
        <v>2038</v>
      </c>
      <c r="AU23" s="25">
        <f>(AC23-Z23)*utkast1!R23</f>
        <v>8502004064.8721428</v>
      </c>
      <c r="AV23" s="25">
        <f>(AP23-AN23)*utkast1!R23</f>
        <v>7416539074.7823496</v>
      </c>
    </row>
    <row r="24" spans="2:48" x14ac:dyDescent="0.2">
      <c r="B24" s="131">
        <v>2039</v>
      </c>
      <c r="C24" s="2"/>
      <c r="D24" s="2"/>
      <c r="K24" s="23"/>
      <c r="L24" s="23"/>
      <c r="M24" s="23">
        <f>G24*utslipp2!H26</f>
        <v>0</v>
      </c>
      <c r="N24" s="23">
        <f t="shared" si="5"/>
        <v>0</v>
      </c>
      <c r="O24" s="23">
        <f t="shared" si="6"/>
        <v>0</v>
      </c>
      <c r="P24" s="23"/>
      <c r="Q24">
        <f t="shared" si="27"/>
        <v>4900000</v>
      </c>
      <c r="R24">
        <f t="shared" si="7"/>
        <v>6683324967.8999996</v>
      </c>
      <c r="T24" s="74">
        <f t="shared" si="9"/>
        <v>6683324967.8999996</v>
      </c>
      <c r="U24" s="74">
        <f t="shared" si="24"/>
        <v>2978400</v>
      </c>
      <c r="V24" s="25">
        <f>U24*(Priser!I26*1.223)</f>
        <v>2112698256</v>
      </c>
      <c r="W24" s="23">
        <f t="shared" si="28"/>
        <v>372500000</v>
      </c>
      <c r="X24" s="23">
        <f t="shared" si="13"/>
        <v>0</v>
      </c>
      <c r="Y24" s="23">
        <f t="shared" si="29"/>
        <v>198000000</v>
      </c>
      <c r="Z24" s="25">
        <f t="shared" si="14"/>
        <v>2683198256</v>
      </c>
      <c r="AA24" s="25">
        <f t="shared" si="15"/>
        <v>2683198256</v>
      </c>
      <c r="AC24" s="23">
        <f>T24*Priser!F26</f>
        <v>26140495630.27224</v>
      </c>
      <c r="AD24" s="74">
        <f t="shared" si="30"/>
        <v>6283324967.8999996</v>
      </c>
      <c r="AE24">
        <f t="shared" si="31"/>
        <v>400000000</v>
      </c>
      <c r="AF24" s="74">
        <f t="shared" si="22"/>
        <v>850000</v>
      </c>
      <c r="AG24">
        <f t="shared" si="32"/>
        <v>324120</v>
      </c>
      <c r="AH24" s="23">
        <f>AE24*Priser!F26</f>
        <v>1564520400.0000002</v>
      </c>
      <c r="AI24" s="25">
        <f>AG24*Priser!I26</f>
        <v>187989600</v>
      </c>
      <c r="AJ24" s="25">
        <f t="shared" si="17"/>
        <v>1752510000.0000002</v>
      </c>
      <c r="AK24" s="23">
        <f t="shared" si="23"/>
        <v>372500000</v>
      </c>
      <c r="AL24" s="23">
        <f>AF24*utslipp2!H26</f>
        <v>1895500000</v>
      </c>
      <c r="AM24" s="23">
        <f t="shared" si="25"/>
        <v>93000000</v>
      </c>
      <c r="AN24" s="23">
        <f t="shared" si="18"/>
        <v>4113510000</v>
      </c>
      <c r="AO24" s="23">
        <f t="shared" si="19"/>
        <v>2218010000</v>
      </c>
      <c r="AP24" s="23">
        <f>AD24*Priser!F26</f>
        <v>24575975230.27224</v>
      </c>
      <c r="AR24">
        <f t="shared" si="20"/>
        <v>2039</v>
      </c>
      <c r="AS24" s="25">
        <f>(P24-N24)*utkast1!R24</f>
        <v>0</v>
      </c>
      <c r="AT24">
        <f t="shared" si="1"/>
        <v>2039</v>
      </c>
      <c r="AU24" s="25">
        <f>(AC24-Z24)*utkast1!R24</f>
        <v>7945798191.4692907</v>
      </c>
      <c r="AV24" s="25">
        <f>(AP24-AN24)*utkast1!R24</f>
        <v>6931344929.7031288</v>
      </c>
    </row>
    <row r="25" spans="2:48" x14ac:dyDescent="0.2">
      <c r="B25" s="131">
        <v>2040</v>
      </c>
      <c r="C25" s="2"/>
      <c r="D25" s="2"/>
      <c r="K25" s="23"/>
      <c r="L25" s="23"/>
      <c r="M25" s="23">
        <f>G25*utslipp2!H27</f>
        <v>0</v>
      </c>
      <c r="N25" s="23">
        <f t="shared" si="5"/>
        <v>0</v>
      </c>
      <c r="O25" s="23">
        <f t="shared" si="6"/>
        <v>0</v>
      </c>
      <c r="P25" s="23"/>
      <c r="Q25">
        <f t="shared" si="27"/>
        <v>4900000</v>
      </c>
      <c r="R25">
        <f t="shared" si="7"/>
        <v>6683324967.8999996</v>
      </c>
      <c r="T25" s="74">
        <f t="shared" si="9"/>
        <v>6683324967.8999996</v>
      </c>
      <c r="U25" s="74">
        <f t="shared" si="24"/>
        <v>2978400</v>
      </c>
      <c r="V25" s="25">
        <f>U25*(Priser!I27*1.223)</f>
        <v>2112698256</v>
      </c>
      <c r="W25" s="23">
        <f t="shared" si="28"/>
        <v>372500000</v>
      </c>
      <c r="X25" s="23">
        <f t="shared" si="13"/>
        <v>0</v>
      </c>
      <c r="Y25" s="23">
        <f t="shared" si="29"/>
        <v>198000000</v>
      </c>
      <c r="Z25" s="25">
        <f t="shared" si="14"/>
        <v>2683198256</v>
      </c>
      <c r="AA25" s="25">
        <f t="shared" si="15"/>
        <v>2683198256</v>
      </c>
      <c r="AC25" s="23">
        <f>T25*Priser!F27</f>
        <v>26140495630.27224</v>
      </c>
      <c r="AD25" s="74">
        <f t="shared" si="30"/>
        <v>6283324967.8999996</v>
      </c>
      <c r="AE25">
        <f t="shared" si="31"/>
        <v>400000000</v>
      </c>
      <c r="AF25" s="74">
        <f t="shared" si="22"/>
        <v>850000</v>
      </c>
      <c r="AG25">
        <f t="shared" si="32"/>
        <v>324120</v>
      </c>
      <c r="AH25" s="23">
        <f>AE25*Priser!F27</f>
        <v>1564520400.0000002</v>
      </c>
      <c r="AI25" s="25">
        <f>AG25*Priser!I27</f>
        <v>187989600</v>
      </c>
      <c r="AJ25" s="25">
        <f t="shared" si="17"/>
        <v>1752510000.0000002</v>
      </c>
      <c r="AK25" s="23">
        <f t="shared" si="23"/>
        <v>372500000</v>
      </c>
      <c r="AL25" s="23">
        <f>AF25*utslipp2!H27</f>
        <v>1895500000</v>
      </c>
      <c r="AM25" s="23">
        <f t="shared" si="25"/>
        <v>93000000</v>
      </c>
      <c r="AN25" s="23">
        <f t="shared" si="18"/>
        <v>4113510000</v>
      </c>
      <c r="AO25" s="23">
        <f t="shared" si="19"/>
        <v>2218010000</v>
      </c>
      <c r="AP25" s="23">
        <f>AD25*Priser!F27</f>
        <v>24575975230.27224</v>
      </c>
      <c r="AR25">
        <f t="shared" si="20"/>
        <v>2040</v>
      </c>
      <c r="AS25" s="25">
        <f>(P25-N25)*utkast1!R25</f>
        <v>0</v>
      </c>
      <c r="AT25">
        <f t="shared" si="1"/>
        <v>2040</v>
      </c>
      <c r="AU25" s="25">
        <f>(AC25-Z25)*utkast1!R25</f>
        <v>7425979618.1955986</v>
      </c>
      <c r="AV25" s="25">
        <f>(AP25-AN25)*utkast1!R25</f>
        <v>6477892457.6664753</v>
      </c>
    </row>
    <row r="26" spans="2:48" x14ac:dyDescent="0.2">
      <c r="B26" s="131">
        <v>2041</v>
      </c>
      <c r="C26" s="2"/>
      <c r="D26" s="2"/>
      <c r="K26" s="23"/>
      <c r="L26" s="23"/>
      <c r="M26" s="23">
        <f>G26*utslipp2!H28</f>
        <v>0</v>
      </c>
      <c r="N26" s="23">
        <f t="shared" si="5"/>
        <v>0</v>
      </c>
      <c r="O26" s="23">
        <f t="shared" si="6"/>
        <v>0</v>
      </c>
      <c r="P26" s="23"/>
      <c r="Q26">
        <f t="shared" si="27"/>
        <v>4900000</v>
      </c>
      <c r="R26">
        <f t="shared" si="7"/>
        <v>6683324967.8999996</v>
      </c>
      <c r="T26" s="74">
        <f t="shared" si="9"/>
        <v>6683324967.8999996</v>
      </c>
      <c r="U26" s="74">
        <f t="shared" si="24"/>
        <v>2978400</v>
      </c>
      <c r="V26" s="25">
        <f>U26*(Priser!I28*1.223)</f>
        <v>2112698256</v>
      </c>
      <c r="W26" s="23">
        <f t="shared" si="28"/>
        <v>372500000</v>
      </c>
      <c r="X26" s="23">
        <f t="shared" si="13"/>
        <v>0</v>
      </c>
      <c r="Y26" s="23">
        <f t="shared" si="29"/>
        <v>198000000</v>
      </c>
      <c r="Z26" s="25">
        <f t="shared" si="14"/>
        <v>2683198256</v>
      </c>
      <c r="AA26" s="25">
        <f t="shared" si="15"/>
        <v>2683198256</v>
      </c>
      <c r="AC26" s="23">
        <f>T26*Priser!F28</f>
        <v>26140495630.27224</v>
      </c>
      <c r="AD26" s="74">
        <f t="shared" si="30"/>
        <v>6283324967.8999996</v>
      </c>
      <c r="AE26">
        <f t="shared" si="31"/>
        <v>400000000</v>
      </c>
      <c r="AF26" s="74">
        <f t="shared" si="22"/>
        <v>850000</v>
      </c>
      <c r="AG26">
        <f t="shared" si="32"/>
        <v>324120</v>
      </c>
      <c r="AH26" s="23">
        <f>AE26*Priser!F28</f>
        <v>1564520400.0000002</v>
      </c>
      <c r="AI26" s="25">
        <f>AG26*Priser!I28</f>
        <v>187989600</v>
      </c>
      <c r="AJ26" s="25">
        <f t="shared" si="17"/>
        <v>1752510000.0000002</v>
      </c>
      <c r="AK26" s="23">
        <f t="shared" si="23"/>
        <v>372500000</v>
      </c>
      <c r="AL26" s="23">
        <f>AF26*utslipp2!H28</f>
        <v>1895500000</v>
      </c>
      <c r="AM26" s="23">
        <f t="shared" si="25"/>
        <v>93000000</v>
      </c>
      <c r="AN26" s="23">
        <f t="shared" si="18"/>
        <v>4113510000</v>
      </c>
      <c r="AO26" s="23">
        <f t="shared" si="19"/>
        <v>2218010000</v>
      </c>
      <c r="AP26" s="23">
        <f>AD26*Priser!F28</f>
        <v>24575975230.27224</v>
      </c>
      <c r="AR26">
        <f t="shared" si="20"/>
        <v>2041</v>
      </c>
      <c r="AS26" s="25">
        <f>(P26-N26)*utkast1!R26</f>
        <v>0</v>
      </c>
      <c r="AT26">
        <f t="shared" si="1"/>
        <v>2041</v>
      </c>
      <c r="AU26" s="25">
        <f>(AC26-Z26)*utkast1!R26</f>
        <v>6940167867.4725218</v>
      </c>
      <c r="AV26" s="25">
        <f>(AP26-AN26)*utkast1!R26</f>
        <v>6054105100.6228743</v>
      </c>
    </row>
    <row r="27" spans="2:48" x14ac:dyDescent="0.2">
      <c r="B27" s="131">
        <v>2042</v>
      </c>
      <c r="C27" s="2"/>
      <c r="D27" s="2"/>
      <c r="K27" s="23"/>
      <c r="L27" s="23"/>
      <c r="M27" s="23">
        <f>G27*utslipp2!H29</f>
        <v>0</v>
      </c>
      <c r="N27" s="23">
        <f t="shared" si="5"/>
        <v>0</v>
      </c>
      <c r="O27" s="23">
        <f t="shared" si="6"/>
        <v>0</v>
      </c>
      <c r="P27" s="23"/>
      <c r="Q27">
        <f t="shared" si="27"/>
        <v>4900000</v>
      </c>
      <c r="R27">
        <f t="shared" si="7"/>
        <v>6683324967.8999996</v>
      </c>
      <c r="T27" s="74">
        <f t="shared" si="9"/>
        <v>6683324967.8999996</v>
      </c>
      <c r="U27" s="74">
        <f t="shared" si="24"/>
        <v>2978400</v>
      </c>
      <c r="V27" s="25">
        <f>U27*(Priser!I29*1.223)</f>
        <v>2112698256</v>
      </c>
      <c r="W27" s="23">
        <f t="shared" si="28"/>
        <v>372500000</v>
      </c>
      <c r="X27" s="23">
        <f t="shared" si="13"/>
        <v>0</v>
      </c>
      <c r="Y27" s="23">
        <f t="shared" si="29"/>
        <v>198000000</v>
      </c>
      <c r="Z27" s="25">
        <f t="shared" si="14"/>
        <v>2683198256</v>
      </c>
      <c r="AA27" s="25">
        <f t="shared" si="15"/>
        <v>2683198256</v>
      </c>
      <c r="AC27" s="23">
        <f>T27*Priser!F29</f>
        <v>26140495630.27224</v>
      </c>
      <c r="AD27" s="74">
        <f t="shared" si="30"/>
        <v>6283324967.8999996</v>
      </c>
      <c r="AE27">
        <f t="shared" si="31"/>
        <v>400000000</v>
      </c>
      <c r="AF27" s="74">
        <f t="shared" si="22"/>
        <v>850000</v>
      </c>
      <c r="AG27">
        <f t="shared" si="32"/>
        <v>324120</v>
      </c>
      <c r="AH27" s="23">
        <f>AE27*Priser!F29</f>
        <v>1564520400.0000002</v>
      </c>
      <c r="AI27" s="25">
        <f>AG27*Priser!I29</f>
        <v>187989600</v>
      </c>
      <c r="AJ27" s="25">
        <f t="shared" si="17"/>
        <v>1752510000.0000002</v>
      </c>
      <c r="AK27" s="23">
        <f t="shared" si="23"/>
        <v>372500000</v>
      </c>
      <c r="AL27" s="23">
        <f>AF27*utslipp2!H29</f>
        <v>1895500000</v>
      </c>
      <c r="AM27" s="23">
        <f t="shared" si="25"/>
        <v>93000000</v>
      </c>
      <c r="AN27" s="23">
        <f t="shared" si="18"/>
        <v>4113510000</v>
      </c>
      <c r="AO27" s="23">
        <f t="shared" si="19"/>
        <v>2218010000</v>
      </c>
      <c r="AP27" s="23">
        <f>AD27*Priser!F29</f>
        <v>24575975230.27224</v>
      </c>
      <c r="AR27">
        <f t="shared" si="20"/>
        <v>2042</v>
      </c>
      <c r="AS27" s="25">
        <f>(P27-N27)*utkast1!R27</f>
        <v>0</v>
      </c>
      <c r="AT27">
        <f t="shared" si="1"/>
        <v>2042</v>
      </c>
      <c r="AU27" s="25">
        <f>(AC27-Z27)*utkast1!R27</f>
        <v>6486138193.8995514</v>
      </c>
      <c r="AV27" s="25">
        <f>(AP27-AN27)*utkast1!R27</f>
        <v>5658042150.1148338</v>
      </c>
    </row>
    <row r="28" spans="2:48" x14ac:dyDescent="0.2">
      <c r="B28" s="131">
        <v>2043</v>
      </c>
      <c r="C28" s="2"/>
      <c r="D28" s="2"/>
      <c r="K28" s="23"/>
      <c r="L28" s="23"/>
      <c r="M28" s="23">
        <f>G28*utslipp2!H30</f>
        <v>0</v>
      </c>
      <c r="N28" s="23">
        <f t="shared" si="5"/>
        <v>0</v>
      </c>
      <c r="O28" s="23">
        <f t="shared" si="6"/>
        <v>0</v>
      </c>
      <c r="P28" s="23"/>
      <c r="Q28">
        <f t="shared" si="27"/>
        <v>4900000</v>
      </c>
      <c r="R28">
        <f t="shared" si="7"/>
        <v>6683324967.8999996</v>
      </c>
      <c r="T28" s="74">
        <f t="shared" si="9"/>
        <v>6683324967.8999996</v>
      </c>
      <c r="U28" s="74">
        <f t="shared" si="24"/>
        <v>2978400</v>
      </c>
      <c r="V28" s="25">
        <f>U28*(Priser!I30*1.223)</f>
        <v>2112698256</v>
      </c>
      <c r="W28" s="23">
        <f t="shared" si="28"/>
        <v>372500000</v>
      </c>
      <c r="X28" s="23">
        <f t="shared" si="13"/>
        <v>0</v>
      </c>
      <c r="Y28" s="23">
        <f t="shared" si="29"/>
        <v>198000000</v>
      </c>
      <c r="Z28" s="25">
        <f t="shared" si="14"/>
        <v>2683198256</v>
      </c>
      <c r="AA28" s="25">
        <f t="shared" si="15"/>
        <v>2683198256</v>
      </c>
      <c r="AC28" s="23">
        <f>T28*Priser!F30</f>
        <v>26140495630.27224</v>
      </c>
      <c r="AD28" s="74">
        <f t="shared" si="30"/>
        <v>6283324967.8999996</v>
      </c>
      <c r="AE28">
        <f t="shared" si="31"/>
        <v>400000000</v>
      </c>
      <c r="AF28" s="74">
        <f t="shared" si="22"/>
        <v>850000</v>
      </c>
      <c r="AG28">
        <f t="shared" si="32"/>
        <v>324120</v>
      </c>
      <c r="AH28" s="23">
        <f>AE28*Priser!F30</f>
        <v>1564520400.0000002</v>
      </c>
      <c r="AI28" s="25">
        <f>AG28*Priser!I30</f>
        <v>187989600</v>
      </c>
      <c r="AJ28" s="25">
        <f t="shared" si="17"/>
        <v>1752510000.0000002</v>
      </c>
      <c r="AK28" s="23">
        <f t="shared" si="23"/>
        <v>372500000</v>
      </c>
      <c r="AL28" s="23">
        <f>AF28*utslipp2!H30</f>
        <v>1895500000</v>
      </c>
      <c r="AM28" s="23">
        <f t="shared" si="25"/>
        <v>93000000</v>
      </c>
      <c r="AN28" s="23">
        <f t="shared" si="18"/>
        <v>4113510000</v>
      </c>
      <c r="AO28" s="23">
        <f t="shared" si="19"/>
        <v>2218010000</v>
      </c>
      <c r="AP28" s="23">
        <f>AD28*Priser!F30</f>
        <v>24575975230.27224</v>
      </c>
      <c r="AR28">
        <f t="shared" si="20"/>
        <v>2043</v>
      </c>
      <c r="AS28" s="25">
        <f>(P28-N28)*utkast1!R28</f>
        <v>0</v>
      </c>
      <c r="AT28">
        <f t="shared" si="1"/>
        <v>2043</v>
      </c>
      <c r="AU28" s="25">
        <f>(AC28-Z28)*utkast1!R28</f>
        <v>6061811396.1678047</v>
      </c>
      <c r="AV28" s="25">
        <f>(AP28-AN28)*utkast1!R28</f>
        <v>5287889859.9204054</v>
      </c>
    </row>
    <row r="29" spans="2:48" x14ac:dyDescent="0.2">
      <c r="B29" s="131">
        <v>2044</v>
      </c>
      <c r="C29" s="2"/>
      <c r="D29" s="2"/>
      <c r="K29" s="23"/>
      <c r="L29" s="23"/>
      <c r="M29" s="23">
        <f>G29*utslipp2!H31</f>
        <v>0</v>
      </c>
      <c r="N29" s="23">
        <f t="shared" si="5"/>
        <v>0</v>
      </c>
      <c r="O29" s="23">
        <f t="shared" si="6"/>
        <v>0</v>
      </c>
      <c r="P29" s="23"/>
      <c r="R29">
        <f>R28*0.85</f>
        <v>5680826222.7149992</v>
      </c>
      <c r="T29" s="74">
        <f t="shared" si="9"/>
        <v>5680826222.7149992</v>
      </c>
      <c r="U29" s="74">
        <f t="shared" si="24"/>
        <v>2978400</v>
      </c>
      <c r="V29" s="25">
        <f>U29*(Priser!I31*1.223)</f>
        <v>2112698256</v>
      </c>
      <c r="W29" s="23">
        <f t="shared" si="28"/>
        <v>372500000</v>
      </c>
      <c r="X29" s="23">
        <f t="shared" si="13"/>
        <v>0</v>
      </c>
      <c r="Y29" s="23">
        <f t="shared" si="29"/>
        <v>198000000</v>
      </c>
      <c r="Z29" s="25">
        <f t="shared" si="14"/>
        <v>2683198256</v>
      </c>
      <c r="AA29" s="25">
        <f t="shared" si="15"/>
        <v>2683198256</v>
      </c>
      <c r="AC29" s="23">
        <f>T29*Priser!F31</f>
        <v>22219421285.7314</v>
      </c>
      <c r="AD29" s="74">
        <f>R29</f>
        <v>5680826222.7149992</v>
      </c>
      <c r="AE29">
        <f t="shared" si="31"/>
        <v>400000000</v>
      </c>
      <c r="AF29" s="74">
        <f t="shared" si="22"/>
        <v>850000</v>
      </c>
      <c r="AG29">
        <f t="shared" si="32"/>
        <v>324120</v>
      </c>
      <c r="AH29" s="23">
        <f>AE29*Priser!F31</f>
        <v>1564520400.0000002</v>
      </c>
      <c r="AI29" s="25">
        <f>AG29*Priser!I31</f>
        <v>187989600</v>
      </c>
      <c r="AJ29" s="25">
        <f t="shared" si="17"/>
        <v>1752510000.0000002</v>
      </c>
      <c r="AK29" s="23">
        <f t="shared" si="23"/>
        <v>372500000</v>
      </c>
      <c r="AL29" s="23">
        <f>AF29*utslipp2!H31</f>
        <v>1895500000</v>
      </c>
      <c r="AM29" s="23">
        <f t="shared" si="25"/>
        <v>93000000</v>
      </c>
      <c r="AN29" s="23">
        <f t="shared" si="18"/>
        <v>4113510000</v>
      </c>
      <c r="AO29" s="23">
        <f t="shared" si="19"/>
        <v>2218010000</v>
      </c>
      <c r="AP29" s="23">
        <f>AD29*Priser!F31</f>
        <v>22219421285.7314</v>
      </c>
      <c r="AR29">
        <f t="shared" si="20"/>
        <v>2044</v>
      </c>
      <c r="AS29" s="25">
        <f>(P29-N29)*utkast1!R29</f>
        <v>0</v>
      </c>
      <c r="AT29">
        <f t="shared" si="1"/>
        <v>2044</v>
      </c>
      <c r="AU29" s="25">
        <f>(AC29-Z29)*utkast1!R29</f>
        <v>4718253527.1892691</v>
      </c>
      <c r="AV29" s="25">
        <f>(AP29-AN29)*utkast1!R29</f>
        <v>4372814522.8925915</v>
      </c>
    </row>
    <row r="30" spans="2:48" x14ac:dyDescent="0.2">
      <c r="B30" s="131">
        <v>2045</v>
      </c>
      <c r="C30" s="2"/>
      <c r="D30" s="2"/>
      <c r="K30" s="23"/>
      <c r="L30" s="23"/>
      <c r="M30" s="23">
        <f>G30*utslipp2!H32</f>
        <v>0</v>
      </c>
      <c r="N30" s="23">
        <f t="shared" si="5"/>
        <v>0</v>
      </c>
      <c r="O30" s="23">
        <f t="shared" si="6"/>
        <v>0</v>
      </c>
      <c r="P30" s="23"/>
      <c r="R30">
        <f t="shared" ref="R30:R35" si="33">R29*0.85</f>
        <v>4828702289.3077488</v>
      </c>
      <c r="T30" s="74">
        <f t="shared" si="9"/>
        <v>4828702289.3077488</v>
      </c>
      <c r="U30" s="74">
        <f t="shared" si="24"/>
        <v>2978400</v>
      </c>
      <c r="V30" s="25">
        <f>U30*(Priser!I32*1.223)</f>
        <v>2112698256</v>
      </c>
      <c r="W30" s="23">
        <f t="shared" si="28"/>
        <v>372500000</v>
      </c>
      <c r="X30" s="23">
        <f t="shared" si="13"/>
        <v>0</v>
      </c>
      <c r="Y30" s="23">
        <f t="shared" si="29"/>
        <v>198000000</v>
      </c>
      <c r="Z30" s="25">
        <f t="shared" si="14"/>
        <v>2683198256</v>
      </c>
      <c r="AA30" s="25">
        <f t="shared" si="15"/>
        <v>2683198256</v>
      </c>
      <c r="AC30" s="23">
        <f>T30*Priser!F32</f>
        <v>18886508092.871689</v>
      </c>
      <c r="AD30" s="74">
        <f t="shared" ref="AD30:AD35" si="34">R30</f>
        <v>4828702289.3077488</v>
      </c>
      <c r="AE30">
        <f t="shared" si="31"/>
        <v>400000000</v>
      </c>
      <c r="AF30" s="74">
        <f t="shared" si="22"/>
        <v>850000</v>
      </c>
      <c r="AG30">
        <f t="shared" si="32"/>
        <v>324120</v>
      </c>
      <c r="AH30" s="23">
        <f>AE30*Priser!F32</f>
        <v>1564520400.0000002</v>
      </c>
      <c r="AI30" s="25">
        <f>AG30*Priser!I32</f>
        <v>187989600</v>
      </c>
      <c r="AJ30" s="25">
        <f t="shared" si="17"/>
        <v>1752510000.0000002</v>
      </c>
      <c r="AK30" s="23">
        <f t="shared" si="23"/>
        <v>372500000</v>
      </c>
      <c r="AL30" s="23">
        <f>AF30*utslipp2!H32</f>
        <v>1895500000</v>
      </c>
      <c r="AM30" s="23">
        <f t="shared" si="25"/>
        <v>93000000</v>
      </c>
      <c r="AN30" s="23">
        <f t="shared" si="18"/>
        <v>4113510000</v>
      </c>
      <c r="AO30" s="23">
        <f t="shared" si="19"/>
        <v>2218010000</v>
      </c>
      <c r="AP30" s="23">
        <f>AD30*Priser!F32</f>
        <v>18886508092.871689</v>
      </c>
      <c r="AR30">
        <f t="shared" si="20"/>
        <v>2045</v>
      </c>
      <c r="AS30" s="25">
        <f>(P30-N30)*utkast1!R30</f>
        <v>0</v>
      </c>
      <c r="AT30">
        <f t="shared" si="1"/>
        <v>2045</v>
      </c>
      <c r="AU30" s="25">
        <f>(AC30-Z30)*utkast1!R30</f>
        <v>3657300349.6624379</v>
      </c>
      <c r="AV30" s="25">
        <f>(AP30-AN30)*utkast1!R30</f>
        <v>3334460158.7309637</v>
      </c>
    </row>
    <row r="31" spans="2:48" x14ac:dyDescent="0.2">
      <c r="B31" s="131">
        <v>2046</v>
      </c>
      <c r="C31" s="2"/>
      <c r="D31" s="2"/>
      <c r="K31" s="23"/>
      <c r="L31" s="23"/>
      <c r="M31" s="23">
        <f>G31*utslipp2!H33</f>
        <v>0</v>
      </c>
      <c r="N31" s="23">
        <f t="shared" si="5"/>
        <v>0</v>
      </c>
      <c r="O31" s="23">
        <f t="shared" si="6"/>
        <v>0</v>
      </c>
      <c r="P31" s="23"/>
      <c r="R31">
        <f t="shared" si="33"/>
        <v>4104396945.9115863</v>
      </c>
      <c r="T31" s="74">
        <f t="shared" si="9"/>
        <v>4104396945.9115863</v>
      </c>
      <c r="U31" s="74">
        <f t="shared" si="24"/>
        <v>2978400</v>
      </c>
      <c r="V31" s="25">
        <f>U31*(Priser!I33*1.223)</f>
        <v>2112698256</v>
      </c>
      <c r="W31" s="23">
        <f t="shared" si="28"/>
        <v>372500000</v>
      </c>
      <c r="X31" s="23">
        <f t="shared" si="13"/>
        <v>0</v>
      </c>
      <c r="Y31" s="23">
        <f t="shared" si="29"/>
        <v>198000000</v>
      </c>
      <c r="Z31" s="25">
        <f t="shared" si="14"/>
        <v>2683198256</v>
      </c>
      <c r="AA31" s="25">
        <f t="shared" si="15"/>
        <v>2683198256</v>
      </c>
      <c r="AC31" s="23">
        <f>T31*Priser!F33</f>
        <v>16053531878.940935</v>
      </c>
      <c r="AD31" s="74">
        <f t="shared" si="34"/>
        <v>4104396945.9115863</v>
      </c>
      <c r="AE31">
        <f t="shared" si="31"/>
        <v>400000000</v>
      </c>
      <c r="AF31" s="74">
        <f t="shared" si="22"/>
        <v>850000</v>
      </c>
      <c r="AG31">
        <f t="shared" si="32"/>
        <v>324120</v>
      </c>
      <c r="AH31" s="23">
        <f>AE31*Priser!F33</f>
        <v>1564520400.0000002</v>
      </c>
      <c r="AI31" s="25">
        <f>AG31*Priser!I33</f>
        <v>187989600</v>
      </c>
      <c r="AJ31" s="25">
        <f t="shared" si="17"/>
        <v>1752510000.0000002</v>
      </c>
      <c r="AK31" s="23">
        <f t="shared" si="23"/>
        <v>372500000</v>
      </c>
      <c r="AL31" s="23">
        <f>AF31*utslipp2!H33</f>
        <v>1895500000</v>
      </c>
      <c r="AM31" s="23">
        <f t="shared" si="25"/>
        <v>93000000</v>
      </c>
      <c r="AN31" s="23">
        <f t="shared" si="18"/>
        <v>4113510000</v>
      </c>
      <c r="AO31" s="23">
        <f t="shared" si="19"/>
        <v>2218010000</v>
      </c>
      <c r="AP31" s="23">
        <f>AD31*Priser!F33</f>
        <v>16053531878.940935</v>
      </c>
      <c r="AR31">
        <f t="shared" si="20"/>
        <v>2046</v>
      </c>
      <c r="AS31" s="25">
        <f>(P31-N31)*utkast1!R31</f>
        <v>0</v>
      </c>
      <c r="AT31">
        <f t="shared" si="1"/>
        <v>2046</v>
      </c>
      <c r="AU31" s="25">
        <f>(AC31-Z31)*utkast1!R31</f>
        <v>2820430207.0450845</v>
      </c>
      <c r="AV31" s="25">
        <f>(AP31-AN31)*utkast1!R31</f>
        <v>2518710402.4362302</v>
      </c>
    </row>
    <row r="32" spans="2:48" x14ac:dyDescent="0.2">
      <c r="B32" s="131">
        <v>2047</v>
      </c>
      <c r="C32" s="2"/>
      <c r="D32" s="2"/>
      <c r="K32" s="23"/>
      <c r="L32" s="23"/>
      <c r="M32" s="23">
        <f>G32*utslipp2!H34</f>
        <v>0</v>
      </c>
      <c r="N32" s="23">
        <f t="shared" si="5"/>
        <v>0</v>
      </c>
      <c r="O32" s="23">
        <f t="shared" si="6"/>
        <v>0</v>
      </c>
      <c r="P32" s="23"/>
      <c r="R32">
        <f t="shared" si="33"/>
        <v>3488737404.0248485</v>
      </c>
      <c r="T32" s="74">
        <f t="shared" si="9"/>
        <v>3488737404.0248485</v>
      </c>
      <c r="U32" s="74">
        <f t="shared" si="24"/>
        <v>2978400</v>
      </c>
      <c r="V32" s="25">
        <f>U32*(Priser!I34*1.223)</f>
        <v>2112698256</v>
      </c>
      <c r="W32" s="23">
        <f t="shared" si="28"/>
        <v>372500000</v>
      </c>
      <c r="X32" s="23">
        <f t="shared" si="13"/>
        <v>0</v>
      </c>
      <c r="Y32" s="23">
        <f t="shared" si="29"/>
        <v>198000000</v>
      </c>
      <c r="Z32" s="25">
        <f t="shared" si="14"/>
        <v>2683198256</v>
      </c>
      <c r="AA32" s="25">
        <f t="shared" si="15"/>
        <v>2683198256</v>
      </c>
      <c r="AC32" s="23">
        <f>T32*Priser!F34</f>
        <v>13645502097.099794</v>
      </c>
      <c r="AD32" s="74">
        <f t="shared" si="34"/>
        <v>3488737404.0248485</v>
      </c>
      <c r="AE32">
        <f t="shared" si="31"/>
        <v>400000000</v>
      </c>
      <c r="AF32" s="74">
        <f t="shared" si="22"/>
        <v>850000</v>
      </c>
      <c r="AG32">
        <f t="shared" si="32"/>
        <v>324120</v>
      </c>
      <c r="AH32" s="23">
        <f>AE32*Priser!F34</f>
        <v>1564520400.0000002</v>
      </c>
      <c r="AI32" s="25">
        <f>AG32*Priser!I34</f>
        <v>187989600</v>
      </c>
      <c r="AJ32" s="25">
        <f t="shared" si="17"/>
        <v>1752510000.0000002</v>
      </c>
      <c r="AK32" s="23">
        <f t="shared" si="23"/>
        <v>372500000</v>
      </c>
      <c r="AL32" s="23">
        <f>AF32*utslipp2!H34</f>
        <v>1895500000</v>
      </c>
      <c r="AM32" s="23">
        <f t="shared" si="25"/>
        <v>93000000</v>
      </c>
      <c r="AN32" s="23">
        <f t="shared" si="18"/>
        <v>4113510000</v>
      </c>
      <c r="AO32" s="23">
        <f t="shared" si="19"/>
        <v>2218010000</v>
      </c>
      <c r="AP32" s="23">
        <f>AD32*Priser!F34</f>
        <v>13645502097.099794</v>
      </c>
      <c r="AR32">
        <f t="shared" si="20"/>
        <v>2047</v>
      </c>
      <c r="AS32" s="25">
        <f>(P32-N32)*utkast1!R32</f>
        <v>0</v>
      </c>
      <c r="AT32">
        <f t="shared" si="1"/>
        <v>2047</v>
      </c>
      <c r="AU32" s="25">
        <f>(AC32-Z32)*utkast1!R32</f>
        <v>2161181149.1245279</v>
      </c>
      <c r="AV32" s="25">
        <f>(AP32-AN32)*utkast1!R32</f>
        <v>1879200023.3218606</v>
      </c>
    </row>
    <row r="33" spans="2:48" x14ac:dyDescent="0.2">
      <c r="B33" s="131">
        <v>2048</v>
      </c>
      <c r="C33" s="2"/>
      <c r="D33" s="2"/>
      <c r="K33" s="23"/>
      <c r="L33" s="23"/>
      <c r="M33" s="23">
        <f>G33*utslipp2!H35</f>
        <v>0</v>
      </c>
      <c r="N33" s="23">
        <f t="shared" si="5"/>
        <v>0</v>
      </c>
      <c r="O33" s="23">
        <f t="shared" si="6"/>
        <v>0</v>
      </c>
      <c r="P33" s="23"/>
      <c r="R33">
        <f t="shared" si="33"/>
        <v>2965426793.4211211</v>
      </c>
      <c r="T33" s="74">
        <f t="shared" si="9"/>
        <v>2965426793.4211211</v>
      </c>
      <c r="U33" s="74">
        <f t="shared" si="24"/>
        <v>2978400</v>
      </c>
      <c r="V33" s="25">
        <f>U33*(Priser!I35*1.223)</f>
        <v>2112698256</v>
      </c>
      <c r="W33" s="23">
        <f t="shared" si="28"/>
        <v>372500000</v>
      </c>
      <c r="X33" s="23">
        <f t="shared" si="13"/>
        <v>0</v>
      </c>
      <c r="Y33" s="23">
        <f t="shared" si="29"/>
        <v>198000000</v>
      </c>
      <c r="Z33" s="25">
        <f t="shared" si="14"/>
        <v>2683198256</v>
      </c>
      <c r="AA33" s="25">
        <f t="shared" si="15"/>
        <v>2683198256</v>
      </c>
      <c r="AC33" s="23">
        <f>T33*Priser!F35</f>
        <v>11598676782.534826</v>
      </c>
      <c r="AD33" s="74">
        <f t="shared" si="34"/>
        <v>2965426793.4211211</v>
      </c>
      <c r="AE33">
        <f t="shared" si="31"/>
        <v>400000000</v>
      </c>
      <c r="AF33" s="74">
        <f t="shared" si="22"/>
        <v>850000</v>
      </c>
      <c r="AG33">
        <f t="shared" si="32"/>
        <v>324120</v>
      </c>
      <c r="AH33" s="23">
        <f>AE33*Priser!F35</f>
        <v>1564520400.0000002</v>
      </c>
      <c r="AI33" s="25">
        <f>AG33*Priser!I35</f>
        <v>187989600</v>
      </c>
      <c r="AJ33" s="25">
        <f t="shared" si="17"/>
        <v>1752510000.0000002</v>
      </c>
      <c r="AK33" s="23">
        <f t="shared" si="23"/>
        <v>372500000</v>
      </c>
      <c r="AL33" s="23">
        <f>AF33*utslipp2!H35</f>
        <v>1895500000</v>
      </c>
      <c r="AM33" s="23">
        <f t="shared" si="25"/>
        <v>93000000</v>
      </c>
      <c r="AN33" s="23">
        <f t="shared" si="18"/>
        <v>4113510000</v>
      </c>
      <c r="AO33" s="23">
        <f t="shared" si="19"/>
        <v>2218010000</v>
      </c>
      <c r="AP33" s="23">
        <f>AD33*Priser!F35</f>
        <v>11598676782.534826</v>
      </c>
      <c r="AR33">
        <f t="shared" si="20"/>
        <v>2048</v>
      </c>
      <c r="AS33" s="25">
        <f>(P33-N33)*utkast1!R33</f>
        <v>0</v>
      </c>
      <c r="AT33">
        <f t="shared" si="1"/>
        <v>2048</v>
      </c>
      <c r="AU33" s="25">
        <f>(AC33-Z33)*utkast1!R33</f>
        <v>1642669585.7312274</v>
      </c>
      <c r="AV33" s="25">
        <f>(AP33-AN33)*utkast1!R33</f>
        <v>1379135823.2988276</v>
      </c>
    </row>
    <row r="34" spans="2:48" x14ac:dyDescent="0.2">
      <c r="B34" s="131">
        <v>2049</v>
      </c>
      <c r="C34" s="2"/>
      <c r="D34" s="2"/>
      <c r="K34" s="23"/>
      <c r="L34" s="23"/>
      <c r="M34" s="23">
        <f>G34*utslipp2!H36</f>
        <v>0</v>
      </c>
      <c r="N34" s="23">
        <f t="shared" si="5"/>
        <v>0</v>
      </c>
      <c r="O34" s="23">
        <f t="shared" si="6"/>
        <v>0</v>
      </c>
      <c r="P34" s="23"/>
      <c r="R34">
        <f t="shared" si="33"/>
        <v>2520612774.4079528</v>
      </c>
      <c r="T34" s="74">
        <f t="shared" si="9"/>
        <v>2520612774.4079528</v>
      </c>
      <c r="U34" s="74">
        <f t="shared" si="24"/>
        <v>2978400</v>
      </c>
      <c r="V34" s="25">
        <f>U34*(Priser!I36*1.223)</f>
        <v>2112698256</v>
      </c>
      <c r="W34" s="23">
        <f t="shared" si="28"/>
        <v>372500000</v>
      </c>
      <c r="X34" s="23">
        <f t="shared" si="13"/>
        <v>0</v>
      </c>
      <c r="Y34" s="23">
        <f t="shared" si="29"/>
        <v>198000000</v>
      </c>
      <c r="Z34" s="25">
        <f t="shared" si="14"/>
        <v>2683198256</v>
      </c>
      <c r="AA34" s="25">
        <f t="shared" si="15"/>
        <v>2683198256</v>
      </c>
      <c r="AC34" s="23">
        <f>T34*Priser!F36</f>
        <v>9858875265.1546001</v>
      </c>
      <c r="AD34" s="74">
        <f t="shared" si="34"/>
        <v>2520612774.4079528</v>
      </c>
      <c r="AE34">
        <f t="shared" si="31"/>
        <v>400000000</v>
      </c>
      <c r="AF34" s="74">
        <f t="shared" si="22"/>
        <v>850000</v>
      </c>
      <c r="AG34">
        <f t="shared" si="32"/>
        <v>324120</v>
      </c>
      <c r="AH34" s="23">
        <f>AE34*Priser!F36</f>
        <v>1564520400.0000002</v>
      </c>
      <c r="AI34" s="25">
        <f>AG34*Priser!I36</f>
        <v>187989600</v>
      </c>
      <c r="AJ34" s="25">
        <f t="shared" si="17"/>
        <v>1752510000.0000002</v>
      </c>
      <c r="AK34" s="23">
        <f t="shared" si="23"/>
        <v>372500000</v>
      </c>
      <c r="AL34" s="23">
        <f>AF34*utslipp2!H36</f>
        <v>1895500000</v>
      </c>
      <c r="AM34" s="23">
        <f t="shared" si="25"/>
        <v>93000000</v>
      </c>
      <c r="AN34" s="23">
        <f t="shared" si="18"/>
        <v>4113510000</v>
      </c>
      <c r="AO34" s="23">
        <f t="shared" si="19"/>
        <v>2218010000</v>
      </c>
      <c r="AP34" s="23">
        <f>AD34*Priser!F36</f>
        <v>9858875265.1546001</v>
      </c>
      <c r="AR34">
        <f t="shared" si="20"/>
        <v>2049</v>
      </c>
      <c r="AS34" s="25">
        <f>(P34-N34)*utkast1!R34</f>
        <v>0</v>
      </c>
      <c r="AT34">
        <f t="shared" si="1"/>
        <v>2049</v>
      </c>
      <c r="AU34" s="25">
        <f>(AC34-Z34)*utkast1!R34</f>
        <v>1235619240.2822213</v>
      </c>
      <c r="AV34" s="25">
        <f>(AP34-AN34)*utkast1!R34</f>
        <v>989326004.36409068</v>
      </c>
    </row>
    <row r="35" spans="2:48" ht="17" thickBot="1" x14ac:dyDescent="0.25">
      <c r="B35" s="132">
        <v>2050</v>
      </c>
      <c r="C35" s="2"/>
      <c r="D35" s="2"/>
      <c r="K35" s="23"/>
      <c r="L35" s="23"/>
      <c r="M35" s="23">
        <f>G35*utslipp2!H37</f>
        <v>0</v>
      </c>
      <c r="N35" s="23">
        <f t="shared" si="5"/>
        <v>0</v>
      </c>
      <c r="O35" s="23">
        <f t="shared" si="6"/>
        <v>0</v>
      </c>
      <c r="P35" s="23"/>
      <c r="R35">
        <f t="shared" si="33"/>
        <v>2142520858.2467599</v>
      </c>
      <c r="T35" s="74">
        <f t="shared" si="9"/>
        <v>2142520858.2467599</v>
      </c>
      <c r="U35" s="74">
        <f t="shared" si="24"/>
        <v>2978400</v>
      </c>
      <c r="V35" s="25">
        <f>U35*(Priser!I37*1.223)</f>
        <v>2112698256</v>
      </c>
      <c r="W35" s="23">
        <f t="shared" si="28"/>
        <v>372500000</v>
      </c>
      <c r="X35" s="23">
        <f t="shared" si="13"/>
        <v>0</v>
      </c>
      <c r="Y35" s="23">
        <f t="shared" si="29"/>
        <v>198000000</v>
      </c>
      <c r="Z35" s="25">
        <f t="shared" si="14"/>
        <v>2683198256</v>
      </c>
      <c r="AA35" s="25">
        <f t="shared" si="15"/>
        <v>2683198256</v>
      </c>
      <c r="AC35" s="23">
        <f>T35*Priser!F37</f>
        <v>8380043975.3814106</v>
      </c>
      <c r="AD35" s="74">
        <f t="shared" si="34"/>
        <v>2142520858.2467599</v>
      </c>
      <c r="AE35">
        <f t="shared" si="31"/>
        <v>400000000</v>
      </c>
      <c r="AF35" s="74">
        <f t="shared" si="22"/>
        <v>850000</v>
      </c>
      <c r="AG35">
        <f t="shared" si="32"/>
        <v>324120</v>
      </c>
      <c r="AH35" s="23">
        <f>AE35*Priser!F37</f>
        <v>1564520400.0000002</v>
      </c>
      <c r="AI35" s="25">
        <f>AG35*Priser!I37</f>
        <v>187989600</v>
      </c>
      <c r="AJ35" s="25">
        <f t="shared" si="17"/>
        <v>1752510000.0000002</v>
      </c>
      <c r="AK35" s="23">
        <f t="shared" si="23"/>
        <v>372500000</v>
      </c>
      <c r="AL35" s="23">
        <f>AF35*utslipp2!H37</f>
        <v>1895500000</v>
      </c>
      <c r="AM35" s="23">
        <f t="shared" si="25"/>
        <v>93000000</v>
      </c>
      <c r="AN35" s="23">
        <f t="shared" si="18"/>
        <v>4113510000</v>
      </c>
      <c r="AO35" s="23">
        <f t="shared" si="19"/>
        <v>2218010000</v>
      </c>
      <c r="AP35" s="23">
        <f>AD35*Priser!F37</f>
        <v>8380043975.3814106</v>
      </c>
      <c r="AR35">
        <f t="shared" si="20"/>
        <v>2050</v>
      </c>
      <c r="AS35" s="25">
        <f>(P35-N35)*utkast1!R35</f>
        <v>0</v>
      </c>
      <c r="AT35">
        <f t="shared" si="1"/>
        <v>2050</v>
      </c>
      <c r="AU35" s="25">
        <f>(AC35-Z35)*utkast1!R35</f>
        <v>916795474.07381797</v>
      </c>
      <c r="AV35" s="25">
        <f>(AP35-AN35)*utkast1!R35</f>
        <v>686614879.75780821</v>
      </c>
    </row>
    <row r="38" spans="2:48" ht="26" x14ac:dyDescent="0.3">
      <c r="B38" s="85" t="s">
        <v>292</v>
      </c>
    </row>
    <row r="40" spans="2:48" ht="17" thickBot="1" x14ac:dyDescent="0.25"/>
    <row r="41" spans="2:48" x14ac:dyDescent="0.2">
      <c r="B41" s="119" t="s">
        <v>279</v>
      </c>
      <c r="C41" s="120" t="s">
        <v>95</v>
      </c>
      <c r="D41" s="120" t="s">
        <v>3</v>
      </c>
      <c r="E41" s="121" t="s">
        <v>274</v>
      </c>
    </row>
    <row r="42" spans="2:48" x14ac:dyDescent="0.2">
      <c r="B42" s="102" t="s">
        <v>23</v>
      </c>
      <c r="C42" s="109">
        <f>P8+NPV(0.07,P9:P35)</f>
        <v>189703280883.38196</v>
      </c>
      <c r="D42" s="109">
        <f>AC8+NPV(0.07,AC9:AC35)</f>
        <v>306070902185.4931</v>
      </c>
      <c r="E42" s="110">
        <f>AP8+NPV(0.07,AP9:AP35)</f>
        <v>298097384954.1153</v>
      </c>
    </row>
    <row r="43" spans="2:48" x14ac:dyDescent="0.2">
      <c r="B43" s="102" t="s">
        <v>280</v>
      </c>
      <c r="C43" s="88">
        <v>0</v>
      </c>
      <c r="D43" s="109">
        <f>13200000000+AB8+NPV(0.07,AB9:AB28)</f>
        <v>14954884502.585569</v>
      </c>
      <c r="E43" s="103">
        <f>6200000000</f>
        <v>6200000000</v>
      </c>
    </row>
    <row r="44" spans="2:48" x14ac:dyDescent="0.2">
      <c r="B44" s="111" t="s">
        <v>178</v>
      </c>
      <c r="C44" s="95">
        <f>O8+NPV(0.07,O9:O35)</f>
        <v>18085729676.160271</v>
      </c>
      <c r="D44" s="95">
        <f>Z8+NPV(0.07,Z9:Z35)</f>
        <v>47467193334.512367</v>
      </c>
      <c r="E44" s="112">
        <f>AO8+NPV(0.07,AO9:AO35)</f>
        <v>27310279087.987705</v>
      </c>
    </row>
    <row r="45" spans="2:48" ht="17" thickBot="1" x14ac:dyDescent="0.25">
      <c r="B45" s="113" t="s">
        <v>281</v>
      </c>
      <c r="C45" s="96">
        <f>C42-C43-C44</f>
        <v>171617551207.22168</v>
      </c>
      <c r="D45" s="96">
        <f>D42-D43-D44</f>
        <v>243648824348.39517</v>
      </c>
      <c r="E45" s="118">
        <f>E42-E43-E44</f>
        <v>264587105866.12759</v>
      </c>
    </row>
    <row r="46" spans="2:48" x14ac:dyDescent="0.2">
      <c r="B46" s="102" t="s">
        <v>283</v>
      </c>
      <c r="C46" s="109">
        <f>C45*0.78</f>
        <v>133861689941.63292</v>
      </c>
      <c r="D46" s="109">
        <f>D45*0.78</f>
        <v>190046082991.74823</v>
      </c>
      <c r="E46" s="110">
        <f>E45*0.78</f>
        <v>206377942575.57953</v>
      </c>
    </row>
    <row r="47" spans="2:48" ht="17" thickBot="1" x14ac:dyDescent="0.25">
      <c r="B47" s="104" t="s">
        <v>282</v>
      </c>
      <c r="C47" s="81">
        <f>C45-C46</f>
        <v>37755861265.58876</v>
      </c>
      <c r="D47" s="81">
        <f>D45-D46</f>
        <v>53602741356.646942</v>
      </c>
      <c r="E47" s="114">
        <f>E45-E46</f>
        <v>58209163290.548065</v>
      </c>
    </row>
    <row r="51" spans="2:7" ht="17" thickBot="1" x14ac:dyDescent="0.25"/>
    <row r="52" spans="2:7" ht="17" thickBot="1" x14ac:dyDescent="0.25">
      <c r="B52" s="115" t="s">
        <v>279</v>
      </c>
      <c r="C52" s="116" t="str">
        <f>C41</f>
        <v>Nullalternativ</v>
      </c>
      <c r="D52" s="116" t="s">
        <v>3</v>
      </c>
      <c r="E52" s="117" t="s">
        <v>274</v>
      </c>
    </row>
    <row r="53" spans="2:7" x14ac:dyDescent="0.2">
      <c r="B53" s="102" t="s">
        <v>23</v>
      </c>
      <c r="C53" s="88">
        <f t="shared" ref="C53:C56" si="35">C42</f>
        <v>189703280883.38196</v>
      </c>
      <c r="D53" s="109">
        <f>D42-C42</f>
        <v>116367621302.11115</v>
      </c>
      <c r="E53" s="110">
        <f>E42-C42</f>
        <v>108394104070.73334</v>
      </c>
    </row>
    <row r="54" spans="2:7" x14ac:dyDescent="0.2">
      <c r="B54" s="102" t="s">
        <v>280</v>
      </c>
      <c r="C54" s="88">
        <f t="shared" si="35"/>
        <v>0</v>
      </c>
      <c r="D54" s="109">
        <f>D43</f>
        <v>14954884502.585569</v>
      </c>
      <c r="E54" s="110">
        <f>E43</f>
        <v>6200000000</v>
      </c>
    </row>
    <row r="55" spans="2:7" x14ac:dyDescent="0.2">
      <c r="B55" s="111" t="s">
        <v>178</v>
      </c>
      <c r="C55" s="87">
        <f t="shared" si="35"/>
        <v>18085729676.160271</v>
      </c>
      <c r="D55" s="95">
        <f>D44-C44</f>
        <v>29381463658.352097</v>
      </c>
      <c r="E55" s="112">
        <f>E44-C44</f>
        <v>9224549411.8274345</v>
      </c>
      <c r="G55" s="7"/>
    </row>
    <row r="56" spans="2:7" ht="17" thickBot="1" x14ac:dyDescent="0.25">
      <c r="B56" s="113" t="s">
        <v>281</v>
      </c>
      <c r="C56" s="82">
        <f t="shared" si="35"/>
        <v>171617551207.22168</v>
      </c>
      <c r="D56" s="81">
        <f>D45-C45</f>
        <v>72031273141.173492</v>
      </c>
      <c r="E56" s="114">
        <f>E45-C45</f>
        <v>92969554658.905914</v>
      </c>
    </row>
    <row r="57" spans="2:7" x14ac:dyDescent="0.2">
      <c r="B57" s="102" t="s">
        <v>283</v>
      </c>
      <c r="C57" s="88">
        <f>C46</f>
        <v>133861689941.63292</v>
      </c>
      <c r="D57" s="109">
        <f>D46-C46</f>
        <v>56184393050.115311</v>
      </c>
      <c r="E57" s="110">
        <f>E46-C46</f>
        <v>72516252633.946609</v>
      </c>
    </row>
    <row r="58" spans="2:7" ht="17" thickBot="1" x14ac:dyDescent="0.25">
      <c r="B58" s="104" t="s">
        <v>282</v>
      </c>
      <c r="C58" s="82">
        <f>C47</f>
        <v>37755861265.58876</v>
      </c>
      <c r="D58" s="81">
        <f>D56-D57</f>
        <v>15846880091.058182</v>
      </c>
      <c r="E58" s="114">
        <f>E47-C47</f>
        <v>20453302024.959305</v>
      </c>
    </row>
    <row r="59" spans="2:7" x14ac:dyDescent="0.2">
      <c r="C59" s="23"/>
      <c r="D59" s="25"/>
    </row>
    <row r="62" spans="2:7" ht="26" x14ac:dyDescent="0.3">
      <c r="B62" s="85" t="s">
        <v>293</v>
      </c>
    </row>
    <row r="63" spans="2:7" ht="17" thickBot="1" x14ac:dyDescent="0.25"/>
    <row r="64" spans="2:7" ht="17" thickBot="1" x14ac:dyDescent="0.25">
      <c r="B64" s="106" t="s">
        <v>309</v>
      </c>
      <c r="C64" s="107" t="s">
        <v>297</v>
      </c>
      <c r="D64" s="107" t="s">
        <v>3</v>
      </c>
      <c r="E64" s="108" t="s">
        <v>274</v>
      </c>
    </row>
    <row r="65" spans="2:6" x14ac:dyDescent="0.2">
      <c r="B65" s="99" t="s">
        <v>295</v>
      </c>
      <c r="C65" s="100">
        <f>P8+NPV(0.07,P9:P35)</f>
        <v>189703280883.38196</v>
      </c>
      <c r="D65" s="100">
        <f>AC8+NPV(0.07,AC9:AC35)</f>
        <v>306070902185.4931</v>
      </c>
      <c r="E65" s="101">
        <f>AP8+NPV(0.07,AP9:AP35)</f>
        <v>298097384954.1153</v>
      </c>
    </row>
    <row r="66" spans="2:6" x14ac:dyDescent="0.2">
      <c r="B66" s="102" t="s">
        <v>118</v>
      </c>
      <c r="C66" s="88">
        <v>0</v>
      </c>
      <c r="D66" s="88">
        <f>D43</f>
        <v>14954884502.585569</v>
      </c>
      <c r="E66" s="103">
        <f>E43</f>
        <v>6200000000</v>
      </c>
    </row>
    <row r="67" spans="2:6" x14ac:dyDescent="0.2">
      <c r="B67" s="102" t="s">
        <v>36</v>
      </c>
      <c r="C67" s="88">
        <f>O8+NPV(0.07,O9:O35)</f>
        <v>18085729676.160271</v>
      </c>
      <c r="D67" s="88">
        <f>AA8+NPV(0.07,AA9:AA35)</f>
        <v>31804076677.344898</v>
      </c>
      <c r="E67" s="103">
        <f>AO8+NPV(0.07,AO9:AO35)</f>
        <v>27310279087.987705</v>
      </c>
    </row>
    <row r="68" spans="2:6" x14ac:dyDescent="0.2">
      <c r="B68" s="102" t="s">
        <v>203</v>
      </c>
      <c r="C68" s="88">
        <v>0</v>
      </c>
      <c r="D68" s="88">
        <f>NPV(0.07,'El-markedet 2'!L57:L83)</f>
        <v>26449946498.03735</v>
      </c>
      <c r="E68" s="103">
        <v>0</v>
      </c>
    </row>
    <row r="69" spans="2:6" ht="17" thickBot="1" x14ac:dyDescent="0.25">
      <c r="B69" s="104" t="s">
        <v>296</v>
      </c>
      <c r="C69" s="82">
        <v>0</v>
      </c>
      <c r="D69" s="82">
        <f>M8+NPV(0.07,Resultater!M9:M35)</f>
        <v>15663116657.16745</v>
      </c>
      <c r="E69" s="105">
        <f>D69-(AL8+NPV(0.07,AL9:AL35))</f>
        <v>-7665445107.4697914</v>
      </c>
    </row>
    <row r="74" spans="2:6" ht="17" thickBot="1" x14ac:dyDescent="0.25">
      <c r="B74" s="38" t="s">
        <v>300</v>
      </c>
      <c r="C74" s="39" t="s">
        <v>3</v>
      </c>
      <c r="D74" s="39" t="s">
        <v>274</v>
      </c>
    </row>
    <row r="75" spans="2:6" x14ac:dyDescent="0.2">
      <c r="B75" t="s">
        <v>295</v>
      </c>
      <c r="C75" s="25">
        <f>D65-C65</f>
        <v>116367621302.11115</v>
      </c>
      <c r="D75" s="25">
        <f>E65-C65</f>
        <v>108394104070.73334</v>
      </c>
    </row>
    <row r="76" spans="2:6" x14ac:dyDescent="0.2">
      <c r="B76" t="s">
        <v>118</v>
      </c>
      <c r="C76" s="25">
        <f>D66-C66</f>
        <v>14954884502.585569</v>
      </c>
      <c r="D76" s="25">
        <f>E66-C66</f>
        <v>6200000000</v>
      </c>
    </row>
    <row r="77" spans="2:6" x14ac:dyDescent="0.2">
      <c r="B77" t="s">
        <v>36</v>
      </c>
      <c r="C77" s="25">
        <f>D67-C67</f>
        <v>13718347001.184628</v>
      </c>
      <c r="D77" s="25">
        <f>E67-C67</f>
        <v>9224549411.8274345</v>
      </c>
    </row>
    <row r="78" spans="2:6" x14ac:dyDescent="0.2">
      <c r="B78" t="s">
        <v>203</v>
      </c>
      <c r="C78" s="25">
        <f>D68-C68</f>
        <v>26449946498.03735</v>
      </c>
      <c r="D78" s="25">
        <f>E68-C68</f>
        <v>0</v>
      </c>
    </row>
    <row r="79" spans="2:6" x14ac:dyDescent="0.2">
      <c r="B79" s="35" t="s">
        <v>298</v>
      </c>
      <c r="C79" s="95">
        <f>D69-C69</f>
        <v>15663116657.16745</v>
      </c>
      <c r="D79" s="98">
        <f>E69-C69</f>
        <v>-7665445107.4697914</v>
      </c>
    </row>
    <row r="80" spans="2:6" x14ac:dyDescent="0.2">
      <c r="B80" s="97" t="s">
        <v>209</v>
      </c>
      <c r="C80" s="25">
        <f>C75+C79-C76-C77-C78</f>
        <v>76907559957.471039</v>
      </c>
      <c r="D80" s="25">
        <f>D75-D76-D77+D79</f>
        <v>85304109551.436111</v>
      </c>
      <c r="F80" s="25"/>
    </row>
    <row r="81" spans="2:4" x14ac:dyDescent="0.2">
      <c r="B81" s="97" t="s">
        <v>299</v>
      </c>
      <c r="C81" s="25">
        <f>C80/(C76+C77)</f>
        <v>2.6822076174901524</v>
      </c>
      <c r="D81" s="25">
        <f>D80/D76</f>
        <v>13.758727347005824</v>
      </c>
    </row>
    <row r="82" spans="2:4" x14ac:dyDescent="0.2">
      <c r="B82" s="97" t="s">
        <v>248</v>
      </c>
      <c r="C82" s="25">
        <f>(C76+C77+C78)/SUM(G8:G20)</f>
        <v>4988.52289609118</v>
      </c>
    </row>
    <row r="85" spans="2:4" ht="26" x14ac:dyDescent="0.3">
      <c r="B85" s="85" t="s">
        <v>301</v>
      </c>
    </row>
    <row r="87" spans="2:4" x14ac:dyDescent="0.2">
      <c r="B87" s="70" t="s">
        <v>308</v>
      </c>
      <c r="C87" s="25" t="s">
        <v>3</v>
      </c>
      <c r="D87" s="25" t="s">
        <v>274</v>
      </c>
    </row>
    <row r="88" spans="2:4" x14ac:dyDescent="0.2">
      <c r="B88" s="70" t="s">
        <v>187</v>
      </c>
      <c r="C88" s="25">
        <f>D66*0.56</f>
        <v>8374735321.4479198</v>
      </c>
      <c r="D88" s="25">
        <f>E66*0.56</f>
        <v>3472000000.0000005</v>
      </c>
    </row>
    <row r="89" spans="2:4" x14ac:dyDescent="0.2">
      <c r="B89" s="34" t="s">
        <v>184</v>
      </c>
      <c r="C89" s="25">
        <f>C65-C67</f>
        <v>171617551207.22168</v>
      </c>
      <c r="D89" s="25">
        <f>C65-C67</f>
        <v>171617551207.22168</v>
      </c>
    </row>
    <row r="90" spans="2:4" x14ac:dyDescent="0.2">
      <c r="B90" s="34" t="s">
        <v>302</v>
      </c>
      <c r="C90" s="25">
        <f>D65-D66-D67</f>
        <v>259311941005.56262</v>
      </c>
      <c r="D90" s="25">
        <f>E65-E66-E67</f>
        <v>264587105866.12759</v>
      </c>
    </row>
    <row r="91" spans="2:4" x14ac:dyDescent="0.2">
      <c r="B91" s="34" t="s">
        <v>186</v>
      </c>
      <c r="C91" s="25">
        <f>C90-C89</f>
        <v>87694389798.340942</v>
      </c>
      <c r="D91" s="25">
        <f>D90-D89</f>
        <v>92969554658.905914</v>
      </c>
    </row>
    <row r="92" spans="2:4" ht="17" thickBot="1" x14ac:dyDescent="0.25">
      <c r="B92" s="38" t="s">
        <v>190</v>
      </c>
      <c r="C92" s="81">
        <f>C91*0.56</f>
        <v>49108858287.07093</v>
      </c>
      <c r="D92" s="81">
        <f>D91*0.56</f>
        <v>52062950608.98732</v>
      </c>
    </row>
    <row r="93" spans="2:4" x14ac:dyDescent="0.2">
      <c r="B93" t="s">
        <v>188</v>
      </c>
      <c r="C93" s="25">
        <f>C92-C88</f>
        <v>40734122965.623009</v>
      </c>
      <c r="D93" s="25">
        <f>D92-D88</f>
        <v>48590950608.98732</v>
      </c>
    </row>
    <row r="94" spans="2:4" x14ac:dyDescent="0.2">
      <c r="B94" t="s">
        <v>303</v>
      </c>
      <c r="C94" s="25">
        <f>C93*0.2</f>
        <v>8146824593.1246023</v>
      </c>
      <c r="D94" s="25">
        <f>D93*0.2</f>
        <v>9718190121.7974644</v>
      </c>
    </row>
    <row r="98" spans="2:4" ht="26" x14ac:dyDescent="0.3">
      <c r="B98" s="85"/>
    </row>
    <row r="101" spans="2:4" x14ac:dyDescent="0.2">
      <c r="C101" s="25"/>
      <c r="D101" s="25"/>
    </row>
    <row r="102" spans="2:4" x14ac:dyDescent="0.2">
      <c r="C102" s="25"/>
      <c r="D102" s="25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AFB4-5CC5-674A-B0C6-BF0CDF8EBF85}">
  <dimension ref="B5:U38"/>
  <sheetViews>
    <sheetView topLeftCell="D1" workbookViewId="0">
      <selection activeCell="H35" sqref="H35"/>
    </sheetView>
  </sheetViews>
  <sheetFormatPr baseColWidth="10" defaultRowHeight="16" x14ac:dyDescent="0.2"/>
  <cols>
    <col min="2" max="3" width="14.5" customWidth="1"/>
    <col min="4" max="4" width="20.33203125" customWidth="1"/>
    <col min="5" max="6" width="20.6640625" customWidth="1"/>
    <col min="7" max="7" width="25.33203125" customWidth="1"/>
    <col min="8" max="9" width="18.6640625" customWidth="1"/>
    <col min="10" max="10" width="15.5" customWidth="1"/>
    <col min="11" max="11" width="15.33203125" customWidth="1"/>
    <col min="12" max="12" width="13.5" customWidth="1"/>
    <col min="13" max="13" width="13.83203125" customWidth="1"/>
    <col min="15" max="15" width="12.1640625" bestFit="1" customWidth="1"/>
    <col min="17" max="17" width="11.1640625" bestFit="1" customWidth="1"/>
    <col min="18" max="18" width="20" bestFit="1" customWidth="1"/>
    <col min="19" max="20" width="13.1640625" customWidth="1"/>
    <col min="21" max="21" width="20" customWidth="1"/>
  </cols>
  <sheetData>
    <row r="5" spans="2:21" x14ac:dyDescent="0.2">
      <c r="B5" t="s">
        <v>19</v>
      </c>
      <c r="C5" t="s">
        <v>156</v>
      </c>
      <c r="D5" t="s">
        <v>155</v>
      </c>
      <c r="E5" t="s">
        <v>231</v>
      </c>
      <c r="F5" t="s">
        <v>247</v>
      </c>
      <c r="G5" t="s">
        <v>232</v>
      </c>
      <c r="H5" t="s">
        <v>233</v>
      </c>
      <c r="I5" t="s">
        <v>240</v>
      </c>
      <c r="J5" s="94" t="s">
        <v>234</v>
      </c>
      <c r="K5" t="s">
        <v>235</v>
      </c>
      <c r="L5" t="s">
        <v>236</v>
      </c>
      <c r="M5" t="s">
        <v>23</v>
      </c>
      <c r="N5" t="s">
        <v>8</v>
      </c>
      <c r="O5" t="s">
        <v>237</v>
      </c>
      <c r="P5" t="s">
        <v>241</v>
      </c>
      <c r="Q5" t="s">
        <v>243</v>
      </c>
      <c r="S5" t="s">
        <v>244</v>
      </c>
      <c r="T5" t="s">
        <v>246</v>
      </c>
      <c r="U5" t="s">
        <v>245</v>
      </c>
    </row>
    <row r="6" spans="2:21" x14ac:dyDescent="0.2">
      <c r="B6">
        <v>2023</v>
      </c>
      <c r="C6">
        <v>0</v>
      </c>
      <c r="D6" t="s">
        <v>157</v>
      </c>
      <c r="E6">
        <v>4724315</v>
      </c>
      <c r="F6">
        <f>E6*2.221865</f>
        <v>10496790.147475</v>
      </c>
      <c r="G6" s="26">
        <f>20000000*365</f>
        <v>7300000000</v>
      </c>
      <c r="H6" s="26">
        <f>6500000000</f>
        <v>6500000000</v>
      </c>
      <c r="I6" s="26"/>
      <c r="J6">
        <v>10</v>
      </c>
      <c r="K6">
        <v>30</v>
      </c>
      <c r="L6">
        <f>K6*0.126171</f>
        <v>3.7851300000000001</v>
      </c>
      <c r="M6">
        <f>H6*L6</f>
        <v>24603345000</v>
      </c>
      <c r="N6">
        <v>3000</v>
      </c>
      <c r="O6">
        <f>E6*N6</f>
        <v>14172945000</v>
      </c>
      <c r="P6">
        <f>I6*L6</f>
        <v>0</v>
      </c>
      <c r="Q6">
        <v>0</v>
      </c>
      <c r="R6">
        <v>0</v>
      </c>
      <c r="S6">
        <f>J6*0.399812</f>
        <v>3.9981200000000001</v>
      </c>
      <c r="U6">
        <f>T6*S6</f>
        <v>0</v>
      </c>
    </row>
    <row r="7" spans="2:21" x14ac:dyDescent="0.2">
      <c r="B7">
        <v>2024</v>
      </c>
      <c r="C7">
        <v>1</v>
      </c>
      <c r="D7" t="s">
        <v>157</v>
      </c>
      <c r="E7">
        <v>4724315</v>
      </c>
      <c r="F7">
        <f t="shared" ref="F7:F33" si="0">E7*2.221865</f>
        <v>10496790.147475</v>
      </c>
      <c r="G7">
        <f>G6</f>
        <v>7300000000</v>
      </c>
      <c r="H7">
        <f>H6</f>
        <v>6500000000</v>
      </c>
      <c r="J7">
        <v>10</v>
      </c>
      <c r="K7">
        <v>30</v>
      </c>
      <c r="L7">
        <f t="shared" ref="L7:L33" si="1">K7*0.126171</f>
        <v>3.7851300000000001</v>
      </c>
      <c r="M7">
        <f t="shared" ref="M7:M33" si="2">H7*L7</f>
        <v>24603345000</v>
      </c>
      <c r="N7">
        <v>3000</v>
      </c>
      <c r="O7">
        <f t="shared" ref="O7:O33" si="3">E7*N7</f>
        <v>14172945000</v>
      </c>
      <c r="P7">
        <f t="shared" ref="P7:P33" si="4">I7*L7</f>
        <v>0</v>
      </c>
      <c r="Q7">
        <v>0</v>
      </c>
      <c r="R7">
        <v>0</v>
      </c>
      <c r="S7">
        <f>J7*0.399812</f>
        <v>3.9981200000000001</v>
      </c>
      <c r="U7">
        <f t="shared" ref="U7:U33" si="5">T7*S7</f>
        <v>0</v>
      </c>
    </row>
    <row r="8" spans="2:21" x14ac:dyDescent="0.2">
      <c r="B8">
        <v>2025</v>
      </c>
      <c r="C8">
        <v>2</v>
      </c>
      <c r="D8" t="s">
        <v>157</v>
      </c>
      <c r="E8">
        <v>4724315</v>
      </c>
      <c r="F8">
        <f t="shared" si="0"/>
        <v>10496790.147475</v>
      </c>
      <c r="G8">
        <f t="shared" ref="G8:G23" si="6">G7</f>
        <v>7300000000</v>
      </c>
      <c r="H8">
        <f t="shared" ref="H8:H12" si="7">H7</f>
        <v>6500000000</v>
      </c>
      <c r="J8">
        <v>10</v>
      </c>
      <c r="K8">
        <v>30</v>
      </c>
      <c r="L8">
        <f t="shared" si="1"/>
        <v>3.7851300000000001</v>
      </c>
      <c r="M8">
        <f t="shared" si="2"/>
        <v>24603345000</v>
      </c>
      <c r="N8">
        <v>3000</v>
      </c>
      <c r="O8">
        <f t="shared" si="3"/>
        <v>14172945000</v>
      </c>
      <c r="P8">
        <f t="shared" si="4"/>
        <v>0</v>
      </c>
      <c r="Q8">
        <v>0</v>
      </c>
      <c r="R8">
        <v>0</v>
      </c>
      <c r="S8">
        <f t="shared" ref="S8:S32" si="8">J8*0.399812</f>
        <v>3.9981200000000001</v>
      </c>
      <c r="U8">
        <f t="shared" si="5"/>
        <v>0</v>
      </c>
    </row>
    <row r="9" spans="2:21" x14ac:dyDescent="0.2">
      <c r="B9">
        <v>2026</v>
      </c>
      <c r="C9">
        <v>3</v>
      </c>
      <c r="D9" t="s">
        <v>157</v>
      </c>
      <c r="E9">
        <v>4724315</v>
      </c>
      <c r="F9">
        <f t="shared" si="0"/>
        <v>10496790.147475</v>
      </c>
      <c r="G9">
        <f t="shared" si="6"/>
        <v>7300000000</v>
      </c>
      <c r="H9">
        <f t="shared" si="7"/>
        <v>6500000000</v>
      </c>
      <c r="J9">
        <v>10</v>
      </c>
      <c r="K9">
        <v>30</v>
      </c>
      <c r="L9">
        <f t="shared" si="1"/>
        <v>3.7851300000000001</v>
      </c>
      <c r="M9">
        <f t="shared" si="2"/>
        <v>24603345000</v>
      </c>
      <c r="N9">
        <v>3000</v>
      </c>
      <c r="O9">
        <f t="shared" si="3"/>
        <v>14172945000</v>
      </c>
      <c r="P9">
        <f t="shared" si="4"/>
        <v>0</v>
      </c>
      <c r="Q9">
        <v>0</v>
      </c>
      <c r="R9">
        <v>0</v>
      </c>
      <c r="S9">
        <f t="shared" si="8"/>
        <v>3.9981200000000001</v>
      </c>
      <c r="U9">
        <f t="shared" si="5"/>
        <v>0</v>
      </c>
    </row>
    <row r="10" spans="2:21" x14ac:dyDescent="0.2">
      <c r="B10">
        <v>2027</v>
      </c>
      <c r="C10">
        <v>4</v>
      </c>
      <c r="D10" t="s">
        <v>157</v>
      </c>
      <c r="E10">
        <v>4724315</v>
      </c>
      <c r="F10">
        <f t="shared" si="0"/>
        <v>10496790.147475</v>
      </c>
      <c r="G10">
        <f t="shared" si="6"/>
        <v>7300000000</v>
      </c>
      <c r="H10">
        <f t="shared" si="7"/>
        <v>6500000000</v>
      </c>
      <c r="J10">
        <v>10</v>
      </c>
      <c r="K10">
        <v>30</v>
      </c>
      <c r="L10">
        <f t="shared" si="1"/>
        <v>3.7851300000000001</v>
      </c>
      <c r="M10">
        <f t="shared" si="2"/>
        <v>24603345000</v>
      </c>
      <c r="N10">
        <v>3000</v>
      </c>
      <c r="O10">
        <f t="shared" si="3"/>
        <v>14172945000</v>
      </c>
      <c r="P10">
        <f t="shared" si="4"/>
        <v>0</v>
      </c>
      <c r="Q10">
        <v>0</v>
      </c>
      <c r="R10">
        <v>0</v>
      </c>
      <c r="S10">
        <f t="shared" si="8"/>
        <v>3.9981200000000001</v>
      </c>
      <c r="U10">
        <f t="shared" si="5"/>
        <v>0</v>
      </c>
    </row>
    <row r="11" spans="2:21" x14ac:dyDescent="0.2">
      <c r="B11">
        <v>2028</v>
      </c>
      <c r="C11">
        <v>5</v>
      </c>
      <c r="D11" t="s">
        <v>157</v>
      </c>
      <c r="E11">
        <v>4724315</v>
      </c>
      <c r="F11">
        <f t="shared" si="0"/>
        <v>10496790.147475</v>
      </c>
      <c r="G11">
        <f t="shared" si="6"/>
        <v>7300000000</v>
      </c>
      <c r="H11">
        <f t="shared" si="7"/>
        <v>6500000000</v>
      </c>
      <c r="I11">
        <f>I13</f>
        <v>100000000</v>
      </c>
      <c r="J11">
        <v>10</v>
      </c>
      <c r="K11">
        <v>30</v>
      </c>
      <c r="L11">
        <f t="shared" si="1"/>
        <v>3.7851300000000001</v>
      </c>
      <c r="M11">
        <f t="shared" si="2"/>
        <v>24603345000</v>
      </c>
      <c r="N11">
        <v>3000</v>
      </c>
      <c r="O11">
        <f t="shared" si="3"/>
        <v>14172945000</v>
      </c>
      <c r="P11">
        <f t="shared" si="4"/>
        <v>378513000</v>
      </c>
      <c r="Q11">
        <v>0</v>
      </c>
      <c r="R11">
        <f>M6</f>
        <v>24603345000</v>
      </c>
      <c r="S11">
        <f t="shared" si="8"/>
        <v>3.9981200000000001</v>
      </c>
      <c r="T11">
        <f>H6</f>
        <v>6500000000</v>
      </c>
      <c r="U11">
        <f t="shared" si="5"/>
        <v>25987780000</v>
      </c>
    </row>
    <row r="12" spans="2:21" x14ac:dyDescent="0.2">
      <c r="B12">
        <v>2029</v>
      </c>
      <c r="C12">
        <v>6</v>
      </c>
      <c r="D12" t="s">
        <v>157</v>
      </c>
      <c r="E12">
        <v>4724315</v>
      </c>
      <c r="F12">
        <f t="shared" si="0"/>
        <v>10496790.147475</v>
      </c>
      <c r="G12">
        <f t="shared" si="6"/>
        <v>7300000000</v>
      </c>
      <c r="H12">
        <f t="shared" si="7"/>
        <v>6500000000</v>
      </c>
      <c r="I12">
        <f>I14</f>
        <v>100000000</v>
      </c>
      <c r="J12">
        <v>10</v>
      </c>
      <c r="K12">
        <v>30</v>
      </c>
      <c r="L12">
        <f t="shared" si="1"/>
        <v>3.7851300000000001</v>
      </c>
      <c r="M12">
        <f t="shared" si="2"/>
        <v>24603345000</v>
      </c>
      <c r="N12">
        <v>3000</v>
      </c>
      <c r="O12">
        <f t="shared" si="3"/>
        <v>14172945000</v>
      </c>
      <c r="P12">
        <f t="shared" si="4"/>
        <v>378513000</v>
      </c>
      <c r="Q12">
        <v>0</v>
      </c>
      <c r="R12">
        <f>R11</f>
        <v>24603345000</v>
      </c>
      <c r="S12">
        <f t="shared" si="8"/>
        <v>3.9981200000000001</v>
      </c>
      <c r="T12">
        <f>T11</f>
        <v>6500000000</v>
      </c>
      <c r="U12">
        <f t="shared" si="5"/>
        <v>25987780000</v>
      </c>
    </row>
    <row r="13" spans="2:21" x14ac:dyDescent="0.2">
      <c r="B13">
        <v>2030</v>
      </c>
      <c r="C13">
        <v>7</v>
      </c>
      <c r="D13" t="s">
        <v>158</v>
      </c>
      <c r="E13">
        <f>345880+E6</f>
        <v>5070195</v>
      </c>
      <c r="F13">
        <f t="shared" si="0"/>
        <v>11265288.813675001</v>
      </c>
      <c r="G13">
        <f t="shared" si="6"/>
        <v>7300000000</v>
      </c>
      <c r="H13">
        <f>G6</f>
        <v>7300000000</v>
      </c>
      <c r="I13">
        <f>7400000000-G6</f>
        <v>100000000</v>
      </c>
      <c r="J13">
        <v>9.5</v>
      </c>
      <c r="K13">
        <v>30</v>
      </c>
      <c r="L13">
        <f t="shared" si="1"/>
        <v>3.7851300000000001</v>
      </c>
      <c r="M13">
        <f t="shared" si="2"/>
        <v>27631449000</v>
      </c>
      <c r="N13">
        <v>3000</v>
      </c>
      <c r="O13">
        <f t="shared" si="3"/>
        <v>15210585000</v>
      </c>
      <c r="P13">
        <f t="shared" si="4"/>
        <v>378513000</v>
      </c>
      <c r="Q13">
        <f>H13</f>
        <v>7300000000</v>
      </c>
      <c r="R13">
        <f t="shared" ref="R13:R26" si="9">R12</f>
        <v>24603345000</v>
      </c>
      <c r="S13">
        <f t="shared" si="8"/>
        <v>3.7982140000000002</v>
      </c>
      <c r="T13">
        <f t="shared" ref="T13:T26" si="10">T12</f>
        <v>6500000000</v>
      </c>
      <c r="U13">
        <f t="shared" si="5"/>
        <v>24688391000</v>
      </c>
    </row>
    <row r="14" spans="2:21" x14ac:dyDescent="0.2">
      <c r="B14">
        <v>2031</v>
      </c>
      <c r="C14">
        <v>8</v>
      </c>
      <c r="D14" t="s">
        <v>158</v>
      </c>
      <c r="E14">
        <f t="shared" ref="E14:E23" si="11">345880+E7</f>
        <v>5070195</v>
      </c>
      <c r="F14">
        <f t="shared" si="0"/>
        <v>11265288.813675001</v>
      </c>
      <c r="G14">
        <f t="shared" si="6"/>
        <v>7300000000</v>
      </c>
      <c r="H14">
        <f t="shared" ref="H14:H23" si="12">G7</f>
        <v>7300000000</v>
      </c>
      <c r="I14">
        <f>I13</f>
        <v>100000000</v>
      </c>
      <c r="J14">
        <v>9.5</v>
      </c>
      <c r="K14">
        <v>30</v>
      </c>
      <c r="L14">
        <f t="shared" si="1"/>
        <v>3.7851300000000001</v>
      </c>
      <c r="M14">
        <f t="shared" si="2"/>
        <v>27631449000</v>
      </c>
      <c r="N14">
        <v>3000</v>
      </c>
      <c r="O14">
        <f t="shared" si="3"/>
        <v>15210585000</v>
      </c>
      <c r="P14">
        <f t="shared" si="4"/>
        <v>378513000</v>
      </c>
      <c r="Q14">
        <f t="shared" ref="Q14:Q33" si="13">H14</f>
        <v>7300000000</v>
      </c>
      <c r="R14">
        <f t="shared" si="9"/>
        <v>24603345000</v>
      </c>
      <c r="S14">
        <f t="shared" si="8"/>
        <v>3.7982140000000002</v>
      </c>
      <c r="T14">
        <f t="shared" si="10"/>
        <v>6500000000</v>
      </c>
      <c r="U14">
        <f t="shared" si="5"/>
        <v>24688391000</v>
      </c>
    </row>
    <row r="15" spans="2:21" x14ac:dyDescent="0.2">
      <c r="B15">
        <v>2032</v>
      </c>
      <c r="C15">
        <v>9</v>
      </c>
      <c r="D15" t="s">
        <v>158</v>
      </c>
      <c r="E15">
        <f t="shared" si="11"/>
        <v>5070195</v>
      </c>
      <c r="F15">
        <f t="shared" si="0"/>
        <v>11265288.813675001</v>
      </c>
      <c r="G15">
        <f t="shared" si="6"/>
        <v>7300000000</v>
      </c>
      <c r="H15">
        <f t="shared" si="12"/>
        <v>7300000000</v>
      </c>
      <c r="I15">
        <f t="shared" ref="I15:I26" si="14">I14</f>
        <v>100000000</v>
      </c>
      <c r="J15">
        <v>9.5</v>
      </c>
      <c r="K15">
        <v>30</v>
      </c>
      <c r="L15">
        <f t="shared" si="1"/>
        <v>3.7851300000000001</v>
      </c>
      <c r="M15">
        <f t="shared" si="2"/>
        <v>27631449000</v>
      </c>
      <c r="N15">
        <v>3000</v>
      </c>
      <c r="O15">
        <f t="shared" si="3"/>
        <v>15210585000</v>
      </c>
      <c r="P15">
        <f t="shared" si="4"/>
        <v>378513000</v>
      </c>
      <c r="Q15">
        <f t="shared" si="13"/>
        <v>7300000000</v>
      </c>
      <c r="R15">
        <f t="shared" si="9"/>
        <v>24603345000</v>
      </c>
      <c r="S15">
        <f t="shared" si="8"/>
        <v>3.7982140000000002</v>
      </c>
      <c r="T15">
        <f t="shared" si="10"/>
        <v>6500000000</v>
      </c>
      <c r="U15">
        <f t="shared" si="5"/>
        <v>24688391000</v>
      </c>
    </row>
    <row r="16" spans="2:21" x14ac:dyDescent="0.2">
      <c r="B16">
        <v>2033</v>
      </c>
      <c r="C16">
        <v>10</v>
      </c>
      <c r="D16" t="s">
        <v>158</v>
      </c>
      <c r="E16">
        <f t="shared" si="11"/>
        <v>5070195</v>
      </c>
      <c r="F16">
        <f t="shared" si="0"/>
        <v>11265288.813675001</v>
      </c>
      <c r="G16">
        <f t="shared" si="6"/>
        <v>7300000000</v>
      </c>
      <c r="H16">
        <f t="shared" si="12"/>
        <v>7300000000</v>
      </c>
      <c r="I16">
        <f t="shared" si="14"/>
        <v>100000000</v>
      </c>
      <c r="J16">
        <v>9.5</v>
      </c>
      <c r="K16">
        <v>30</v>
      </c>
      <c r="L16">
        <f t="shared" si="1"/>
        <v>3.7851300000000001</v>
      </c>
      <c r="M16">
        <f t="shared" si="2"/>
        <v>27631449000</v>
      </c>
      <c r="N16">
        <v>3000</v>
      </c>
      <c r="O16">
        <f t="shared" si="3"/>
        <v>15210585000</v>
      </c>
      <c r="P16">
        <f t="shared" si="4"/>
        <v>378513000</v>
      </c>
      <c r="Q16">
        <f t="shared" si="13"/>
        <v>7300000000</v>
      </c>
      <c r="R16">
        <f t="shared" si="9"/>
        <v>24603345000</v>
      </c>
      <c r="S16">
        <f t="shared" si="8"/>
        <v>3.7982140000000002</v>
      </c>
      <c r="T16">
        <f t="shared" si="10"/>
        <v>6500000000</v>
      </c>
      <c r="U16">
        <f t="shared" si="5"/>
        <v>24688391000</v>
      </c>
    </row>
    <row r="17" spans="2:21" x14ac:dyDescent="0.2">
      <c r="B17">
        <v>2034</v>
      </c>
      <c r="C17">
        <v>11</v>
      </c>
      <c r="D17" t="s">
        <v>158</v>
      </c>
      <c r="E17">
        <f t="shared" si="11"/>
        <v>5070195</v>
      </c>
      <c r="F17">
        <f t="shared" si="0"/>
        <v>11265288.813675001</v>
      </c>
      <c r="G17">
        <f t="shared" si="6"/>
        <v>7300000000</v>
      </c>
      <c r="H17">
        <f t="shared" si="12"/>
        <v>7300000000</v>
      </c>
      <c r="I17">
        <f t="shared" si="14"/>
        <v>100000000</v>
      </c>
      <c r="J17">
        <v>9.5</v>
      </c>
      <c r="K17">
        <v>30</v>
      </c>
      <c r="L17">
        <f t="shared" si="1"/>
        <v>3.7851300000000001</v>
      </c>
      <c r="M17">
        <f t="shared" si="2"/>
        <v>27631449000</v>
      </c>
      <c r="N17">
        <v>3000</v>
      </c>
      <c r="O17">
        <f t="shared" si="3"/>
        <v>15210585000</v>
      </c>
      <c r="P17">
        <f t="shared" si="4"/>
        <v>378513000</v>
      </c>
      <c r="Q17">
        <f t="shared" si="13"/>
        <v>7300000000</v>
      </c>
      <c r="R17">
        <f t="shared" si="9"/>
        <v>24603345000</v>
      </c>
      <c r="S17">
        <f t="shared" si="8"/>
        <v>3.7982140000000002</v>
      </c>
      <c r="T17">
        <f t="shared" si="10"/>
        <v>6500000000</v>
      </c>
      <c r="U17">
        <f t="shared" si="5"/>
        <v>24688391000</v>
      </c>
    </row>
    <row r="18" spans="2:21" x14ac:dyDescent="0.2">
      <c r="B18">
        <v>2035</v>
      </c>
      <c r="C18">
        <v>12</v>
      </c>
      <c r="D18" t="s">
        <v>158</v>
      </c>
      <c r="E18">
        <f t="shared" si="11"/>
        <v>5070195</v>
      </c>
      <c r="F18">
        <f t="shared" si="0"/>
        <v>11265288.813675001</v>
      </c>
      <c r="G18">
        <f t="shared" si="6"/>
        <v>7300000000</v>
      </c>
      <c r="H18">
        <f t="shared" si="12"/>
        <v>7300000000</v>
      </c>
      <c r="I18">
        <f t="shared" si="14"/>
        <v>100000000</v>
      </c>
      <c r="J18">
        <v>9</v>
      </c>
      <c r="K18">
        <v>30</v>
      </c>
      <c r="L18">
        <f t="shared" si="1"/>
        <v>3.7851300000000001</v>
      </c>
      <c r="M18">
        <f t="shared" si="2"/>
        <v>27631449000</v>
      </c>
      <c r="N18">
        <v>3000</v>
      </c>
      <c r="O18">
        <f t="shared" si="3"/>
        <v>15210585000</v>
      </c>
      <c r="P18">
        <f t="shared" si="4"/>
        <v>378513000</v>
      </c>
      <c r="Q18">
        <f t="shared" si="13"/>
        <v>7300000000</v>
      </c>
      <c r="R18">
        <f t="shared" si="9"/>
        <v>24603345000</v>
      </c>
      <c r="S18">
        <f t="shared" si="8"/>
        <v>3.5983079999999998</v>
      </c>
      <c r="T18">
        <f t="shared" si="10"/>
        <v>6500000000</v>
      </c>
      <c r="U18">
        <f t="shared" si="5"/>
        <v>23389002000</v>
      </c>
    </row>
    <row r="19" spans="2:21" x14ac:dyDescent="0.2">
      <c r="B19">
        <v>2036</v>
      </c>
      <c r="C19">
        <v>13</v>
      </c>
      <c r="D19" t="s">
        <v>158</v>
      </c>
      <c r="E19">
        <f t="shared" si="11"/>
        <v>5070195</v>
      </c>
      <c r="F19">
        <f t="shared" si="0"/>
        <v>11265288.813675001</v>
      </c>
      <c r="G19">
        <f t="shared" si="6"/>
        <v>7300000000</v>
      </c>
      <c r="H19">
        <f t="shared" si="12"/>
        <v>7300000000</v>
      </c>
      <c r="I19">
        <f t="shared" si="14"/>
        <v>100000000</v>
      </c>
      <c r="J19">
        <v>9</v>
      </c>
      <c r="K19">
        <v>30</v>
      </c>
      <c r="L19">
        <f t="shared" si="1"/>
        <v>3.7851300000000001</v>
      </c>
      <c r="M19">
        <f t="shared" si="2"/>
        <v>27631449000</v>
      </c>
      <c r="N19">
        <v>3000</v>
      </c>
      <c r="O19">
        <f t="shared" si="3"/>
        <v>15210585000</v>
      </c>
      <c r="P19">
        <f t="shared" si="4"/>
        <v>378513000</v>
      </c>
      <c r="Q19">
        <f t="shared" si="13"/>
        <v>7300000000</v>
      </c>
      <c r="R19">
        <f t="shared" si="9"/>
        <v>24603345000</v>
      </c>
      <c r="S19">
        <f t="shared" si="8"/>
        <v>3.5983079999999998</v>
      </c>
      <c r="T19">
        <f t="shared" si="10"/>
        <v>6500000000</v>
      </c>
      <c r="U19">
        <f t="shared" si="5"/>
        <v>23389002000</v>
      </c>
    </row>
    <row r="20" spans="2:21" x14ac:dyDescent="0.2">
      <c r="B20">
        <v>2037</v>
      </c>
      <c r="C20">
        <v>14</v>
      </c>
      <c r="D20" t="s">
        <v>158</v>
      </c>
      <c r="E20">
        <f t="shared" si="11"/>
        <v>5416075</v>
      </c>
      <c r="F20">
        <f t="shared" si="0"/>
        <v>12033787.479875</v>
      </c>
      <c r="G20">
        <f t="shared" si="6"/>
        <v>7300000000</v>
      </c>
      <c r="H20">
        <f t="shared" si="12"/>
        <v>7300000000</v>
      </c>
      <c r="I20">
        <f t="shared" si="14"/>
        <v>100000000</v>
      </c>
      <c r="J20">
        <v>9</v>
      </c>
      <c r="K20">
        <v>30</v>
      </c>
      <c r="L20">
        <f t="shared" si="1"/>
        <v>3.7851300000000001</v>
      </c>
      <c r="M20">
        <f t="shared" si="2"/>
        <v>27631449000</v>
      </c>
      <c r="N20">
        <v>3000</v>
      </c>
      <c r="O20">
        <f t="shared" si="3"/>
        <v>16248225000</v>
      </c>
      <c r="P20">
        <f t="shared" si="4"/>
        <v>378513000</v>
      </c>
      <c r="Q20">
        <f t="shared" si="13"/>
        <v>7300000000</v>
      </c>
      <c r="R20">
        <f t="shared" si="9"/>
        <v>24603345000</v>
      </c>
      <c r="S20">
        <f t="shared" si="8"/>
        <v>3.5983079999999998</v>
      </c>
      <c r="T20">
        <f t="shared" si="10"/>
        <v>6500000000</v>
      </c>
      <c r="U20">
        <f t="shared" si="5"/>
        <v>23389002000</v>
      </c>
    </row>
    <row r="21" spans="2:21" x14ac:dyDescent="0.2">
      <c r="B21">
        <v>2038</v>
      </c>
      <c r="C21">
        <v>15</v>
      </c>
      <c r="D21" t="s">
        <v>158</v>
      </c>
      <c r="E21">
        <f t="shared" si="11"/>
        <v>5416075</v>
      </c>
      <c r="F21">
        <f t="shared" si="0"/>
        <v>12033787.479875</v>
      </c>
      <c r="G21">
        <f t="shared" si="6"/>
        <v>7300000000</v>
      </c>
      <c r="H21">
        <f t="shared" si="12"/>
        <v>7300000000</v>
      </c>
      <c r="I21">
        <f t="shared" si="14"/>
        <v>100000000</v>
      </c>
      <c r="J21">
        <v>9</v>
      </c>
      <c r="K21">
        <v>31</v>
      </c>
      <c r="L21">
        <f t="shared" si="1"/>
        <v>3.9113010000000004</v>
      </c>
      <c r="M21">
        <f t="shared" si="2"/>
        <v>28552497300.000004</v>
      </c>
      <c r="N21">
        <v>3000</v>
      </c>
      <c r="O21">
        <f t="shared" si="3"/>
        <v>16248225000</v>
      </c>
      <c r="P21">
        <f t="shared" si="4"/>
        <v>391130100.00000006</v>
      </c>
      <c r="Q21">
        <f t="shared" si="13"/>
        <v>7300000000</v>
      </c>
      <c r="R21">
        <f t="shared" si="9"/>
        <v>24603345000</v>
      </c>
      <c r="S21">
        <f t="shared" si="8"/>
        <v>3.5983079999999998</v>
      </c>
      <c r="T21">
        <f t="shared" si="10"/>
        <v>6500000000</v>
      </c>
      <c r="U21">
        <f t="shared" si="5"/>
        <v>23389002000</v>
      </c>
    </row>
    <row r="22" spans="2:21" x14ac:dyDescent="0.2">
      <c r="B22">
        <v>2039</v>
      </c>
      <c r="C22">
        <v>16</v>
      </c>
      <c r="D22" t="s">
        <v>158</v>
      </c>
      <c r="E22">
        <f t="shared" si="11"/>
        <v>5416075</v>
      </c>
      <c r="F22">
        <f t="shared" si="0"/>
        <v>12033787.479875</v>
      </c>
      <c r="G22">
        <f t="shared" si="6"/>
        <v>7300000000</v>
      </c>
      <c r="H22">
        <f t="shared" si="12"/>
        <v>7300000000</v>
      </c>
      <c r="I22">
        <f t="shared" si="14"/>
        <v>100000000</v>
      </c>
      <c r="J22">
        <v>9</v>
      </c>
      <c r="K22">
        <v>31</v>
      </c>
      <c r="L22">
        <f t="shared" si="1"/>
        <v>3.9113010000000004</v>
      </c>
      <c r="M22">
        <f t="shared" si="2"/>
        <v>28552497300.000004</v>
      </c>
      <c r="N22">
        <v>3000</v>
      </c>
      <c r="O22">
        <f t="shared" si="3"/>
        <v>16248225000</v>
      </c>
      <c r="P22">
        <f t="shared" si="4"/>
        <v>391130100.00000006</v>
      </c>
      <c r="Q22">
        <f t="shared" si="13"/>
        <v>7300000000</v>
      </c>
      <c r="R22">
        <f t="shared" si="9"/>
        <v>24603345000</v>
      </c>
      <c r="S22">
        <f t="shared" si="8"/>
        <v>3.5983079999999998</v>
      </c>
      <c r="T22">
        <f t="shared" si="10"/>
        <v>6500000000</v>
      </c>
      <c r="U22">
        <f t="shared" si="5"/>
        <v>23389002000</v>
      </c>
    </row>
    <row r="23" spans="2:21" x14ac:dyDescent="0.2">
      <c r="B23">
        <v>2040</v>
      </c>
      <c r="C23">
        <v>17</v>
      </c>
      <c r="D23" t="s">
        <v>158</v>
      </c>
      <c r="E23">
        <f t="shared" si="11"/>
        <v>5416075</v>
      </c>
      <c r="F23">
        <f t="shared" si="0"/>
        <v>12033787.479875</v>
      </c>
      <c r="G23">
        <f t="shared" si="6"/>
        <v>7300000000</v>
      </c>
      <c r="H23">
        <f t="shared" si="12"/>
        <v>7300000000</v>
      </c>
      <c r="I23">
        <f t="shared" si="14"/>
        <v>100000000</v>
      </c>
      <c r="J23">
        <v>9</v>
      </c>
      <c r="K23">
        <v>31</v>
      </c>
      <c r="L23">
        <f t="shared" si="1"/>
        <v>3.9113010000000004</v>
      </c>
      <c r="M23">
        <f t="shared" si="2"/>
        <v>28552497300.000004</v>
      </c>
      <c r="N23">
        <v>3000</v>
      </c>
      <c r="O23">
        <f t="shared" si="3"/>
        <v>16248225000</v>
      </c>
      <c r="P23">
        <f t="shared" si="4"/>
        <v>391130100.00000006</v>
      </c>
      <c r="Q23">
        <f t="shared" si="13"/>
        <v>7300000000</v>
      </c>
      <c r="R23">
        <f t="shared" si="9"/>
        <v>24603345000</v>
      </c>
      <c r="S23">
        <f t="shared" si="8"/>
        <v>3.5983079999999998</v>
      </c>
      <c r="T23">
        <f t="shared" si="10"/>
        <v>6500000000</v>
      </c>
      <c r="U23">
        <f t="shared" si="5"/>
        <v>23389002000</v>
      </c>
    </row>
    <row r="24" spans="2:21" x14ac:dyDescent="0.2">
      <c r="B24">
        <v>2041</v>
      </c>
      <c r="C24">
        <v>18</v>
      </c>
      <c r="D24" t="s">
        <v>159</v>
      </c>
      <c r="E24">
        <v>0</v>
      </c>
      <c r="F24">
        <f t="shared" si="0"/>
        <v>0</v>
      </c>
      <c r="I24">
        <f t="shared" si="14"/>
        <v>100000000</v>
      </c>
      <c r="J24">
        <v>9</v>
      </c>
      <c r="K24">
        <v>31</v>
      </c>
      <c r="L24">
        <f t="shared" si="1"/>
        <v>3.9113010000000004</v>
      </c>
      <c r="M24">
        <f t="shared" si="2"/>
        <v>0</v>
      </c>
      <c r="N24">
        <v>3000</v>
      </c>
      <c r="O24">
        <f t="shared" si="3"/>
        <v>0</v>
      </c>
      <c r="P24">
        <f t="shared" si="4"/>
        <v>391130100.00000006</v>
      </c>
      <c r="Q24">
        <f t="shared" si="13"/>
        <v>0</v>
      </c>
      <c r="R24">
        <f t="shared" si="9"/>
        <v>24603345000</v>
      </c>
      <c r="S24">
        <f t="shared" si="8"/>
        <v>3.5983079999999998</v>
      </c>
      <c r="T24">
        <f t="shared" si="10"/>
        <v>6500000000</v>
      </c>
      <c r="U24">
        <f t="shared" si="5"/>
        <v>23389002000</v>
      </c>
    </row>
    <row r="25" spans="2:21" x14ac:dyDescent="0.2">
      <c r="B25">
        <v>2042</v>
      </c>
      <c r="C25">
        <v>19</v>
      </c>
      <c r="D25" t="s">
        <v>159</v>
      </c>
      <c r="E25">
        <v>0</v>
      </c>
      <c r="F25">
        <f t="shared" si="0"/>
        <v>0</v>
      </c>
      <c r="I25">
        <f t="shared" si="14"/>
        <v>100000000</v>
      </c>
      <c r="J25">
        <v>9</v>
      </c>
      <c r="K25">
        <v>31</v>
      </c>
      <c r="L25">
        <f t="shared" si="1"/>
        <v>3.9113010000000004</v>
      </c>
      <c r="M25">
        <f t="shared" si="2"/>
        <v>0</v>
      </c>
      <c r="N25">
        <v>3000</v>
      </c>
      <c r="O25">
        <f t="shared" si="3"/>
        <v>0</v>
      </c>
      <c r="P25">
        <f t="shared" si="4"/>
        <v>391130100.00000006</v>
      </c>
      <c r="Q25">
        <f t="shared" si="13"/>
        <v>0</v>
      </c>
      <c r="R25">
        <f t="shared" si="9"/>
        <v>24603345000</v>
      </c>
      <c r="S25">
        <f t="shared" si="8"/>
        <v>3.5983079999999998</v>
      </c>
      <c r="T25">
        <f t="shared" si="10"/>
        <v>6500000000</v>
      </c>
      <c r="U25">
        <f t="shared" si="5"/>
        <v>23389002000</v>
      </c>
    </row>
    <row r="26" spans="2:21" x14ac:dyDescent="0.2">
      <c r="B26">
        <v>2043</v>
      </c>
      <c r="C26">
        <v>20</v>
      </c>
      <c r="D26" t="s">
        <v>159</v>
      </c>
      <c r="E26">
        <v>0</v>
      </c>
      <c r="F26">
        <f t="shared" si="0"/>
        <v>0</v>
      </c>
      <c r="I26">
        <f t="shared" si="14"/>
        <v>100000000</v>
      </c>
      <c r="J26">
        <v>9</v>
      </c>
      <c r="K26">
        <v>31</v>
      </c>
      <c r="L26">
        <f t="shared" si="1"/>
        <v>3.9113010000000004</v>
      </c>
      <c r="M26">
        <f t="shared" si="2"/>
        <v>0</v>
      </c>
      <c r="N26">
        <v>3000</v>
      </c>
      <c r="O26">
        <f t="shared" si="3"/>
        <v>0</v>
      </c>
      <c r="P26">
        <f t="shared" si="4"/>
        <v>391130100.00000006</v>
      </c>
      <c r="Q26">
        <f t="shared" si="13"/>
        <v>0</v>
      </c>
      <c r="R26">
        <f t="shared" si="9"/>
        <v>24603345000</v>
      </c>
      <c r="S26">
        <f t="shared" si="8"/>
        <v>3.5983079999999998</v>
      </c>
      <c r="T26">
        <f t="shared" si="10"/>
        <v>6500000000</v>
      </c>
      <c r="U26">
        <f t="shared" si="5"/>
        <v>23389002000</v>
      </c>
    </row>
    <row r="27" spans="2:21" x14ac:dyDescent="0.2">
      <c r="B27">
        <v>2044</v>
      </c>
      <c r="C27">
        <v>21</v>
      </c>
      <c r="D27" t="s">
        <v>159</v>
      </c>
      <c r="E27">
        <v>0</v>
      </c>
      <c r="F27">
        <f t="shared" si="0"/>
        <v>0</v>
      </c>
      <c r="J27">
        <v>9</v>
      </c>
      <c r="K27">
        <v>31</v>
      </c>
      <c r="L27">
        <f t="shared" si="1"/>
        <v>3.9113010000000004</v>
      </c>
      <c r="M27">
        <f t="shared" si="2"/>
        <v>0</v>
      </c>
      <c r="N27">
        <v>3000</v>
      </c>
      <c r="O27">
        <f t="shared" si="3"/>
        <v>0</v>
      </c>
      <c r="P27">
        <f t="shared" si="4"/>
        <v>0</v>
      </c>
      <c r="Q27">
        <f t="shared" si="13"/>
        <v>0</v>
      </c>
      <c r="S27">
        <f t="shared" si="8"/>
        <v>3.5983079999999998</v>
      </c>
      <c r="U27">
        <f t="shared" si="5"/>
        <v>0</v>
      </c>
    </row>
    <row r="28" spans="2:21" x14ac:dyDescent="0.2">
      <c r="B28">
        <v>2045</v>
      </c>
      <c r="C28">
        <v>22</v>
      </c>
      <c r="D28" t="s">
        <v>159</v>
      </c>
      <c r="E28">
        <v>0</v>
      </c>
      <c r="F28">
        <f t="shared" si="0"/>
        <v>0</v>
      </c>
      <c r="J28">
        <v>9</v>
      </c>
      <c r="K28">
        <v>31</v>
      </c>
      <c r="L28">
        <f t="shared" si="1"/>
        <v>3.9113010000000004</v>
      </c>
      <c r="M28">
        <f t="shared" si="2"/>
        <v>0</v>
      </c>
      <c r="N28">
        <v>3000</v>
      </c>
      <c r="O28">
        <f t="shared" si="3"/>
        <v>0</v>
      </c>
      <c r="P28">
        <f t="shared" si="4"/>
        <v>0</v>
      </c>
      <c r="Q28">
        <f t="shared" si="13"/>
        <v>0</v>
      </c>
      <c r="S28">
        <f t="shared" si="8"/>
        <v>3.5983079999999998</v>
      </c>
      <c r="U28">
        <f t="shared" si="5"/>
        <v>0</v>
      </c>
    </row>
    <row r="29" spans="2:21" x14ac:dyDescent="0.2">
      <c r="B29">
        <v>2046</v>
      </c>
      <c r="C29">
        <v>23</v>
      </c>
      <c r="D29" t="s">
        <v>159</v>
      </c>
      <c r="E29">
        <v>0</v>
      </c>
      <c r="F29">
        <f t="shared" si="0"/>
        <v>0</v>
      </c>
      <c r="J29">
        <v>9</v>
      </c>
      <c r="K29">
        <v>31</v>
      </c>
      <c r="L29">
        <f t="shared" si="1"/>
        <v>3.9113010000000004</v>
      </c>
      <c r="M29">
        <f t="shared" si="2"/>
        <v>0</v>
      </c>
      <c r="N29">
        <v>3000</v>
      </c>
      <c r="O29">
        <f t="shared" si="3"/>
        <v>0</v>
      </c>
      <c r="P29">
        <f t="shared" si="4"/>
        <v>0</v>
      </c>
      <c r="Q29">
        <f t="shared" si="13"/>
        <v>0</v>
      </c>
      <c r="S29">
        <f t="shared" si="8"/>
        <v>3.5983079999999998</v>
      </c>
      <c r="U29">
        <f t="shared" si="5"/>
        <v>0</v>
      </c>
    </row>
    <row r="30" spans="2:21" x14ac:dyDescent="0.2">
      <c r="B30">
        <v>2047</v>
      </c>
      <c r="C30">
        <v>24</v>
      </c>
      <c r="D30" t="s">
        <v>159</v>
      </c>
      <c r="E30">
        <v>0</v>
      </c>
      <c r="F30">
        <f t="shared" si="0"/>
        <v>0</v>
      </c>
      <c r="J30">
        <v>9</v>
      </c>
      <c r="K30">
        <v>31</v>
      </c>
      <c r="L30">
        <f t="shared" si="1"/>
        <v>3.9113010000000004</v>
      </c>
      <c r="M30">
        <f t="shared" si="2"/>
        <v>0</v>
      </c>
      <c r="N30">
        <v>3000</v>
      </c>
      <c r="O30">
        <f t="shared" si="3"/>
        <v>0</v>
      </c>
      <c r="P30">
        <f t="shared" si="4"/>
        <v>0</v>
      </c>
      <c r="Q30">
        <f t="shared" si="13"/>
        <v>0</v>
      </c>
      <c r="S30">
        <f t="shared" si="8"/>
        <v>3.5983079999999998</v>
      </c>
      <c r="U30">
        <f t="shared" si="5"/>
        <v>0</v>
      </c>
    </row>
    <row r="31" spans="2:21" x14ac:dyDescent="0.2">
      <c r="B31">
        <v>2048</v>
      </c>
      <c r="C31">
        <v>25</v>
      </c>
      <c r="D31" t="s">
        <v>159</v>
      </c>
      <c r="E31">
        <v>0</v>
      </c>
      <c r="F31">
        <f t="shared" si="0"/>
        <v>0</v>
      </c>
      <c r="J31">
        <v>9</v>
      </c>
      <c r="K31">
        <v>31</v>
      </c>
      <c r="L31">
        <f t="shared" si="1"/>
        <v>3.9113010000000004</v>
      </c>
      <c r="M31">
        <f t="shared" si="2"/>
        <v>0</v>
      </c>
      <c r="N31">
        <v>3000</v>
      </c>
      <c r="O31">
        <f t="shared" si="3"/>
        <v>0</v>
      </c>
      <c r="P31">
        <f t="shared" si="4"/>
        <v>0</v>
      </c>
      <c r="Q31">
        <f t="shared" si="13"/>
        <v>0</v>
      </c>
      <c r="S31">
        <f t="shared" si="8"/>
        <v>3.5983079999999998</v>
      </c>
      <c r="U31">
        <f t="shared" si="5"/>
        <v>0</v>
      </c>
    </row>
    <row r="32" spans="2:21" x14ac:dyDescent="0.2">
      <c r="B32">
        <v>2049</v>
      </c>
      <c r="C32">
        <v>26</v>
      </c>
      <c r="D32" t="s">
        <v>159</v>
      </c>
      <c r="E32">
        <v>0</v>
      </c>
      <c r="F32">
        <f t="shared" si="0"/>
        <v>0</v>
      </c>
      <c r="J32">
        <v>9</v>
      </c>
      <c r="K32">
        <v>31</v>
      </c>
      <c r="L32">
        <f t="shared" si="1"/>
        <v>3.9113010000000004</v>
      </c>
      <c r="M32">
        <f t="shared" si="2"/>
        <v>0</v>
      </c>
      <c r="N32">
        <v>3000</v>
      </c>
      <c r="O32">
        <f t="shared" si="3"/>
        <v>0</v>
      </c>
      <c r="P32">
        <f t="shared" si="4"/>
        <v>0</v>
      </c>
      <c r="Q32">
        <f t="shared" si="13"/>
        <v>0</v>
      </c>
      <c r="S32">
        <f t="shared" si="8"/>
        <v>3.5983079999999998</v>
      </c>
      <c r="U32">
        <f t="shared" si="5"/>
        <v>0</v>
      </c>
    </row>
    <row r="33" spans="2:21" x14ac:dyDescent="0.2">
      <c r="B33">
        <v>2050</v>
      </c>
      <c r="C33">
        <v>27</v>
      </c>
      <c r="D33" t="s">
        <v>159</v>
      </c>
      <c r="E33">
        <v>0</v>
      </c>
      <c r="F33">
        <f t="shared" si="0"/>
        <v>0</v>
      </c>
      <c r="J33">
        <v>9</v>
      </c>
      <c r="K33">
        <v>31</v>
      </c>
      <c r="L33">
        <f t="shared" si="1"/>
        <v>3.9113010000000004</v>
      </c>
      <c r="M33">
        <f t="shared" si="2"/>
        <v>0</v>
      </c>
      <c r="N33">
        <v>3000</v>
      </c>
      <c r="O33">
        <f t="shared" si="3"/>
        <v>0</v>
      </c>
      <c r="P33">
        <f t="shared" si="4"/>
        <v>0</v>
      </c>
      <c r="Q33">
        <f t="shared" si="13"/>
        <v>0</v>
      </c>
      <c r="S33">
        <f>J32*0.399812</f>
        <v>3.5983079999999998</v>
      </c>
      <c r="U33">
        <f t="shared" si="5"/>
        <v>0</v>
      </c>
    </row>
    <row r="34" spans="2:21" x14ac:dyDescent="0.2">
      <c r="R34" s="7">
        <f>NPV(0.07,R7:R33)</f>
        <v>177311460286.68326</v>
      </c>
      <c r="U34" s="7">
        <f>NPV(0.07,U7:U33)</f>
        <v>175694603580.35516</v>
      </c>
    </row>
    <row r="36" spans="2:21" x14ac:dyDescent="0.2">
      <c r="D36" t="s">
        <v>238</v>
      </c>
      <c r="E36" s="7">
        <f>M6+NPV(0.07,M7:M33)</f>
        <v>280879166926.88165</v>
      </c>
      <c r="F36" s="7"/>
    </row>
    <row r="37" spans="2:21" x14ac:dyDescent="0.2">
      <c r="D37" t="s">
        <v>239</v>
      </c>
      <c r="E37" s="7">
        <f>O6+NPV(0.07,O7:O33)</f>
        <v>159189803990.4187</v>
      </c>
      <c r="F37" s="7"/>
    </row>
    <row r="38" spans="2:21" x14ac:dyDescent="0.2">
      <c r="D38" t="s">
        <v>242</v>
      </c>
      <c r="E38" s="7">
        <f>NPV(0.07,P7:P33)</f>
        <v>2751191912.8127966</v>
      </c>
      <c r="F38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41457-BDE1-EF44-946D-E660D8F7F6D0}">
  <dimension ref="A1:U66"/>
  <sheetViews>
    <sheetView topLeftCell="A26" workbookViewId="0">
      <selection activeCell="H33" sqref="H33"/>
    </sheetView>
  </sheetViews>
  <sheetFormatPr baseColWidth="10" defaultRowHeight="16" x14ac:dyDescent="0.2"/>
  <cols>
    <col min="1" max="1" width="36.83203125" customWidth="1"/>
    <col min="2" max="2" width="22.6640625" customWidth="1"/>
    <col min="3" max="3" width="19.5" customWidth="1"/>
    <col min="4" max="4" width="13" customWidth="1"/>
    <col min="5" max="5" width="12.6640625" customWidth="1"/>
    <col min="6" max="6" width="21.6640625" customWidth="1"/>
    <col min="7" max="7" width="17.5" customWidth="1"/>
    <col min="8" max="8" width="18.5" customWidth="1"/>
    <col min="9" max="10" width="20.33203125" customWidth="1"/>
    <col min="11" max="11" width="27.33203125" customWidth="1"/>
    <col min="12" max="12" width="20.1640625" customWidth="1"/>
    <col min="13" max="13" width="17.1640625" bestFit="1" customWidth="1"/>
    <col min="14" max="15" width="18.83203125" customWidth="1"/>
    <col min="16" max="16" width="19" customWidth="1"/>
    <col min="17" max="17" width="17.1640625" customWidth="1"/>
    <col min="18" max="18" width="18.6640625" customWidth="1"/>
    <col min="19" max="19" width="12.33203125" customWidth="1"/>
    <col min="20" max="20" width="19.6640625" bestFit="1" customWidth="1"/>
    <col min="21" max="21" width="18.6640625" bestFit="1" customWidth="1"/>
  </cols>
  <sheetData>
    <row r="1" spans="1:21" x14ac:dyDescent="0.2">
      <c r="A1" t="s">
        <v>163</v>
      </c>
      <c r="B1" s="8">
        <v>13200000000</v>
      </c>
    </row>
    <row r="2" spans="1:21" x14ac:dyDescent="0.2">
      <c r="A2" t="s">
        <v>164</v>
      </c>
      <c r="B2" s="8">
        <f>SUM(S8:S12)</f>
        <v>1754884502.5855701</v>
      </c>
    </row>
    <row r="3" spans="1:21" x14ac:dyDescent="0.2">
      <c r="A3" t="s">
        <v>168</v>
      </c>
      <c r="B3" s="8">
        <f>SUM(B1:B2)</f>
        <v>14954884502.585569</v>
      </c>
    </row>
    <row r="6" spans="1:21" ht="17" thickBot="1" x14ac:dyDescent="0.25">
      <c r="A6" s="40" t="s">
        <v>175</v>
      </c>
      <c r="B6" s="41"/>
      <c r="C6" s="41"/>
      <c r="D6" s="60" t="s">
        <v>176</v>
      </c>
      <c r="E6" s="61"/>
      <c r="F6" s="61"/>
      <c r="G6" s="31" t="s">
        <v>177</v>
      </c>
      <c r="H6" s="32"/>
      <c r="I6" s="32"/>
      <c r="J6" s="32"/>
      <c r="K6" s="32"/>
      <c r="L6" s="32"/>
      <c r="M6" s="32"/>
      <c r="N6" s="32"/>
      <c r="O6" s="32"/>
      <c r="P6" s="62" t="s">
        <v>174</v>
      </c>
      <c r="Q6" s="63"/>
      <c r="R6" s="63"/>
      <c r="S6" s="63"/>
      <c r="T6" s="63"/>
      <c r="U6" s="63"/>
    </row>
    <row r="7" spans="1:21" x14ac:dyDescent="0.2">
      <c r="A7" t="s">
        <v>19</v>
      </c>
      <c r="B7" t="s">
        <v>156</v>
      </c>
      <c r="C7" t="s">
        <v>155</v>
      </c>
      <c r="D7" t="s">
        <v>160</v>
      </c>
      <c r="E7" t="s">
        <v>129</v>
      </c>
      <c r="F7" t="s">
        <v>23</v>
      </c>
      <c r="G7" t="s">
        <v>161</v>
      </c>
      <c r="H7" t="s">
        <v>162</v>
      </c>
      <c r="I7" t="s">
        <v>169</v>
      </c>
      <c r="J7" t="s">
        <v>171</v>
      </c>
      <c r="K7" t="s">
        <v>172</v>
      </c>
      <c r="L7" t="s">
        <v>170</v>
      </c>
      <c r="M7" t="s">
        <v>164</v>
      </c>
      <c r="N7" t="s">
        <v>173</v>
      </c>
      <c r="O7" t="s">
        <v>165</v>
      </c>
      <c r="P7" t="s">
        <v>145</v>
      </c>
      <c r="Q7" t="s">
        <v>166</v>
      </c>
      <c r="R7" t="s">
        <v>167</v>
      </c>
      <c r="S7" t="s">
        <v>164</v>
      </c>
      <c r="T7" t="s">
        <v>23</v>
      </c>
      <c r="U7" t="s">
        <v>178</v>
      </c>
    </row>
    <row r="8" spans="1:21" x14ac:dyDescent="0.2">
      <c r="A8">
        <v>2023</v>
      </c>
      <c r="B8">
        <v>0</v>
      </c>
      <c r="C8" t="s">
        <v>157</v>
      </c>
      <c r="D8">
        <v>4724315</v>
      </c>
      <c r="E8" s="23">
        <v>3000</v>
      </c>
      <c r="F8" s="23">
        <f>D8*E8</f>
        <v>14172945000</v>
      </c>
      <c r="G8" s="23"/>
      <c r="H8" s="23">
        <f>kladd2!I7</f>
        <v>372500000</v>
      </c>
      <c r="I8" s="25">
        <f>345880*E8</f>
        <v>1037640000</v>
      </c>
      <c r="J8" s="25">
        <v>250</v>
      </c>
      <c r="K8">
        <f>37*24*365</f>
        <v>324120</v>
      </c>
      <c r="L8" s="25">
        <f>K8*J8</f>
        <v>81030000</v>
      </c>
      <c r="M8" s="23">
        <v>400000000</v>
      </c>
      <c r="N8" s="23">
        <f>I8+L8</f>
        <v>1118670000</v>
      </c>
      <c r="O8" s="25">
        <f>G8+H8+N8</f>
        <v>1491170000</v>
      </c>
      <c r="P8">
        <v>1</v>
      </c>
      <c r="Q8">
        <v>1</v>
      </c>
      <c r="R8">
        <f>1/Q8</f>
        <v>1</v>
      </c>
      <c r="S8">
        <f>M8*R8</f>
        <v>400000000</v>
      </c>
      <c r="T8" s="25">
        <f>F8*R8</f>
        <v>14172945000</v>
      </c>
      <c r="U8" s="25">
        <f>O8*R8</f>
        <v>1491170000</v>
      </c>
    </row>
    <row r="9" spans="1:21" x14ac:dyDescent="0.2">
      <c r="A9">
        <v>2024</v>
      </c>
      <c r="B9">
        <v>1</v>
      </c>
      <c r="C9" t="s">
        <v>157</v>
      </c>
      <c r="D9">
        <v>4724315</v>
      </c>
      <c r="E9" s="23">
        <v>3000</v>
      </c>
      <c r="F9" s="23">
        <f t="shared" ref="F9:F35" si="0">D9*E9</f>
        <v>14172945000</v>
      </c>
      <c r="G9" s="23"/>
      <c r="H9" s="23">
        <f>H8</f>
        <v>372500000</v>
      </c>
      <c r="I9" s="25">
        <f t="shared" ref="I9:I14" si="1">345880*E9</f>
        <v>1037640000</v>
      </c>
      <c r="J9" s="25">
        <v>250</v>
      </c>
      <c r="K9">
        <f t="shared" ref="K9:K14" si="2">37*24*365</f>
        <v>324120</v>
      </c>
      <c r="L9" s="25">
        <f t="shared" ref="L9:L35" si="3">K9*J9</f>
        <v>81030000</v>
      </c>
      <c r="M9" s="23">
        <v>400000000</v>
      </c>
      <c r="N9" s="23">
        <f t="shared" ref="N9:N35" si="4">I9+L9</f>
        <v>1118670000</v>
      </c>
      <c r="O9" s="25">
        <f t="shared" ref="O9:O35" si="5">G9+H9+N9</f>
        <v>1491170000</v>
      </c>
      <c r="P9">
        <v>1.07</v>
      </c>
      <c r="Q9">
        <f>Q8*P9</f>
        <v>1.07</v>
      </c>
      <c r="R9">
        <f t="shared" ref="R9:R35" si="6">1/Q9</f>
        <v>0.93457943925233644</v>
      </c>
      <c r="S9">
        <f t="shared" ref="S9:S12" si="7">M9*R9</f>
        <v>373831775.70093459</v>
      </c>
      <c r="T9" s="25">
        <f t="shared" ref="T9:T35" si="8">F9*R9</f>
        <v>13245742990.654205</v>
      </c>
      <c r="U9" s="25">
        <f t="shared" ref="U9:U35" si="9">O9*R9</f>
        <v>1393616822.4299066</v>
      </c>
    </row>
    <row r="10" spans="1:21" x14ac:dyDescent="0.2">
      <c r="A10">
        <v>2025</v>
      </c>
      <c r="B10">
        <v>2</v>
      </c>
      <c r="C10" t="s">
        <v>157</v>
      </c>
      <c r="D10">
        <v>4724315</v>
      </c>
      <c r="E10" s="23">
        <v>3000</v>
      </c>
      <c r="F10" s="23">
        <f t="shared" si="0"/>
        <v>14172945000</v>
      </c>
      <c r="G10" s="23"/>
      <c r="H10" s="23">
        <f t="shared" ref="H10:H20" si="10">H9</f>
        <v>372500000</v>
      </c>
      <c r="I10" s="25">
        <f t="shared" si="1"/>
        <v>1037640000</v>
      </c>
      <c r="J10" s="25">
        <v>250</v>
      </c>
      <c r="K10">
        <f t="shared" si="2"/>
        <v>324120</v>
      </c>
      <c r="L10" s="25">
        <f t="shared" si="3"/>
        <v>81030000</v>
      </c>
      <c r="M10" s="23">
        <v>400000000</v>
      </c>
      <c r="N10" s="23">
        <f t="shared" si="4"/>
        <v>1118670000</v>
      </c>
      <c r="O10" s="25">
        <f t="shared" si="5"/>
        <v>1491170000</v>
      </c>
      <c r="P10">
        <v>1.07</v>
      </c>
      <c r="Q10">
        <f t="shared" ref="Q10:Q35" si="11">Q9*P10</f>
        <v>1.1449</v>
      </c>
      <c r="R10">
        <f t="shared" si="6"/>
        <v>0.87343872827321156</v>
      </c>
      <c r="S10">
        <f t="shared" si="7"/>
        <v>349375491.30928463</v>
      </c>
      <c r="T10" s="25">
        <f t="shared" si="8"/>
        <v>12379199056.686172</v>
      </c>
      <c r="U10" s="25">
        <f t="shared" si="9"/>
        <v>1302445628.4391649</v>
      </c>
    </row>
    <row r="11" spans="1:21" x14ac:dyDescent="0.2">
      <c r="A11">
        <v>2026</v>
      </c>
      <c r="B11">
        <v>3</v>
      </c>
      <c r="C11" t="s">
        <v>157</v>
      </c>
      <c r="D11">
        <v>4724315</v>
      </c>
      <c r="E11" s="23">
        <v>3000</v>
      </c>
      <c r="F11" s="23">
        <f t="shared" si="0"/>
        <v>14172945000</v>
      </c>
      <c r="G11" s="23"/>
      <c r="H11" s="23">
        <f t="shared" si="10"/>
        <v>372500000</v>
      </c>
      <c r="I11" s="25">
        <f t="shared" si="1"/>
        <v>1037640000</v>
      </c>
      <c r="J11" s="25">
        <v>250</v>
      </c>
      <c r="K11">
        <f t="shared" si="2"/>
        <v>324120</v>
      </c>
      <c r="L11" s="25">
        <f t="shared" si="3"/>
        <v>81030000</v>
      </c>
      <c r="M11" s="23">
        <v>400000000</v>
      </c>
      <c r="N11" s="23">
        <f t="shared" si="4"/>
        <v>1118670000</v>
      </c>
      <c r="O11" s="25">
        <f t="shared" si="5"/>
        <v>1491170000</v>
      </c>
      <c r="P11">
        <v>1.07</v>
      </c>
      <c r="Q11">
        <f t="shared" si="11"/>
        <v>1.2250430000000001</v>
      </c>
      <c r="R11">
        <f t="shared" si="6"/>
        <v>0.81629787689085187</v>
      </c>
      <c r="S11">
        <f t="shared" si="7"/>
        <v>326519150.75634074</v>
      </c>
      <c r="T11" s="25">
        <f t="shared" si="8"/>
        <v>11569344912.790815</v>
      </c>
      <c r="U11" s="25">
        <f t="shared" si="9"/>
        <v>1217238905.0833316</v>
      </c>
    </row>
    <row r="12" spans="1:21" x14ac:dyDescent="0.2">
      <c r="A12">
        <v>2027</v>
      </c>
      <c r="B12">
        <v>4</v>
      </c>
      <c r="C12" t="s">
        <v>157</v>
      </c>
      <c r="D12">
        <v>4724315</v>
      </c>
      <c r="E12" s="23">
        <v>3000</v>
      </c>
      <c r="F12" s="23">
        <f t="shared" si="0"/>
        <v>14172945000</v>
      </c>
      <c r="G12" s="23"/>
      <c r="H12" s="23">
        <f t="shared" si="10"/>
        <v>372500000</v>
      </c>
      <c r="I12" s="25">
        <f t="shared" si="1"/>
        <v>1037640000</v>
      </c>
      <c r="J12" s="25">
        <v>250</v>
      </c>
      <c r="K12">
        <f t="shared" si="2"/>
        <v>324120</v>
      </c>
      <c r="L12" s="25">
        <f t="shared" si="3"/>
        <v>81030000</v>
      </c>
      <c r="M12" s="23">
        <v>400000000</v>
      </c>
      <c r="N12" s="23">
        <f t="shared" si="4"/>
        <v>1118670000</v>
      </c>
      <c r="O12" s="25">
        <f t="shared" si="5"/>
        <v>1491170000</v>
      </c>
      <c r="P12">
        <v>1.07</v>
      </c>
      <c r="Q12">
        <f t="shared" si="11"/>
        <v>1.3107960100000002</v>
      </c>
      <c r="R12">
        <f t="shared" si="6"/>
        <v>0.76289521204752508</v>
      </c>
      <c r="S12">
        <f t="shared" si="7"/>
        <v>305158084.81901002</v>
      </c>
      <c r="T12" s="25">
        <f t="shared" si="8"/>
        <v>10812471881.112911</v>
      </c>
      <c r="U12" s="25">
        <f t="shared" si="9"/>
        <v>1137606453.3489079</v>
      </c>
    </row>
    <row r="13" spans="1:21" x14ac:dyDescent="0.2">
      <c r="A13">
        <v>2028</v>
      </c>
      <c r="B13">
        <v>5</v>
      </c>
      <c r="C13" t="s">
        <v>157</v>
      </c>
      <c r="D13">
        <v>4724315</v>
      </c>
      <c r="E13" s="23">
        <v>3000</v>
      </c>
      <c r="F13" s="23">
        <f t="shared" si="0"/>
        <v>14172945000</v>
      </c>
      <c r="G13" s="23"/>
      <c r="H13" s="23">
        <f t="shared" si="10"/>
        <v>372500000</v>
      </c>
      <c r="I13" s="25">
        <f t="shared" si="1"/>
        <v>1037640000</v>
      </c>
      <c r="J13" s="25">
        <v>250</v>
      </c>
      <c r="K13">
        <f t="shared" si="2"/>
        <v>324120</v>
      </c>
      <c r="L13" s="25">
        <f t="shared" si="3"/>
        <v>81030000</v>
      </c>
      <c r="N13" s="23">
        <f t="shared" si="4"/>
        <v>1118670000</v>
      </c>
      <c r="O13" s="25">
        <f t="shared" si="5"/>
        <v>1491170000</v>
      </c>
      <c r="P13">
        <v>1.07</v>
      </c>
      <c r="Q13">
        <f t="shared" si="11"/>
        <v>1.4025517307000004</v>
      </c>
      <c r="R13">
        <f t="shared" si="6"/>
        <v>0.71298617948366827</v>
      </c>
      <c r="T13" s="25">
        <f t="shared" si="8"/>
        <v>10105113907.582159</v>
      </c>
      <c r="U13" s="25">
        <f t="shared" si="9"/>
        <v>1063183601.2606616</v>
      </c>
    </row>
    <row r="14" spans="1:21" x14ac:dyDescent="0.2">
      <c r="A14">
        <v>2029</v>
      </c>
      <c r="B14">
        <v>6</v>
      </c>
      <c r="C14" t="s">
        <v>157</v>
      </c>
      <c r="D14">
        <v>4724315</v>
      </c>
      <c r="E14" s="23">
        <v>3000</v>
      </c>
      <c r="F14" s="23">
        <f t="shared" si="0"/>
        <v>14172945000</v>
      </c>
      <c r="G14" s="23"/>
      <c r="H14" s="23">
        <f t="shared" si="10"/>
        <v>372500000</v>
      </c>
      <c r="I14" s="25">
        <f t="shared" si="1"/>
        <v>1037640000</v>
      </c>
      <c r="J14" s="25">
        <v>250</v>
      </c>
      <c r="K14">
        <f t="shared" si="2"/>
        <v>324120</v>
      </c>
      <c r="L14" s="25">
        <f t="shared" si="3"/>
        <v>81030000</v>
      </c>
      <c r="N14" s="23">
        <f t="shared" si="4"/>
        <v>1118670000</v>
      </c>
      <c r="O14" s="25">
        <f t="shared" si="5"/>
        <v>1491170000</v>
      </c>
      <c r="P14">
        <v>1.07</v>
      </c>
      <c r="Q14">
        <f t="shared" si="11"/>
        <v>1.5007303518490005</v>
      </c>
      <c r="R14">
        <f t="shared" si="6"/>
        <v>0.66634222381651231</v>
      </c>
      <c r="T14" s="25">
        <f t="shared" si="8"/>
        <v>9444031689.3291187</v>
      </c>
      <c r="U14" s="25">
        <f t="shared" si="9"/>
        <v>993629533.88846862</v>
      </c>
    </row>
    <row r="15" spans="1:21" x14ac:dyDescent="0.2">
      <c r="A15">
        <v>2030</v>
      </c>
      <c r="B15">
        <v>7</v>
      </c>
      <c r="C15" t="s">
        <v>158</v>
      </c>
      <c r="D15">
        <f>345880+D8</f>
        <v>5070195</v>
      </c>
      <c r="E15" s="23">
        <v>3000</v>
      </c>
      <c r="F15" s="23">
        <f t="shared" si="0"/>
        <v>15210585000</v>
      </c>
      <c r="G15" s="23">
        <f>B3*0.015</f>
        <v>224323267.53878352</v>
      </c>
      <c r="H15" s="23">
        <f t="shared" si="10"/>
        <v>372500000</v>
      </c>
      <c r="I15" s="25"/>
      <c r="J15" s="25">
        <f>(75*1.223)*10</f>
        <v>917.25000000000011</v>
      </c>
      <c r="K15">
        <f>340*24*365</f>
        <v>2978400</v>
      </c>
      <c r="L15" s="25">
        <f t="shared" si="3"/>
        <v>2731937400.0000005</v>
      </c>
      <c r="N15" s="23">
        <f t="shared" si="4"/>
        <v>2731937400.0000005</v>
      </c>
      <c r="O15" s="25">
        <f t="shared" si="5"/>
        <v>3328760667.538784</v>
      </c>
      <c r="P15">
        <v>1.07</v>
      </c>
      <c r="Q15">
        <f t="shared" si="11"/>
        <v>1.6057814764784306</v>
      </c>
      <c r="R15">
        <f t="shared" si="6"/>
        <v>0.62274974188459098</v>
      </c>
      <c r="T15" s="25">
        <f t="shared" si="8"/>
        <v>9472387882.6636314</v>
      </c>
      <c r="U15" s="25">
        <f t="shared" si="9"/>
        <v>2072984846.5053566</v>
      </c>
    </row>
    <row r="16" spans="1:21" x14ac:dyDescent="0.2">
      <c r="A16">
        <v>2031</v>
      </c>
      <c r="B16">
        <v>8</v>
      </c>
      <c r="C16" t="s">
        <v>158</v>
      </c>
      <c r="D16">
        <f t="shared" ref="D16:D20" si="12">345880+D9</f>
        <v>5070195</v>
      </c>
      <c r="E16" s="23">
        <v>3000</v>
      </c>
      <c r="F16" s="23">
        <f t="shared" si="0"/>
        <v>15210585000</v>
      </c>
      <c r="G16" s="23">
        <f>G15</f>
        <v>224323267.53878352</v>
      </c>
      <c r="H16" s="23">
        <f t="shared" si="10"/>
        <v>372500000</v>
      </c>
      <c r="I16" s="25"/>
      <c r="J16" s="25">
        <f t="shared" ref="J16:J19" si="13">(75*1.223)*10</f>
        <v>917.25000000000011</v>
      </c>
      <c r="K16">
        <f t="shared" ref="K16:K20" si="14">340*24*365</f>
        <v>2978400</v>
      </c>
      <c r="L16" s="25">
        <f t="shared" si="3"/>
        <v>2731937400.0000005</v>
      </c>
      <c r="N16" s="23">
        <f t="shared" si="4"/>
        <v>2731937400.0000005</v>
      </c>
      <c r="O16" s="25">
        <f t="shared" si="5"/>
        <v>3328760667.538784</v>
      </c>
      <c r="P16">
        <v>1.07</v>
      </c>
      <c r="Q16">
        <f t="shared" si="11"/>
        <v>1.7181861798319209</v>
      </c>
      <c r="R16">
        <f t="shared" si="6"/>
        <v>0.58200910456503818</v>
      </c>
      <c r="T16" s="25">
        <f t="shared" si="8"/>
        <v>8852698955.7604008</v>
      </c>
      <c r="U16" s="25">
        <f t="shared" si="9"/>
        <v>1937369015.4255664</v>
      </c>
    </row>
    <row r="17" spans="1:21" x14ac:dyDescent="0.2">
      <c r="A17">
        <v>2032</v>
      </c>
      <c r="B17">
        <v>9</v>
      </c>
      <c r="C17" t="s">
        <v>158</v>
      </c>
      <c r="D17">
        <f t="shared" si="12"/>
        <v>5070195</v>
      </c>
      <c r="E17" s="23">
        <v>3000</v>
      </c>
      <c r="F17" s="23">
        <f t="shared" si="0"/>
        <v>15210585000</v>
      </c>
      <c r="G17" s="23">
        <f t="shared" ref="G17:G20" si="15">G16</f>
        <v>224323267.53878352</v>
      </c>
      <c r="H17" s="23">
        <f t="shared" si="10"/>
        <v>372500000</v>
      </c>
      <c r="I17" s="25"/>
      <c r="J17" s="25">
        <f t="shared" si="13"/>
        <v>917.25000000000011</v>
      </c>
      <c r="K17">
        <f t="shared" si="14"/>
        <v>2978400</v>
      </c>
      <c r="L17" s="25">
        <f t="shared" si="3"/>
        <v>2731937400.0000005</v>
      </c>
      <c r="N17" s="23">
        <f t="shared" si="4"/>
        <v>2731937400.0000005</v>
      </c>
      <c r="O17" s="25">
        <f t="shared" si="5"/>
        <v>3328760667.538784</v>
      </c>
      <c r="P17">
        <v>1.07</v>
      </c>
      <c r="Q17">
        <f t="shared" si="11"/>
        <v>1.8384592124201555</v>
      </c>
      <c r="R17">
        <f t="shared" si="6"/>
        <v>0.54393374258414784</v>
      </c>
      <c r="T17" s="25">
        <f t="shared" si="8"/>
        <v>8273550425.9443007</v>
      </c>
      <c r="U17" s="25">
        <f t="shared" si="9"/>
        <v>1810625248.0612772</v>
      </c>
    </row>
    <row r="18" spans="1:21" x14ac:dyDescent="0.2">
      <c r="A18">
        <v>2033</v>
      </c>
      <c r="B18">
        <v>10</v>
      </c>
      <c r="C18" t="s">
        <v>158</v>
      </c>
      <c r="D18">
        <f t="shared" si="12"/>
        <v>5070195</v>
      </c>
      <c r="E18" s="23">
        <v>3000</v>
      </c>
      <c r="F18" s="23">
        <f t="shared" si="0"/>
        <v>15210585000</v>
      </c>
      <c r="G18" s="23">
        <f t="shared" si="15"/>
        <v>224323267.53878352</v>
      </c>
      <c r="H18" s="23">
        <f t="shared" si="10"/>
        <v>372500000</v>
      </c>
      <c r="I18" s="25"/>
      <c r="J18" s="25">
        <f t="shared" si="13"/>
        <v>917.25000000000011</v>
      </c>
      <c r="K18">
        <f t="shared" si="14"/>
        <v>2978400</v>
      </c>
      <c r="L18" s="25">
        <f t="shared" si="3"/>
        <v>2731937400.0000005</v>
      </c>
      <c r="N18" s="23">
        <f t="shared" si="4"/>
        <v>2731937400.0000005</v>
      </c>
      <c r="O18" s="25">
        <f t="shared" si="5"/>
        <v>3328760667.538784</v>
      </c>
      <c r="P18">
        <v>1.07</v>
      </c>
      <c r="Q18">
        <f t="shared" si="11"/>
        <v>1.9671513572895665</v>
      </c>
      <c r="R18">
        <f t="shared" si="6"/>
        <v>0.50834929213471758</v>
      </c>
      <c r="T18" s="25">
        <f t="shared" si="8"/>
        <v>7732290117.7049532</v>
      </c>
      <c r="U18" s="25">
        <f t="shared" si="9"/>
        <v>1692173129.0292308</v>
      </c>
    </row>
    <row r="19" spans="1:21" x14ac:dyDescent="0.2">
      <c r="A19">
        <v>2034</v>
      </c>
      <c r="B19">
        <v>11</v>
      </c>
      <c r="C19" t="s">
        <v>158</v>
      </c>
      <c r="D19">
        <f t="shared" si="12"/>
        <v>5070195</v>
      </c>
      <c r="E19" s="23">
        <v>3000</v>
      </c>
      <c r="F19" s="23">
        <f t="shared" si="0"/>
        <v>15210585000</v>
      </c>
      <c r="G19" s="23">
        <f t="shared" si="15"/>
        <v>224323267.53878352</v>
      </c>
      <c r="H19" s="23">
        <f t="shared" si="10"/>
        <v>372500000</v>
      </c>
      <c r="I19" s="25"/>
      <c r="J19" s="25">
        <f t="shared" si="13"/>
        <v>917.25000000000011</v>
      </c>
      <c r="K19">
        <f t="shared" si="14"/>
        <v>2978400</v>
      </c>
      <c r="L19" s="25">
        <f t="shared" si="3"/>
        <v>2731937400.0000005</v>
      </c>
      <c r="N19" s="23">
        <f t="shared" si="4"/>
        <v>2731937400.0000005</v>
      </c>
      <c r="O19" s="25">
        <f t="shared" si="5"/>
        <v>3328760667.538784</v>
      </c>
      <c r="P19">
        <v>1.07</v>
      </c>
      <c r="Q19">
        <f t="shared" si="11"/>
        <v>2.1048519522998363</v>
      </c>
      <c r="R19">
        <f t="shared" si="6"/>
        <v>0.47509279638758645</v>
      </c>
      <c r="T19" s="25">
        <f t="shared" si="8"/>
        <v>7226439362.3410769</v>
      </c>
      <c r="U19" s="25">
        <f t="shared" si="9"/>
        <v>1581470214.0460098</v>
      </c>
    </row>
    <row r="20" spans="1:21" x14ac:dyDescent="0.2">
      <c r="A20">
        <v>2035</v>
      </c>
      <c r="B20">
        <v>12</v>
      </c>
      <c r="C20" t="s">
        <v>158</v>
      </c>
      <c r="D20">
        <f t="shared" si="12"/>
        <v>5070195</v>
      </c>
      <c r="E20" s="23">
        <v>3000</v>
      </c>
      <c r="F20" s="23">
        <f t="shared" si="0"/>
        <v>15210585000</v>
      </c>
      <c r="G20" s="23">
        <f t="shared" si="15"/>
        <v>224323267.53878352</v>
      </c>
      <c r="H20" s="23">
        <f t="shared" si="10"/>
        <v>372500000</v>
      </c>
      <c r="I20" s="25"/>
      <c r="J20" s="25">
        <f>(58*1.223)*10</f>
        <v>709.34000000000015</v>
      </c>
      <c r="K20">
        <f t="shared" si="14"/>
        <v>2978400</v>
      </c>
      <c r="L20" s="25">
        <f t="shared" si="3"/>
        <v>2112698256.0000005</v>
      </c>
      <c r="N20" s="23">
        <f t="shared" si="4"/>
        <v>2112698256.0000005</v>
      </c>
      <c r="O20" s="25">
        <f t="shared" si="5"/>
        <v>2709521523.538784</v>
      </c>
      <c r="P20">
        <v>1.07</v>
      </c>
      <c r="Q20">
        <f t="shared" si="11"/>
        <v>2.2521915889608248</v>
      </c>
      <c r="R20">
        <f t="shared" si="6"/>
        <v>0.444011959240735</v>
      </c>
      <c r="T20" s="25">
        <f t="shared" si="8"/>
        <v>6753681647.0477352</v>
      </c>
      <c r="U20" s="25">
        <f t="shared" si="9"/>
        <v>1203059960.2713969</v>
      </c>
    </row>
    <row r="21" spans="1:21" x14ac:dyDescent="0.2">
      <c r="A21">
        <v>2036</v>
      </c>
      <c r="B21">
        <v>13</v>
      </c>
      <c r="C21" t="s">
        <v>159</v>
      </c>
      <c r="D21">
        <v>0</v>
      </c>
      <c r="E21" s="23">
        <v>3000</v>
      </c>
      <c r="F21" s="23">
        <f t="shared" si="0"/>
        <v>0</v>
      </c>
      <c r="G21" s="23"/>
      <c r="H21" s="23"/>
      <c r="I21" s="25"/>
      <c r="J21" s="25">
        <f>58*10</f>
        <v>580</v>
      </c>
      <c r="L21" s="25">
        <f t="shared" si="3"/>
        <v>0</v>
      </c>
      <c r="N21" s="23">
        <f t="shared" si="4"/>
        <v>0</v>
      </c>
      <c r="O21" s="25">
        <f t="shared" si="5"/>
        <v>0</v>
      </c>
      <c r="P21">
        <v>1.07</v>
      </c>
      <c r="Q21">
        <f t="shared" si="11"/>
        <v>2.4098450001880827</v>
      </c>
      <c r="R21">
        <f t="shared" si="6"/>
        <v>0.41496444788853737</v>
      </c>
      <c r="T21" s="25">
        <f t="shared" si="8"/>
        <v>0</v>
      </c>
      <c r="U21" s="25">
        <f t="shared" si="9"/>
        <v>0</v>
      </c>
    </row>
    <row r="22" spans="1:21" x14ac:dyDescent="0.2">
      <c r="A22">
        <v>2037</v>
      </c>
      <c r="B22">
        <v>14</v>
      </c>
      <c r="C22" t="s">
        <v>159</v>
      </c>
      <c r="D22">
        <v>0</v>
      </c>
      <c r="E22" s="23">
        <v>3000</v>
      </c>
      <c r="F22" s="23">
        <f t="shared" si="0"/>
        <v>0</v>
      </c>
      <c r="G22" s="23"/>
      <c r="H22" s="23"/>
      <c r="I22" s="25"/>
      <c r="J22" s="25">
        <f t="shared" ref="J22:J24" si="16">58*10</f>
        <v>580</v>
      </c>
      <c r="L22" s="25">
        <f t="shared" si="3"/>
        <v>0</v>
      </c>
      <c r="N22" s="23">
        <f t="shared" si="4"/>
        <v>0</v>
      </c>
      <c r="O22" s="25">
        <f t="shared" si="5"/>
        <v>0</v>
      </c>
      <c r="P22">
        <v>1.07</v>
      </c>
      <c r="Q22">
        <f t="shared" si="11"/>
        <v>2.5785341502012487</v>
      </c>
      <c r="R22">
        <f t="shared" si="6"/>
        <v>0.38781724101732462</v>
      </c>
      <c r="T22" s="25">
        <f t="shared" si="8"/>
        <v>0</v>
      </c>
      <c r="U22" s="25">
        <f t="shared" si="9"/>
        <v>0</v>
      </c>
    </row>
    <row r="23" spans="1:21" x14ac:dyDescent="0.2">
      <c r="A23">
        <v>2038</v>
      </c>
      <c r="B23">
        <v>15</v>
      </c>
      <c r="C23" t="s">
        <v>159</v>
      </c>
      <c r="D23">
        <v>0</v>
      </c>
      <c r="E23" s="23">
        <v>3000</v>
      </c>
      <c r="F23" s="23">
        <f t="shared" si="0"/>
        <v>0</v>
      </c>
      <c r="G23" s="23"/>
      <c r="H23" s="23"/>
      <c r="I23" s="25"/>
      <c r="J23" s="25">
        <f t="shared" si="16"/>
        <v>580</v>
      </c>
      <c r="L23" s="25">
        <f t="shared" si="3"/>
        <v>0</v>
      </c>
      <c r="N23" s="23">
        <f t="shared" si="4"/>
        <v>0</v>
      </c>
      <c r="O23" s="25">
        <f t="shared" si="5"/>
        <v>0</v>
      </c>
      <c r="P23">
        <v>1.07</v>
      </c>
      <c r="Q23">
        <f t="shared" si="11"/>
        <v>2.7590315407153363</v>
      </c>
      <c r="R23">
        <f t="shared" si="6"/>
        <v>0.36244601964235945</v>
      </c>
      <c r="T23" s="25">
        <f t="shared" si="8"/>
        <v>0</v>
      </c>
      <c r="U23" s="25">
        <f t="shared" si="9"/>
        <v>0</v>
      </c>
    </row>
    <row r="24" spans="1:21" x14ac:dyDescent="0.2">
      <c r="A24">
        <v>2039</v>
      </c>
      <c r="B24">
        <v>16</v>
      </c>
      <c r="C24" t="s">
        <v>159</v>
      </c>
      <c r="D24">
        <v>0</v>
      </c>
      <c r="E24" s="23">
        <v>3000</v>
      </c>
      <c r="F24" s="23">
        <f t="shared" si="0"/>
        <v>0</v>
      </c>
      <c r="G24" s="23"/>
      <c r="H24" s="23"/>
      <c r="I24" s="25"/>
      <c r="J24" s="25">
        <f t="shared" si="16"/>
        <v>580</v>
      </c>
      <c r="L24" s="25">
        <f t="shared" si="3"/>
        <v>0</v>
      </c>
      <c r="N24" s="23">
        <f t="shared" si="4"/>
        <v>0</v>
      </c>
      <c r="O24" s="25">
        <f t="shared" si="5"/>
        <v>0</v>
      </c>
      <c r="P24">
        <v>1.07</v>
      </c>
      <c r="Q24">
        <f t="shared" si="11"/>
        <v>2.9521637485654102</v>
      </c>
      <c r="R24">
        <f t="shared" si="6"/>
        <v>0.33873459779659754</v>
      </c>
      <c r="T24" s="25">
        <f t="shared" si="8"/>
        <v>0</v>
      </c>
      <c r="U24" s="25">
        <f t="shared" si="9"/>
        <v>0</v>
      </c>
    </row>
    <row r="25" spans="1:21" x14ac:dyDescent="0.2">
      <c r="A25">
        <v>2040</v>
      </c>
      <c r="B25">
        <v>17</v>
      </c>
      <c r="C25" t="s">
        <v>159</v>
      </c>
      <c r="D25">
        <v>0</v>
      </c>
      <c r="E25" s="23">
        <v>3000</v>
      </c>
      <c r="F25" s="23">
        <f t="shared" si="0"/>
        <v>0</v>
      </c>
      <c r="G25" s="23"/>
      <c r="H25" s="23"/>
      <c r="I25" s="25"/>
      <c r="J25" s="25">
        <f>48*10</f>
        <v>480</v>
      </c>
      <c r="L25" s="25">
        <f t="shared" si="3"/>
        <v>0</v>
      </c>
      <c r="N25" s="23">
        <f t="shared" si="4"/>
        <v>0</v>
      </c>
      <c r="O25" s="25">
        <f t="shared" si="5"/>
        <v>0</v>
      </c>
      <c r="P25">
        <v>1.07</v>
      </c>
      <c r="Q25">
        <f t="shared" si="11"/>
        <v>3.1588152109649892</v>
      </c>
      <c r="R25">
        <f t="shared" si="6"/>
        <v>0.31657439046410984</v>
      </c>
      <c r="T25" s="25">
        <f t="shared" si="8"/>
        <v>0</v>
      </c>
      <c r="U25" s="25">
        <f t="shared" si="9"/>
        <v>0</v>
      </c>
    </row>
    <row r="26" spans="1:21" x14ac:dyDescent="0.2">
      <c r="A26">
        <v>2041</v>
      </c>
      <c r="B26">
        <v>18</v>
      </c>
      <c r="C26" t="s">
        <v>159</v>
      </c>
      <c r="D26">
        <v>0</v>
      </c>
      <c r="E26" s="23">
        <v>3000</v>
      </c>
      <c r="F26" s="23">
        <f t="shared" si="0"/>
        <v>0</v>
      </c>
      <c r="G26" s="23"/>
      <c r="H26" s="23"/>
      <c r="I26" s="25"/>
      <c r="J26" s="25">
        <f t="shared" ref="J26:J35" si="17">48*10</f>
        <v>480</v>
      </c>
      <c r="L26" s="25">
        <f t="shared" si="3"/>
        <v>0</v>
      </c>
      <c r="N26" s="23">
        <f t="shared" si="4"/>
        <v>0</v>
      </c>
      <c r="O26" s="25">
        <f t="shared" si="5"/>
        <v>0</v>
      </c>
      <c r="P26">
        <v>1.07</v>
      </c>
      <c r="Q26">
        <f t="shared" si="11"/>
        <v>3.3799322757325387</v>
      </c>
      <c r="R26">
        <f t="shared" si="6"/>
        <v>0.29586391632159798</v>
      </c>
      <c r="T26" s="25">
        <f t="shared" si="8"/>
        <v>0</v>
      </c>
      <c r="U26" s="25">
        <f t="shared" si="9"/>
        <v>0</v>
      </c>
    </row>
    <row r="27" spans="1:21" x14ac:dyDescent="0.2">
      <c r="A27">
        <v>2042</v>
      </c>
      <c r="B27">
        <v>19</v>
      </c>
      <c r="C27" t="s">
        <v>159</v>
      </c>
      <c r="D27">
        <v>0</v>
      </c>
      <c r="E27" s="23">
        <v>3000</v>
      </c>
      <c r="F27" s="23">
        <f t="shared" si="0"/>
        <v>0</v>
      </c>
      <c r="G27" s="23"/>
      <c r="H27" s="23"/>
      <c r="J27" s="25">
        <f t="shared" si="17"/>
        <v>480</v>
      </c>
      <c r="L27" s="25">
        <f t="shared" si="3"/>
        <v>0</v>
      </c>
      <c r="N27" s="23">
        <f t="shared" si="4"/>
        <v>0</v>
      </c>
      <c r="O27" s="25">
        <f t="shared" si="5"/>
        <v>0</v>
      </c>
      <c r="P27">
        <v>1.07</v>
      </c>
      <c r="Q27">
        <f t="shared" si="11"/>
        <v>3.6165275350338169</v>
      </c>
      <c r="R27">
        <f t="shared" si="6"/>
        <v>0.27650833301083916</v>
      </c>
      <c r="T27" s="25">
        <f t="shared" si="8"/>
        <v>0</v>
      </c>
      <c r="U27" s="25">
        <f t="shared" si="9"/>
        <v>0</v>
      </c>
    </row>
    <row r="28" spans="1:21" x14ac:dyDescent="0.2">
      <c r="A28">
        <v>2043</v>
      </c>
      <c r="B28">
        <v>20</v>
      </c>
      <c r="C28" t="s">
        <v>159</v>
      </c>
      <c r="D28">
        <v>0</v>
      </c>
      <c r="E28" s="23">
        <v>3000</v>
      </c>
      <c r="F28" s="23">
        <f t="shared" si="0"/>
        <v>0</v>
      </c>
      <c r="G28" s="23"/>
      <c r="H28" s="23"/>
      <c r="J28" s="25">
        <f t="shared" si="17"/>
        <v>480</v>
      </c>
      <c r="L28" s="25">
        <f t="shared" si="3"/>
        <v>0</v>
      </c>
      <c r="N28" s="23">
        <f t="shared" si="4"/>
        <v>0</v>
      </c>
      <c r="O28" s="25">
        <f t="shared" si="5"/>
        <v>0</v>
      </c>
      <c r="P28">
        <v>1.07</v>
      </c>
      <c r="Q28">
        <f t="shared" si="11"/>
        <v>3.8696844624861844</v>
      </c>
      <c r="R28">
        <f t="shared" si="6"/>
        <v>0.25841900281386837</v>
      </c>
      <c r="T28" s="25">
        <f t="shared" si="8"/>
        <v>0</v>
      </c>
      <c r="U28" s="25">
        <f t="shared" si="9"/>
        <v>0</v>
      </c>
    </row>
    <row r="29" spans="1:21" x14ac:dyDescent="0.2">
      <c r="A29">
        <v>2044</v>
      </c>
      <c r="B29">
        <v>21</v>
      </c>
      <c r="C29" t="s">
        <v>159</v>
      </c>
      <c r="D29">
        <v>0</v>
      </c>
      <c r="E29" s="23">
        <v>3000</v>
      </c>
      <c r="F29" s="23">
        <f t="shared" si="0"/>
        <v>0</v>
      </c>
      <c r="G29" s="23"/>
      <c r="H29" s="23"/>
      <c r="J29" s="25">
        <f t="shared" si="17"/>
        <v>480</v>
      </c>
      <c r="L29" s="25">
        <f t="shared" si="3"/>
        <v>0</v>
      </c>
      <c r="N29" s="23">
        <f t="shared" si="4"/>
        <v>0</v>
      </c>
      <c r="O29" s="25">
        <f t="shared" si="5"/>
        <v>0</v>
      </c>
      <c r="P29">
        <v>1.07</v>
      </c>
      <c r="Q29">
        <f t="shared" si="11"/>
        <v>4.1405623748602176</v>
      </c>
      <c r="R29">
        <f t="shared" si="6"/>
        <v>0.24151308674193303</v>
      </c>
      <c r="T29" s="25">
        <f t="shared" si="8"/>
        <v>0</v>
      </c>
      <c r="U29" s="25">
        <f t="shared" si="9"/>
        <v>0</v>
      </c>
    </row>
    <row r="30" spans="1:21" x14ac:dyDescent="0.2">
      <c r="A30">
        <v>2045</v>
      </c>
      <c r="B30">
        <v>22</v>
      </c>
      <c r="C30" t="s">
        <v>159</v>
      </c>
      <c r="D30">
        <v>0</v>
      </c>
      <c r="E30" s="23">
        <v>3000</v>
      </c>
      <c r="F30" s="23">
        <f t="shared" si="0"/>
        <v>0</v>
      </c>
      <c r="G30" s="23"/>
      <c r="H30" s="23"/>
      <c r="J30" s="25">
        <f t="shared" si="17"/>
        <v>480</v>
      </c>
      <c r="L30" s="25">
        <f t="shared" si="3"/>
        <v>0</v>
      </c>
      <c r="N30" s="23">
        <f t="shared" si="4"/>
        <v>0</v>
      </c>
      <c r="O30" s="25">
        <f t="shared" si="5"/>
        <v>0</v>
      </c>
      <c r="P30">
        <v>1.07</v>
      </c>
      <c r="Q30">
        <f t="shared" si="11"/>
        <v>4.4304017411004333</v>
      </c>
      <c r="R30">
        <f t="shared" si="6"/>
        <v>0.22571316517937665</v>
      </c>
      <c r="T30" s="25">
        <f t="shared" si="8"/>
        <v>0</v>
      </c>
      <c r="U30" s="25">
        <f t="shared" si="9"/>
        <v>0</v>
      </c>
    </row>
    <row r="31" spans="1:21" x14ac:dyDescent="0.2">
      <c r="A31">
        <v>2046</v>
      </c>
      <c r="B31">
        <v>23</v>
      </c>
      <c r="C31" t="s">
        <v>159</v>
      </c>
      <c r="D31">
        <v>0</v>
      </c>
      <c r="E31" s="23">
        <v>3000</v>
      </c>
      <c r="F31" s="23">
        <f t="shared" si="0"/>
        <v>0</v>
      </c>
      <c r="G31" s="23"/>
      <c r="H31" s="23"/>
      <c r="J31" s="25">
        <f t="shared" si="17"/>
        <v>480</v>
      </c>
      <c r="L31" s="25">
        <f t="shared" si="3"/>
        <v>0</v>
      </c>
      <c r="N31" s="23">
        <f t="shared" si="4"/>
        <v>0</v>
      </c>
      <c r="O31" s="25">
        <f t="shared" si="5"/>
        <v>0</v>
      </c>
      <c r="P31">
        <v>1.07</v>
      </c>
      <c r="Q31">
        <f t="shared" si="11"/>
        <v>4.7405298629774641</v>
      </c>
      <c r="R31">
        <f t="shared" si="6"/>
        <v>0.21094688334521181</v>
      </c>
      <c r="T31" s="25">
        <f t="shared" si="8"/>
        <v>0</v>
      </c>
      <c r="U31" s="25">
        <f t="shared" si="9"/>
        <v>0</v>
      </c>
    </row>
    <row r="32" spans="1:21" x14ac:dyDescent="0.2">
      <c r="A32">
        <v>2047</v>
      </c>
      <c r="B32">
        <v>24</v>
      </c>
      <c r="C32" t="s">
        <v>159</v>
      </c>
      <c r="D32">
        <v>0</v>
      </c>
      <c r="E32" s="23">
        <v>3000</v>
      </c>
      <c r="F32" s="23">
        <f t="shared" si="0"/>
        <v>0</v>
      </c>
      <c r="G32" s="23"/>
      <c r="H32" s="23"/>
      <c r="J32" s="25">
        <f t="shared" si="17"/>
        <v>480</v>
      </c>
      <c r="L32" s="25">
        <f t="shared" si="3"/>
        <v>0</v>
      </c>
      <c r="N32" s="23">
        <f t="shared" si="4"/>
        <v>0</v>
      </c>
      <c r="O32" s="25">
        <f t="shared" si="5"/>
        <v>0</v>
      </c>
      <c r="P32">
        <v>1.07</v>
      </c>
      <c r="Q32">
        <f t="shared" si="11"/>
        <v>5.0723669533858873</v>
      </c>
      <c r="R32">
        <f t="shared" si="6"/>
        <v>0.19714661994879604</v>
      </c>
      <c r="T32" s="25">
        <f t="shared" si="8"/>
        <v>0</v>
      </c>
      <c r="U32" s="25">
        <f t="shared" si="9"/>
        <v>0</v>
      </c>
    </row>
    <row r="33" spans="1:21" x14ac:dyDescent="0.2">
      <c r="A33">
        <v>2048</v>
      </c>
      <c r="B33">
        <v>25</v>
      </c>
      <c r="C33" t="s">
        <v>159</v>
      </c>
      <c r="D33">
        <v>0</v>
      </c>
      <c r="E33" s="23">
        <v>3000</v>
      </c>
      <c r="F33" s="23">
        <f t="shared" si="0"/>
        <v>0</v>
      </c>
      <c r="G33" s="23"/>
      <c r="H33" s="23"/>
      <c r="J33" s="25">
        <f t="shared" si="17"/>
        <v>480</v>
      </c>
      <c r="L33" s="25">
        <f t="shared" si="3"/>
        <v>0</v>
      </c>
      <c r="N33" s="23">
        <f t="shared" si="4"/>
        <v>0</v>
      </c>
      <c r="O33" s="25">
        <f t="shared" si="5"/>
        <v>0</v>
      </c>
      <c r="P33">
        <v>1.07</v>
      </c>
      <c r="Q33">
        <f t="shared" si="11"/>
        <v>5.4274326401229001</v>
      </c>
      <c r="R33">
        <f t="shared" si="6"/>
        <v>0.18424917752223927</v>
      </c>
      <c r="T33" s="25">
        <f t="shared" si="8"/>
        <v>0</v>
      </c>
      <c r="U33" s="25">
        <f t="shared" si="9"/>
        <v>0</v>
      </c>
    </row>
    <row r="34" spans="1:21" x14ac:dyDescent="0.2">
      <c r="A34">
        <v>2049</v>
      </c>
      <c r="B34">
        <v>26</v>
      </c>
      <c r="C34" t="s">
        <v>159</v>
      </c>
      <c r="D34">
        <v>0</v>
      </c>
      <c r="E34" s="23">
        <v>3000</v>
      </c>
      <c r="F34" s="23">
        <f t="shared" si="0"/>
        <v>0</v>
      </c>
      <c r="G34" s="23"/>
      <c r="H34" s="23"/>
      <c r="J34" s="25">
        <f t="shared" si="17"/>
        <v>480</v>
      </c>
      <c r="L34" s="25">
        <f t="shared" si="3"/>
        <v>0</v>
      </c>
      <c r="N34" s="23">
        <f t="shared" si="4"/>
        <v>0</v>
      </c>
      <c r="O34" s="25">
        <f t="shared" si="5"/>
        <v>0</v>
      </c>
      <c r="P34">
        <v>1.07</v>
      </c>
      <c r="Q34">
        <f t="shared" si="11"/>
        <v>5.8073529249315037</v>
      </c>
      <c r="R34">
        <f t="shared" si="6"/>
        <v>0.17219549301143855</v>
      </c>
      <c r="T34" s="25">
        <f t="shared" si="8"/>
        <v>0</v>
      </c>
      <c r="U34" s="25">
        <f t="shared" si="9"/>
        <v>0</v>
      </c>
    </row>
    <row r="35" spans="1:21" x14ac:dyDescent="0.2">
      <c r="A35">
        <v>2050</v>
      </c>
      <c r="B35">
        <v>27</v>
      </c>
      <c r="C35" t="s">
        <v>159</v>
      </c>
      <c r="D35">
        <v>0</v>
      </c>
      <c r="E35" s="23">
        <v>3000</v>
      </c>
      <c r="F35" s="23">
        <f t="shared" si="0"/>
        <v>0</v>
      </c>
      <c r="G35" s="23"/>
      <c r="H35" s="23"/>
      <c r="J35" s="25">
        <f t="shared" si="17"/>
        <v>480</v>
      </c>
      <c r="L35" s="25">
        <f t="shared" si="3"/>
        <v>0</v>
      </c>
      <c r="N35" s="23">
        <f t="shared" si="4"/>
        <v>0</v>
      </c>
      <c r="O35" s="25">
        <f t="shared" si="5"/>
        <v>0</v>
      </c>
      <c r="P35">
        <v>1.07</v>
      </c>
      <c r="Q35">
        <f t="shared" si="11"/>
        <v>6.2138676296767095</v>
      </c>
      <c r="R35">
        <f t="shared" si="6"/>
        <v>0.16093036730040985</v>
      </c>
      <c r="T35" s="25">
        <f t="shared" si="8"/>
        <v>0</v>
      </c>
      <c r="U35" s="25">
        <f t="shared" si="9"/>
        <v>0</v>
      </c>
    </row>
    <row r="39" spans="1:21" x14ac:dyDescent="0.2">
      <c r="A39" s="19" t="s">
        <v>179</v>
      </c>
      <c r="B39" s="19" t="s">
        <v>3</v>
      </c>
    </row>
    <row r="40" spans="1:21" x14ac:dyDescent="0.2">
      <c r="A40" s="19" t="s">
        <v>181</v>
      </c>
      <c r="B40" s="8"/>
    </row>
    <row r="41" spans="1:21" x14ac:dyDescent="0.2">
      <c r="A41" t="s">
        <v>180</v>
      </c>
      <c r="B41" s="64">
        <f>-B1</f>
        <v>-13200000000</v>
      </c>
    </row>
    <row r="42" spans="1:21" x14ac:dyDescent="0.2">
      <c r="A42" t="s">
        <v>182</v>
      </c>
      <c r="B42" s="64">
        <f>-B2</f>
        <v>-1754884502.5855701</v>
      </c>
    </row>
    <row r="43" spans="1:21" x14ac:dyDescent="0.2">
      <c r="A43" t="s">
        <v>168</v>
      </c>
      <c r="B43" s="64">
        <f>SUM(B41:B42)</f>
        <v>-14954884502.585569</v>
      </c>
    </row>
    <row r="44" spans="1:21" x14ac:dyDescent="0.2">
      <c r="A44" t="s">
        <v>23</v>
      </c>
      <c r="B44" s="64">
        <f>SUM(T8:T35)</f>
        <v>130039897829.61749</v>
      </c>
    </row>
    <row r="45" spans="1:21" ht="17" thickBot="1" x14ac:dyDescent="0.25">
      <c r="A45" s="39" t="s">
        <v>178</v>
      </c>
      <c r="B45" s="65">
        <f>-SUM(U8:U35)</f>
        <v>-18896573357.789276</v>
      </c>
    </row>
    <row r="46" spans="1:21" x14ac:dyDescent="0.2">
      <c r="A46" t="s">
        <v>183</v>
      </c>
      <c r="B46" s="8">
        <f>SUM(B43:B45)</f>
        <v>96188439969.242645</v>
      </c>
    </row>
    <row r="47" spans="1:21" x14ac:dyDescent="0.2">
      <c r="A47" t="s">
        <v>206</v>
      </c>
      <c r="B47" s="8">
        <f>B46*0.9</f>
        <v>86569595972.31839</v>
      </c>
    </row>
    <row r="48" spans="1:21" x14ac:dyDescent="0.2">
      <c r="A48" t="s">
        <v>205</v>
      </c>
      <c r="B48" s="8">
        <f>B46-B47</f>
        <v>9618843996.9242554</v>
      </c>
    </row>
    <row r="51" spans="1:2" x14ac:dyDescent="0.2">
      <c r="A51" s="70" t="s">
        <v>187</v>
      </c>
      <c r="B51" s="67">
        <f>-B3</f>
        <v>-14954884502.585569</v>
      </c>
    </row>
    <row r="52" spans="1:2" x14ac:dyDescent="0.2">
      <c r="A52" s="34" t="s">
        <v>184</v>
      </c>
      <c r="B52" s="68">
        <v>68192322532.330002</v>
      </c>
    </row>
    <row r="53" spans="1:2" x14ac:dyDescent="0.2">
      <c r="A53" s="34" t="s">
        <v>185</v>
      </c>
      <c r="B53" s="67">
        <f>B46</f>
        <v>96188439969.242645</v>
      </c>
    </row>
    <row r="54" spans="1:2" x14ac:dyDescent="0.2">
      <c r="A54" s="34" t="s">
        <v>186</v>
      </c>
      <c r="B54" s="67">
        <f>B53-B52</f>
        <v>27996117436.912643</v>
      </c>
    </row>
    <row r="55" spans="1:2" ht="17" thickBot="1" x14ac:dyDescent="0.25">
      <c r="A55" s="38" t="s">
        <v>190</v>
      </c>
      <c r="B55" s="69">
        <f>B54*0.45</f>
        <v>12598252846.610689</v>
      </c>
    </row>
    <row r="56" spans="1:2" x14ac:dyDescent="0.2">
      <c r="A56" t="s">
        <v>188</v>
      </c>
      <c r="B56" s="8">
        <f>B55+B51</f>
        <v>-2356631655.9748802</v>
      </c>
    </row>
    <row r="57" spans="1:2" x14ac:dyDescent="0.2">
      <c r="A57" t="s">
        <v>189</v>
      </c>
      <c r="B57" s="8">
        <f>B56*0.2</f>
        <v>-471326331.19497609</v>
      </c>
    </row>
    <row r="60" spans="1:2" ht="17" thickBot="1" x14ac:dyDescent="0.25">
      <c r="A60" s="83"/>
      <c r="B60" s="83"/>
    </row>
    <row r="61" spans="1:2" x14ac:dyDescent="0.2">
      <c r="A61" t="s">
        <v>201</v>
      </c>
      <c r="B61" s="23">
        <f>B48</f>
        <v>9618843996.9242554</v>
      </c>
    </row>
    <row r="62" spans="1:2" x14ac:dyDescent="0.2">
      <c r="A62" t="s">
        <v>202</v>
      </c>
      <c r="B62" s="23">
        <f>B47</f>
        <v>86569595972.31839</v>
      </c>
    </row>
    <row r="63" spans="1:2" x14ac:dyDescent="0.2">
      <c r="A63" s="35" t="s">
        <v>204</v>
      </c>
      <c r="B63" s="87">
        <f>utslipp2!C43</f>
        <v>7852936901.0619326</v>
      </c>
    </row>
    <row r="64" spans="1:2" ht="17" thickBot="1" x14ac:dyDescent="0.25">
      <c r="A64" s="89" t="s">
        <v>203</v>
      </c>
      <c r="B64" s="90">
        <f>-'El-markedet 2'!B87</f>
        <v>-26449946498.03735</v>
      </c>
    </row>
    <row r="65" spans="1:2" ht="17" thickBot="1" x14ac:dyDescent="0.25">
      <c r="A65" s="91" t="s">
        <v>207</v>
      </c>
      <c r="B65" s="92">
        <f>SUM(B61:B64)</f>
        <v>77591430372.267227</v>
      </c>
    </row>
    <row r="66" spans="1:2" x14ac:dyDescent="0.2">
      <c r="B66" s="2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D2CE-62F5-8141-A397-B5B976552A74}">
  <dimension ref="A1:D40"/>
  <sheetViews>
    <sheetView tabSelected="1" zoomScaleNormal="100" workbookViewId="0">
      <selection activeCell="H19" sqref="H19"/>
    </sheetView>
  </sheetViews>
  <sheetFormatPr baseColWidth="10" defaultRowHeight="16" x14ac:dyDescent="0.2"/>
  <cols>
    <col min="2" max="2" width="38.1640625" customWidth="1"/>
    <col min="3" max="3" width="24.1640625" customWidth="1"/>
    <col min="4" max="4" width="19.5" customWidth="1"/>
    <col min="5" max="5" width="12.83203125" customWidth="1"/>
  </cols>
  <sheetData>
    <row r="1" spans="1:4" ht="27" thickBot="1" x14ac:dyDescent="0.35">
      <c r="A1" s="39"/>
      <c r="B1" s="86" t="s">
        <v>208</v>
      </c>
      <c r="C1" s="39"/>
      <c r="D1" s="39"/>
    </row>
    <row r="5" spans="1:4" ht="17" thickBot="1" x14ac:dyDescent="0.25">
      <c r="B5" s="79" t="s">
        <v>93</v>
      </c>
      <c r="C5" s="80"/>
    </row>
    <row r="6" spans="1:4" x14ac:dyDescent="0.2">
      <c r="B6" s="147" t="s">
        <v>211</v>
      </c>
      <c r="C6" s="148">
        <f>utkast1!B65</f>
        <v>77591430372.267227</v>
      </c>
    </row>
    <row r="7" spans="1:4" x14ac:dyDescent="0.2">
      <c r="B7" s="147" t="s">
        <v>210</v>
      </c>
      <c r="C7" s="148">
        <f>SUM(utkast1!B61:B63)</f>
        <v>104041376870.30458</v>
      </c>
    </row>
    <row r="8" spans="1:4" x14ac:dyDescent="0.2">
      <c r="B8" s="147" t="s">
        <v>212</v>
      </c>
      <c r="C8" s="148">
        <f>C6-(utkast1!B63)</f>
        <v>69738493471.205292</v>
      </c>
    </row>
    <row r="9" spans="1:4" x14ac:dyDescent="0.2">
      <c r="C9" s="25"/>
    </row>
    <row r="10" spans="1:4" x14ac:dyDescent="0.2">
      <c r="C10" s="25"/>
    </row>
    <row r="11" spans="1:4" x14ac:dyDescent="0.2">
      <c r="C11" s="25"/>
    </row>
    <row r="12" spans="1:4" x14ac:dyDescent="0.2">
      <c r="C12" s="25"/>
    </row>
    <row r="13" spans="1:4" x14ac:dyDescent="0.2">
      <c r="C13" s="25"/>
    </row>
    <row r="14" spans="1:4" ht="21" x14ac:dyDescent="0.25">
      <c r="B14" s="149" t="s">
        <v>213</v>
      </c>
      <c r="C14" s="73" t="s">
        <v>308</v>
      </c>
      <c r="D14" s="73" t="s">
        <v>17</v>
      </c>
    </row>
    <row r="15" spans="1:4" ht="17" thickBot="1" x14ac:dyDescent="0.25">
      <c r="B15" s="71" t="s">
        <v>149</v>
      </c>
      <c r="C15" s="71" t="s">
        <v>137</v>
      </c>
      <c r="D15" s="150" t="s">
        <v>209</v>
      </c>
    </row>
    <row r="16" spans="1:4" x14ac:dyDescent="0.2">
      <c r="B16" s="73" t="s">
        <v>125</v>
      </c>
      <c r="C16" s="151">
        <f>'El-markedet 2'!B87</f>
        <v>26449946498.03735</v>
      </c>
      <c r="D16" s="152">
        <f>C7-C16</f>
        <v>77591430372.267227</v>
      </c>
    </row>
    <row r="17" spans="2:4" x14ac:dyDescent="0.2">
      <c r="B17" s="73" t="s">
        <v>88</v>
      </c>
      <c r="C17" s="151">
        <f>'El-markedet 2'!B88</f>
        <v>39110503575.337257</v>
      </c>
      <c r="D17" s="152">
        <f>C7-C17</f>
        <v>64930873294.967323</v>
      </c>
    </row>
    <row r="18" spans="2:4" x14ac:dyDescent="0.2">
      <c r="B18" s="73" t="s">
        <v>87</v>
      </c>
      <c r="C18" s="151">
        <f>'El-markedet 2'!B89</f>
        <v>15485963338.031343</v>
      </c>
      <c r="D18" s="152">
        <f>C7-C18</f>
        <v>88555413532.273239</v>
      </c>
    </row>
    <row r="21" spans="2:4" ht="21" x14ac:dyDescent="0.25">
      <c r="B21" s="153" t="s">
        <v>214</v>
      </c>
      <c r="C21" s="93"/>
      <c r="D21" s="93"/>
    </row>
    <row r="22" spans="2:4" ht="17" thickBot="1" x14ac:dyDescent="0.25">
      <c r="B22" s="62" t="s">
        <v>149</v>
      </c>
      <c r="C22" s="62" t="s">
        <v>137</v>
      </c>
      <c r="D22" s="154" t="s">
        <v>209</v>
      </c>
    </row>
    <row r="23" spans="2:4" x14ac:dyDescent="0.2">
      <c r="B23" s="93" t="s">
        <v>125</v>
      </c>
      <c r="C23" s="155">
        <f>utslipp2!C43</f>
        <v>7852936901.0619326</v>
      </c>
      <c r="D23" s="155">
        <f>C8+C23</f>
        <v>77591430372.267227</v>
      </c>
    </row>
    <row r="24" spans="2:4" x14ac:dyDescent="0.2">
      <c r="B24" s="93" t="s">
        <v>88</v>
      </c>
      <c r="C24" s="155">
        <f>utslipp2!C44</f>
        <v>13168178461.192135</v>
      </c>
      <c r="D24" s="155">
        <f>C8+C24</f>
        <v>82906671932.39743</v>
      </c>
    </row>
    <row r="25" spans="2:4" x14ac:dyDescent="0.2">
      <c r="B25" s="93" t="s">
        <v>87</v>
      </c>
      <c r="C25" s="155">
        <f>utslipp2!C45</f>
        <v>2934278856.4018412</v>
      </c>
      <c r="D25" s="155">
        <f>C8+C25</f>
        <v>72672772327.607132</v>
      </c>
    </row>
    <row r="28" spans="2:4" ht="21" x14ac:dyDescent="0.25">
      <c r="B28" s="84"/>
    </row>
    <row r="34" spans="2:2" x14ac:dyDescent="0.2">
      <c r="B34" s="23"/>
    </row>
    <row r="35" spans="2:2" x14ac:dyDescent="0.2">
      <c r="B35" s="25"/>
    </row>
    <row r="40" spans="2:2" x14ac:dyDescent="0.2">
      <c r="B40" s="25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D9B-DB82-1A46-8202-1FE2B074B14B}">
  <dimension ref="A2:T102"/>
  <sheetViews>
    <sheetView topLeftCell="A42" zoomScale="87" zoomScaleNormal="87" workbookViewId="0">
      <selection activeCell="E92" sqref="E92"/>
    </sheetView>
  </sheetViews>
  <sheetFormatPr baseColWidth="10" defaultRowHeight="16" x14ac:dyDescent="0.2"/>
  <cols>
    <col min="1" max="1" width="15.1640625" customWidth="1"/>
    <col min="2" max="2" width="19" bestFit="1" customWidth="1"/>
    <col min="3" max="4" width="19.1640625" customWidth="1"/>
    <col min="5" max="5" width="19" customWidth="1"/>
    <col min="6" max="6" width="16" customWidth="1"/>
    <col min="7" max="7" width="13" customWidth="1"/>
    <col min="8" max="8" width="14.5" customWidth="1"/>
    <col min="9" max="9" width="16.6640625" customWidth="1"/>
    <col min="10" max="10" width="18.1640625" customWidth="1"/>
    <col min="11" max="11" width="15.33203125" customWidth="1"/>
    <col min="12" max="12" width="17.5" customWidth="1"/>
    <col min="13" max="13" width="18.83203125" customWidth="1"/>
    <col min="14" max="14" width="17.1640625" customWidth="1"/>
    <col min="15" max="15" width="18.6640625" customWidth="1"/>
    <col min="16" max="16" width="17.1640625" customWidth="1"/>
    <col min="17" max="17" width="14.5" customWidth="1"/>
    <col min="18" max="18" width="16.6640625" customWidth="1"/>
    <col min="20" max="20" width="15.83203125" customWidth="1"/>
  </cols>
  <sheetData>
    <row r="2" spans="1:5" x14ac:dyDescent="0.2">
      <c r="A2" t="s">
        <v>50</v>
      </c>
      <c r="B2" s="22">
        <v>0.223</v>
      </c>
      <c r="D2" t="s">
        <v>142</v>
      </c>
      <c r="E2">
        <v>7.0000000000000007E-2</v>
      </c>
    </row>
    <row r="3" spans="1:5" x14ac:dyDescent="0.2">
      <c r="A3" t="s">
        <v>26</v>
      </c>
      <c r="D3" t="s">
        <v>143</v>
      </c>
      <c r="E3">
        <v>1.07</v>
      </c>
    </row>
    <row r="4" spans="1:5" x14ac:dyDescent="0.2">
      <c r="A4" t="s">
        <v>81</v>
      </c>
      <c r="B4" s="4">
        <v>7.0000000000000007E-2</v>
      </c>
    </row>
    <row r="8" spans="1:5" x14ac:dyDescent="0.2">
      <c r="A8" s="134" t="s">
        <v>127</v>
      </c>
      <c r="B8" s="127"/>
      <c r="C8" s="127"/>
      <c r="D8" s="127"/>
    </row>
    <row r="9" spans="1:5" x14ac:dyDescent="0.2">
      <c r="A9" s="127" t="s">
        <v>123</v>
      </c>
      <c r="B9" s="127"/>
      <c r="C9" s="127"/>
      <c r="D9" s="127"/>
    </row>
    <row r="10" spans="1:5" x14ac:dyDescent="0.2">
      <c r="A10" s="127"/>
      <c r="B10" s="127"/>
      <c r="C10" s="127"/>
      <c r="D10" s="127"/>
    </row>
    <row r="11" spans="1:5" x14ac:dyDescent="0.2">
      <c r="A11" s="127" t="s">
        <v>124</v>
      </c>
      <c r="B11" s="127">
        <v>2030</v>
      </c>
      <c r="C11" s="127">
        <v>2035</v>
      </c>
      <c r="D11" s="127">
        <v>2040</v>
      </c>
    </row>
    <row r="12" spans="1:5" x14ac:dyDescent="0.2">
      <c r="A12" s="127" t="s">
        <v>125</v>
      </c>
      <c r="B12" s="135">
        <v>75</v>
      </c>
      <c r="C12" s="135">
        <v>58</v>
      </c>
      <c r="D12" s="135">
        <v>48</v>
      </c>
    </row>
    <row r="13" spans="1:5" x14ac:dyDescent="0.2">
      <c r="A13" s="127" t="s">
        <v>88</v>
      </c>
      <c r="B13" s="135">
        <v>114</v>
      </c>
      <c r="C13" s="135">
        <v>82</v>
      </c>
      <c r="D13" s="135">
        <v>71</v>
      </c>
    </row>
    <row r="14" spans="1:5" x14ac:dyDescent="0.2">
      <c r="A14" s="127" t="s">
        <v>126</v>
      </c>
      <c r="B14" s="135">
        <v>44</v>
      </c>
      <c r="C14" s="135">
        <v>34</v>
      </c>
      <c r="D14" s="135">
        <v>28</v>
      </c>
    </row>
    <row r="17" spans="1:10" x14ac:dyDescent="0.2">
      <c r="A17" s="127" t="s">
        <v>128</v>
      </c>
      <c r="B17" s="127" t="s">
        <v>129</v>
      </c>
      <c r="C17" s="127" t="s">
        <v>130</v>
      </c>
      <c r="D17" s="127" t="s">
        <v>131</v>
      </c>
      <c r="E17" s="127" t="s">
        <v>132</v>
      </c>
      <c r="F17" s="127" t="s">
        <v>136</v>
      </c>
      <c r="G17" s="127" t="s">
        <v>59</v>
      </c>
      <c r="H17" s="127" t="s">
        <v>133</v>
      </c>
      <c r="I17" s="127" t="s">
        <v>134</v>
      </c>
      <c r="J17" s="127" t="s">
        <v>135</v>
      </c>
    </row>
    <row r="18" spans="1:10" x14ac:dyDescent="0.2">
      <c r="A18">
        <v>2023</v>
      </c>
      <c r="E18" s="24"/>
      <c r="H18">
        <v>20</v>
      </c>
      <c r="I18">
        <f>H18*1000000000</f>
        <v>20000000000</v>
      </c>
      <c r="J18" s="20"/>
    </row>
    <row r="19" spans="1:10" x14ac:dyDescent="0.2">
      <c r="A19">
        <v>2024</v>
      </c>
      <c r="E19" s="24"/>
      <c r="H19">
        <v>20</v>
      </c>
      <c r="I19">
        <f t="shared" ref="I19:I24" si="0">H19*1000000000</f>
        <v>20000000000</v>
      </c>
      <c r="J19" s="20"/>
    </row>
    <row r="20" spans="1:10" x14ac:dyDescent="0.2">
      <c r="A20">
        <v>2025</v>
      </c>
      <c r="E20" s="24"/>
      <c r="H20">
        <v>20</v>
      </c>
      <c r="I20">
        <f t="shared" si="0"/>
        <v>20000000000</v>
      </c>
      <c r="J20" s="20"/>
    </row>
    <row r="21" spans="1:10" x14ac:dyDescent="0.2">
      <c r="A21">
        <v>2026</v>
      </c>
      <c r="E21" s="24"/>
      <c r="H21">
        <v>20</v>
      </c>
      <c r="I21">
        <f t="shared" si="0"/>
        <v>20000000000</v>
      </c>
      <c r="J21" s="20"/>
    </row>
    <row r="22" spans="1:10" x14ac:dyDescent="0.2">
      <c r="A22">
        <v>2027</v>
      </c>
      <c r="E22" s="24"/>
      <c r="H22">
        <v>20</v>
      </c>
      <c r="I22">
        <f t="shared" si="0"/>
        <v>20000000000</v>
      </c>
      <c r="J22" s="20"/>
    </row>
    <row r="23" spans="1:10" x14ac:dyDescent="0.2">
      <c r="A23">
        <v>2028</v>
      </c>
      <c r="E23" s="24"/>
      <c r="H23">
        <v>20</v>
      </c>
      <c r="I23">
        <f t="shared" si="0"/>
        <v>20000000000</v>
      </c>
      <c r="J23" s="20"/>
    </row>
    <row r="24" spans="1:10" x14ac:dyDescent="0.2">
      <c r="A24">
        <v>2029</v>
      </c>
      <c r="E24" s="24"/>
      <c r="H24">
        <v>20</v>
      </c>
      <c r="I24">
        <f t="shared" si="0"/>
        <v>20000000000</v>
      </c>
      <c r="J24" s="20"/>
    </row>
    <row r="25" spans="1:10" x14ac:dyDescent="0.2">
      <c r="A25" s="42">
        <v>2030</v>
      </c>
      <c r="B25" s="43">
        <v>75</v>
      </c>
      <c r="C25" s="43">
        <v>114</v>
      </c>
      <c r="D25" s="43">
        <v>44</v>
      </c>
      <c r="E25" s="44">
        <v>0.223</v>
      </c>
      <c r="F25" s="45">
        <f>B25*E25</f>
        <v>16.725000000000001</v>
      </c>
      <c r="G25" s="45">
        <f>B25+F25</f>
        <v>91.724999999999994</v>
      </c>
      <c r="H25" s="46">
        <v>24</v>
      </c>
      <c r="I25" s="47">
        <f>H25*1000000000</f>
        <v>24000000000</v>
      </c>
      <c r="J25" s="48">
        <f>I25*(F25/100)</f>
        <v>4014000000</v>
      </c>
    </row>
    <row r="26" spans="1:10" x14ac:dyDescent="0.2">
      <c r="A26" s="33">
        <v>2031</v>
      </c>
      <c r="B26" s="49">
        <v>75</v>
      </c>
      <c r="C26" s="49">
        <v>114</v>
      </c>
      <c r="D26" s="49">
        <v>44</v>
      </c>
      <c r="E26" s="50">
        <v>0.223</v>
      </c>
      <c r="F26" s="51">
        <f t="shared" ref="F26:F30" si="1">B26*E26</f>
        <v>16.725000000000001</v>
      </c>
      <c r="G26" s="51">
        <f t="shared" ref="G26:G30" si="2">B26+F26</f>
        <v>91.724999999999994</v>
      </c>
      <c r="H26" s="52">
        <v>24</v>
      </c>
      <c r="I26" s="34">
        <f t="shared" ref="I26:I45" si="3">H26*1000000000</f>
        <v>24000000000</v>
      </c>
      <c r="J26" s="53">
        <f t="shared" ref="J26:J30" si="4">I26*(F26/100)</f>
        <v>4014000000</v>
      </c>
    </row>
    <row r="27" spans="1:10" x14ac:dyDescent="0.2">
      <c r="A27" s="33">
        <v>2032</v>
      </c>
      <c r="B27" s="49">
        <v>75</v>
      </c>
      <c r="C27" s="49">
        <v>114</v>
      </c>
      <c r="D27" s="49">
        <v>44</v>
      </c>
      <c r="E27" s="50">
        <v>0.223</v>
      </c>
      <c r="F27" s="51">
        <f t="shared" si="1"/>
        <v>16.725000000000001</v>
      </c>
      <c r="G27" s="51">
        <f t="shared" si="2"/>
        <v>91.724999999999994</v>
      </c>
      <c r="H27" s="52">
        <v>24</v>
      </c>
      <c r="I27" s="34">
        <f t="shared" si="3"/>
        <v>24000000000</v>
      </c>
      <c r="J27" s="53">
        <f t="shared" si="4"/>
        <v>4014000000</v>
      </c>
    </row>
    <row r="28" spans="1:10" x14ac:dyDescent="0.2">
      <c r="A28" s="33">
        <v>2033</v>
      </c>
      <c r="B28" s="49">
        <v>75</v>
      </c>
      <c r="C28" s="49">
        <v>114</v>
      </c>
      <c r="D28" s="49">
        <v>44</v>
      </c>
      <c r="E28" s="50">
        <v>0.223</v>
      </c>
      <c r="F28" s="51">
        <f t="shared" si="1"/>
        <v>16.725000000000001</v>
      </c>
      <c r="G28" s="51">
        <f t="shared" si="2"/>
        <v>91.724999999999994</v>
      </c>
      <c r="H28" s="52">
        <v>24</v>
      </c>
      <c r="I28" s="34">
        <f t="shared" si="3"/>
        <v>24000000000</v>
      </c>
      <c r="J28" s="53">
        <f t="shared" si="4"/>
        <v>4014000000</v>
      </c>
    </row>
    <row r="29" spans="1:10" x14ac:dyDescent="0.2">
      <c r="A29" s="33">
        <v>2034</v>
      </c>
      <c r="B29" s="49">
        <v>75</v>
      </c>
      <c r="C29" s="49">
        <v>114</v>
      </c>
      <c r="D29" s="49">
        <v>44</v>
      </c>
      <c r="E29" s="50">
        <v>0.223</v>
      </c>
      <c r="F29" s="51">
        <f t="shared" si="1"/>
        <v>16.725000000000001</v>
      </c>
      <c r="G29" s="51">
        <f t="shared" si="2"/>
        <v>91.724999999999994</v>
      </c>
      <c r="H29" s="52">
        <v>24</v>
      </c>
      <c r="I29" s="34">
        <f t="shared" si="3"/>
        <v>24000000000</v>
      </c>
      <c r="J29" s="53">
        <f t="shared" si="4"/>
        <v>4014000000</v>
      </c>
    </row>
    <row r="30" spans="1:10" x14ac:dyDescent="0.2">
      <c r="A30" s="54">
        <v>2035</v>
      </c>
      <c r="B30" s="55">
        <v>58</v>
      </c>
      <c r="C30" s="55">
        <v>82</v>
      </c>
      <c r="D30" s="55">
        <v>34</v>
      </c>
      <c r="E30" s="56">
        <v>0.223</v>
      </c>
      <c r="F30" s="57">
        <f t="shared" si="1"/>
        <v>12.934000000000001</v>
      </c>
      <c r="G30" s="57">
        <f t="shared" si="2"/>
        <v>70.933999999999997</v>
      </c>
      <c r="H30" s="58">
        <v>28</v>
      </c>
      <c r="I30" s="35">
        <f t="shared" si="3"/>
        <v>28000000000</v>
      </c>
      <c r="J30" s="59">
        <f t="shared" si="4"/>
        <v>3621520000.0000005</v>
      </c>
    </row>
    <row r="31" spans="1:10" x14ac:dyDescent="0.2">
      <c r="A31">
        <v>2036</v>
      </c>
      <c r="B31" s="27">
        <v>58</v>
      </c>
      <c r="C31" s="27">
        <v>82</v>
      </c>
      <c r="D31" s="27">
        <v>34</v>
      </c>
      <c r="E31" s="24"/>
      <c r="H31" s="26">
        <v>28</v>
      </c>
      <c r="I31" s="35">
        <f t="shared" si="3"/>
        <v>28000000000</v>
      </c>
      <c r="J31" s="20"/>
    </row>
    <row r="32" spans="1:10" x14ac:dyDescent="0.2">
      <c r="A32">
        <v>2037</v>
      </c>
      <c r="B32" s="27">
        <v>58</v>
      </c>
      <c r="C32" s="27">
        <v>82</v>
      </c>
      <c r="D32" s="27">
        <v>34</v>
      </c>
      <c r="E32" s="24"/>
      <c r="H32" s="26">
        <v>28</v>
      </c>
      <c r="I32" s="35">
        <f t="shared" si="3"/>
        <v>28000000000</v>
      </c>
      <c r="J32" s="20"/>
    </row>
    <row r="33" spans="1:10" x14ac:dyDescent="0.2">
      <c r="A33">
        <v>2038</v>
      </c>
      <c r="B33" s="27">
        <v>58</v>
      </c>
      <c r="C33" s="27">
        <v>82</v>
      </c>
      <c r="D33" s="27">
        <v>34</v>
      </c>
      <c r="E33" s="24"/>
      <c r="H33" s="26">
        <v>28</v>
      </c>
      <c r="I33" s="35">
        <f t="shared" si="3"/>
        <v>28000000000</v>
      </c>
      <c r="J33" s="20"/>
    </row>
    <row r="34" spans="1:10" x14ac:dyDescent="0.2">
      <c r="A34">
        <v>2039</v>
      </c>
      <c r="B34" s="27">
        <v>58</v>
      </c>
      <c r="C34" s="27">
        <v>82</v>
      </c>
      <c r="D34" s="27">
        <v>34</v>
      </c>
      <c r="E34" s="24"/>
      <c r="H34" s="26">
        <v>28</v>
      </c>
      <c r="I34" s="35">
        <f t="shared" si="3"/>
        <v>28000000000</v>
      </c>
      <c r="J34" s="20"/>
    </row>
    <row r="35" spans="1:10" x14ac:dyDescent="0.2">
      <c r="A35">
        <v>2040</v>
      </c>
      <c r="B35" s="27">
        <v>48</v>
      </c>
      <c r="C35" s="27">
        <v>71</v>
      </c>
      <c r="D35" s="27">
        <v>28</v>
      </c>
      <c r="E35" s="24"/>
      <c r="H35" s="26">
        <v>31</v>
      </c>
      <c r="I35" s="35">
        <f t="shared" si="3"/>
        <v>31000000000</v>
      </c>
      <c r="J35" s="20"/>
    </row>
    <row r="36" spans="1:10" x14ac:dyDescent="0.2">
      <c r="A36">
        <v>2041</v>
      </c>
      <c r="B36" s="27">
        <v>48</v>
      </c>
      <c r="C36" s="27">
        <v>71</v>
      </c>
      <c r="D36" s="27">
        <v>28</v>
      </c>
      <c r="E36" s="24"/>
      <c r="H36" s="26">
        <v>31</v>
      </c>
      <c r="I36" s="35">
        <f t="shared" si="3"/>
        <v>31000000000</v>
      </c>
      <c r="J36" s="20"/>
    </row>
    <row r="37" spans="1:10" x14ac:dyDescent="0.2">
      <c r="A37">
        <v>2042</v>
      </c>
      <c r="B37" s="27">
        <v>48</v>
      </c>
      <c r="C37" s="27">
        <v>71</v>
      </c>
      <c r="D37" s="27">
        <v>28</v>
      </c>
      <c r="E37" s="24"/>
      <c r="H37" s="26">
        <v>31</v>
      </c>
      <c r="I37" s="35">
        <f t="shared" si="3"/>
        <v>31000000000</v>
      </c>
      <c r="J37" s="20"/>
    </row>
    <row r="38" spans="1:10" x14ac:dyDescent="0.2">
      <c r="A38">
        <v>2043</v>
      </c>
      <c r="B38" s="27">
        <v>48</v>
      </c>
      <c r="C38" s="27">
        <v>71</v>
      </c>
      <c r="D38" s="27">
        <v>28</v>
      </c>
      <c r="E38" s="24"/>
      <c r="H38" s="26">
        <v>31</v>
      </c>
      <c r="I38" s="35">
        <f t="shared" si="3"/>
        <v>31000000000</v>
      </c>
      <c r="J38" s="20"/>
    </row>
    <row r="39" spans="1:10" x14ac:dyDescent="0.2">
      <c r="A39">
        <v>2044</v>
      </c>
      <c r="B39" s="27">
        <v>48</v>
      </c>
      <c r="C39" s="27">
        <v>71</v>
      </c>
      <c r="D39" s="27">
        <v>28</v>
      </c>
      <c r="E39" s="24"/>
      <c r="H39" s="26">
        <v>31</v>
      </c>
      <c r="I39" s="35">
        <f t="shared" si="3"/>
        <v>31000000000</v>
      </c>
      <c r="J39" s="20"/>
    </row>
    <row r="40" spans="1:10" x14ac:dyDescent="0.2">
      <c r="A40">
        <v>2045</v>
      </c>
      <c r="E40" s="24"/>
      <c r="H40" s="26">
        <v>31</v>
      </c>
      <c r="I40" s="35">
        <f t="shared" si="3"/>
        <v>31000000000</v>
      </c>
      <c r="J40" s="20"/>
    </row>
    <row r="41" spans="1:10" x14ac:dyDescent="0.2">
      <c r="A41">
        <v>2046</v>
      </c>
      <c r="E41" s="24"/>
      <c r="H41" s="26">
        <v>31</v>
      </c>
      <c r="I41" s="35">
        <f t="shared" si="3"/>
        <v>31000000000</v>
      </c>
      <c r="J41" s="20"/>
    </row>
    <row r="42" spans="1:10" x14ac:dyDescent="0.2">
      <c r="A42">
        <v>2047</v>
      </c>
      <c r="E42" s="24"/>
      <c r="H42" s="26">
        <v>31</v>
      </c>
      <c r="I42" s="35">
        <f t="shared" si="3"/>
        <v>31000000000</v>
      </c>
      <c r="J42" s="20"/>
    </row>
    <row r="43" spans="1:10" x14ac:dyDescent="0.2">
      <c r="A43">
        <v>2048</v>
      </c>
      <c r="E43" s="24"/>
      <c r="H43" s="26">
        <v>31</v>
      </c>
      <c r="I43" s="35">
        <f t="shared" si="3"/>
        <v>31000000000</v>
      </c>
      <c r="J43" s="20"/>
    </row>
    <row r="44" spans="1:10" x14ac:dyDescent="0.2">
      <c r="A44">
        <v>2049</v>
      </c>
      <c r="E44" s="24"/>
      <c r="H44" s="26">
        <v>31</v>
      </c>
      <c r="I44" s="35">
        <f t="shared" si="3"/>
        <v>31000000000</v>
      </c>
      <c r="J44" s="20"/>
    </row>
    <row r="45" spans="1:10" x14ac:dyDescent="0.2">
      <c r="A45">
        <v>2050</v>
      </c>
      <c r="E45" s="24"/>
      <c r="H45" s="26">
        <v>31</v>
      </c>
      <c r="I45" s="35">
        <f t="shared" si="3"/>
        <v>31000000000</v>
      </c>
      <c r="J45" s="20"/>
    </row>
    <row r="49" spans="1:20" x14ac:dyDescent="0.2">
      <c r="A49" t="s">
        <v>137</v>
      </c>
    </row>
    <row r="50" spans="1:20" x14ac:dyDescent="0.2">
      <c r="A50" t="s">
        <v>125</v>
      </c>
      <c r="B50" s="7">
        <f>NPV(B4,J18:J45)</f>
        <v>18871364198.289616</v>
      </c>
    </row>
    <row r="53" spans="1:20" x14ac:dyDescent="0.2">
      <c r="A53" s="19"/>
    </row>
    <row r="54" spans="1:20" ht="17" thickBot="1" x14ac:dyDescent="0.25">
      <c r="D54" s="29" t="s">
        <v>139</v>
      </c>
      <c r="E54" s="30"/>
      <c r="F54" s="30"/>
      <c r="G54" s="31" t="s">
        <v>140</v>
      </c>
      <c r="H54" s="32"/>
      <c r="I54" s="32"/>
      <c r="J54" s="36" t="s">
        <v>141</v>
      </c>
      <c r="K54" s="37"/>
      <c r="L54" s="37"/>
      <c r="M54" s="40" t="s">
        <v>147</v>
      </c>
      <c r="N54" s="41"/>
      <c r="O54" s="41"/>
      <c r="P54" s="38" t="s">
        <v>148</v>
      </c>
      <c r="Q54" s="39"/>
      <c r="R54" s="39"/>
    </row>
    <row r="55" spans="1:20" x14ac:dyDescent="0.2">
      <c r="A55" t="s">
        <v>19</v>
      </c>
      <c r="B55" t="s">
        <v>132</v>
      </c>
      <c r="C55" t="s">
        <v>134</v>
      </c>
      <c r="D55" t="s">
        <v>138</v>
      </c>
      <c r="E55" t="s">
        <v>136</v>
      </c>
      <c r="F55" t="s">
        <v>135</v>
      </c>
      <c r="G55" t="s">
        <v>138</v>
      </c>
      <c r="H55" t="s">
        <v>136</v>
      </c>
      <c r="I55" t="s">
        <v>135</v>
      </c>
      <c r="J55" t="s">
        <v>138</v>
      </c>
      <c r="K55" t="s">
        <v>136</v>
      </c>
      <c r="L55" t="s">
        <v>135</v>
      </c>
      <c r="M55" t="s">
        <v>145</v>
      </c>
      <c r="N55" t="s">
        <v>144</v>
      </c>
      <c r="O55" t="s">
        <v>146</v>
      </c>
      <c r="P55" t="s">
        <v>139</v>
      </c>
      <c r="Q55" t="s">
        <v>140</v>
      </c>
      <c r="R55" t="s">
        <v>141</v>
      </c>
    </row>
    <row r="56" spans="1:20" x14ac:dyDescent="0.2">
      <c r="A56">
        <v>2023</v>
      </c>
      <c r="B56" s="4">
        <v>0</v>
      </c>
      <c r="C56">
        <f>I18</f>
        <v>20000000000</v>
      </c>
      <c r="D56" s="27"/>
      <c r="E56">
        <f>D56*B56</f>
        <v>0</v>
      </c>
      <c r="F56" s="20">
        <f>C56*(E56/100)</f>
        <v>0</v>
      </c>
      <c r="H56">
        <v>0</v>
      </c>
      <c r="I56" s="20">
        <f>C56*(H56/100)</f>
        <v>0</v>
      </c>
      <c r="K56">
        <v>0</v>
      </c>
      <c r="L56" s="20">
        <f>C56*(K56/100)</f>
        <v>0</v>
      </c>
      <c r="M56">
        <v>1</v>
      </c>
      <c r="N56">
        <v>1</v>
      </c>
      <c r="O56">
        <f>1/N56</f>
        <v>1</v>
      </c>
      <c r="P56" s="20">
        <f>F56*O56</f>
        <v>0</v>
      </c>
      <c r="Q56" s="20">
        <f>I56*O56</f>
        <v>0</v>
      </c>
      <c r="R56" s="20">
        <f>L56*O56</f>
        <v>0</v>
      </c>
    </row>
    <row r="57" spans="1:20" x14ac:dyDescent="0.2">
      <c r="A57">
        <v>2024</v>
      </c>
      <c r="B57" s="4">
        <v>0</v>
      </c>
      <c r="C57">
        <f t="shared" ref="C57:C62" si="5">I19</f>
        <v>20000000000</v>
      </c>
      <c r="D57" s="27"/>
      <c r="E57">
        <f t="shared" ref="E57:E62" si="6">D57*B57</f>
        <v>0</v>
      </c>
      <c r="F57" s="20">
        <f t="shared" ref="F57:F62" si="7">C57*(E57/100)</f>
        <v>0</v>
      </c>
      <c r="H57">
        <v>0</v>
      </c>
      <c r="I57" s="20">
        <f t="shared" ref="I57:I62" si="8">C57*(H57/100)</f>
        <v>0</v>
      </c>
      <c r="K57">
        <v>0</v>
      </c>
      <c r="L57" s="20">
        <f t="shared" ref="L57:L62" si="9">C57*(K57/100)</f>
        <v>0</v>
      </c>
      <c r="M57">
        <v>1.07</v>
      </c>
      <c r="N57">
        <f>N56*M57</f>
        <v>1.07</v>
      </c>
      <c r="O57">
        <f t="shared" ref="O57:O83" si="10">1/N57</f>
        <v>0.93457943925233644</v>
      </c>
      <c r="P57" s="20">
        <f t="shared" ref="P57:P62" si="11">F57*O57</f>
        <v>0</v>
      </c>
      <c r="Q57" s="20">
        <f t="shared" ref="Q57:Q62" si="12">I57*O57</f>
        <v>0</v>
      </c>
      <c r="R57" s="20">
        <f>L57*O57</f>
        <v>0</v>
      </c>
      <c r="T57" s="20"/>
    </row>
    <row r="58" spans="1:20" x14ac:dyDescent="0.2">
      <c r="A58">
        <v>2025</v>
      </c>
      <c r="B58" s="4">
        <v>0</v>
      </c>
      <c r="C58">
        <f t="shared" si="5"/>
        <v>20000000000</v>
      </c>
      <c r="D58" s="27"/>
      <c r="E58">
        <f t="shared" si="6"/>
        <v>0</v>
      </c>
      <c r="F58" s="20">
        <f t="shared" si="7"/>
        <v>0</v>
      </c>
      <c r="H58">
        <v>0</v>
      </c>
      <c r="I58" s="20">
        <f t="shared" si="8"/>
        <v>0</v>
      </c>
      <c r="K58">
        <v>0</v>
      </c>
      <c r="L58" s="20">
        <f t="shared" si="9"/>
        <v>0</v>
      </c>
      <c r="M58">
        <v>1.07</v>
      </c>
      <c r="N58">
        <f t="shared" ref="N58:N83" si="13">N57*M58</f>
        <v>1.1449</v>
      </c>
      <c r="O58">
        <f t="shared" si="10"/>
        <v>0.87343872827321156</v>
      </c>
      <c r="P58" s="20">
        <f t="shared" si="11"/>
        <v>0</v>
      </c>
      <c r="Q58" s="20">
        <f t="shared" si="12"/>
        <v>0</v>
      </c>
      <c r="R58" s="20">
        <f>L58*O58</f>
        <v>0</v>
      </c>
      <c r="T58" s="20"/>
    </row>
    <row r="59" spans="1:20" x14ac:dyDescent="0.2">
      <c r="A59">
        <v>2026</v>
      </c>
      <c r="B59" s="4">
        <v>0</v>
      </c>
      <c r="C59">
        <f t="shared" si="5"/>
        <v>20000000000</v>
      </c>
      <c r="D59" s="27"/>
      <c r="E59">
        <f t="shared" si="6"/>
        <v>0</v>
      </c>
      <c r="F59" s="20">
        <f t="shared" si="7"/>
        <v>0</v>
      </c>
      <c r="H59">
        <v>0</v>
      </c>
      <c r="I59" s="20">
        <f t="shared" si="8"/>
        <v>0</v>
      </c>
      <c r="K59">
        <v>0</v>
      </c>
      <c r="L59" s="20">
        <f t="shared" si="9"/>
        <v>0</v>
      </c>
      <c r="M59">
        <v>1.07</v>
      </c>
      <c r="N59">
        <f t="shared" si="13"/>
        <v>1.2250430000000001</v>
      </c>
      <c r="O59">
        <f t="shared" si="10"/>
        <v>0.81629787689085187</v>
      </c>
      <c r="P59" s="20">
        <f t="shared" si="11"/>
        <v>0</v>
      </c>
      <c r="Q59" s="20">
        <f t="shared" si="12"/>
        <v>0</v>
      </c>
      <c r="R59" s="20">
        <f>L59*O59</f>
        <v>0</v>
      </c>
      <c r="T59" s="20"/>
    </row>
    <row r="60" spans="1:20" x14ac:dyDescent="0.2">
      <c r="A60">
        <v>2027</v>
      </c>
      <c r="B60" s="4">
        <v>0</v>
      </c>
      <c r="C60">
        <f t="shared" si="5"/>
        <v>20000000000</v>
      </c>
      <c r="D60" s="27"/>
      <c r="E60">
        <f t="shared" si="6"/>
        <v>0</v>
      </c>
      <c r="F60" s="20">
        <f t="shared" si="7"/>
        <v>0</v>
      </c>
      <c r="H60">
        <v>0</v>
      </c>
      <c r="I60" s="20">
        <f t="shared" si="8"/>
        <v>0</v>
      </c>
      <c r="K60">
        <v>0</v>
      </c>
      <c r="L60" s="20">
        <f t="shared" si="9"/>
        <v>0</v>
      </c>
      <c r="M60">
        <v>1.07</v>
      </c>
      <c r="N60">
        <f t="shared" si="13"/>
        <v>1.3107960100000002</v>
      </c>
      <c r="O60">
        <f t="shared" si="10"/>
        <v>0.76289521204752508</v>
      </c>
      <c r="P60" s="20">
        <f t="shared" si="11"/>
        <v>0</v>
      </c>
      <c r="Q60" s="20">
        <f t="shared" si="12"/>
        <v>0</v>
      </c>
      <c r="R60" s="20">
        <f>L60*O60</f>
        <v>0</v>
      </c>
      <c r="T60" s="20"/>
    </row>
    <row r="61" spans="1:20" x14ac:dyDescent="0.2">
      <c r="A61">
        <v>2028</v>
      </c>
      <c r="B61" s="4">
        <v>0</v>
      </c>
      <c r="C61">
        <f t="shared" si="5"/>
        <v>20000000000</v>
      </c>
      <c r="D61" s="27"/>
      <c r="E61">
        <f t="shared" si="6"/>
        <v>0</v>
      </c>
      <c r="F61" s="20">
        <f t="shared" si="7"/>
        <v>0</v>
      </c>
      <c r="H61">
        <v>0</v>
      </c>
      <c r="I61" s="20">
        <f t="shared" si="8"/>
        <v>0</v>
      </c>
      <c r="K61">
        <v>0</v>
      </c>
      <c r="L61" s="20">
        <f t="shared" si="9"/>
        <v>0</v>
      </c>
      <c r="M61">
        <v>1.07</v>
      </c>
      <c r="N61">
        <f t="shared" si="13"/>
        <v>1.4025517307000004</v>
      </c>
      <c r="O61">
        <f t="shared" si="10"/>
        <v>0.71298617948366827</v>
      </c>
      <c r="P61" s="20">
        <f t="shared" si="11"/>
        <v>0</v>
      </c>
      <c r="Q61" s="20">
        <f t="shared" si="12"/>
        <v>0</v>
      </c>
      <c r="R61" s="20">
        <f>L61*O61</f>
        <v>0</v>
      </c>
      <c r="T61" s="20"/>
    </row>
    <row r="62" spans="1:20" x14ac:dyDescent="0.2">
      <c r="A62">
        <v>2029</v>
      </c>
      <c r="B62" s="4">
        <v>0</v>
      </c>
      <c r="C62">
        <f t="shared" si="5"/>
        <v>20000000000</v>
      </c>
      <c r="D62" s="27"/>
      <c r="E62">
        <f t="shared" si="6"/>
        <v>0</v>
      </c>
      <c r="F62" s="20">
        <f t="shared" si="7"/>
        <v>0</v>
      </c>
      <c r="H62">
        <v>0</v>
      </c>
      <c r="I62" s="20">
        <f t="shared" si="8"/>
        <v>0</v>
      </c>
      <c r="K62">
        <v>0</v>
      </c>
      <c r="L62" s="20">
        <f t="shared" si="9"/>
        <v>0</v>
      </c>
      <c r="M62">
        <v>1.07</v>
      </c>
      <c r="N62">
        <f t="shared" si="13"/>
        <v>1.5007303518490005</v>
      </c>
      <c r="O62">
        <f t="shared" si="10"/>
        <v>0.66634222381651231</v>
      </c>
      <c r="P62" s="20">
        <f t="shared" si="11"/>
        <v>0</v>
      </c>
      <c r="Q62" s="20">
        <f t="shared" si="12"/>
        <v>0</v>
      </c>
      <c r="R62" s="20">
        <f>L62*O62</f>
        <v>0</v>
      </c>
      <c r="T62" s="20"/>
    </row>
    <row r="63" spans="1:20" x14ac:dyDescent="0.2">
      <c r="A63">
        <v>2030</v>
      </c>
      <c r="B63" s="22">
        <v>0.223</v>
      </c>
      <c r="C63">
        <f>I25</f>
        <v>24000000000</v>
      </c>
      <c r="D63" s="27">
        <v>114</v>
      </c>
      <c r="E63">
        <f>D63*B63</f>
        <v>25.422000000000001</v>
      </c>
      <c r="F63" s="20">
        <f>C63*(E63/100)</f>
        <v>6101280000</v>
      </c>
      <c r="G63" s="27">
        <v>44</v>
      </c>
      <c r="H63">
        <f>G63*B63</f>
        <v>9.8119999999999994</v>
      </c>
      <c r="I63" s="20">
        <f>C63*(H63/100)</f>
        <v>2354880000</v>
      </c>
      <c r="J63" s="27">
        <v>75</v>
      </c>
      <c r="K63">
        <f>J63*B63</f>
        <v>16.725000000000001</v>
      </c>
      <c r="L63" s="20">
        <f>C63*(K63/100)</f>
        <v>4014000000</v>
      </c>
      <c r="M63">
        <v>1.07</v>
      </c>
      <c r="N63">
        <f t="shared" si="13"/>
        <v>1.6057814764784306</v>
      </c>
      <c r="O63">
        <f t="shared" si="10"/>
        <v>0.62274974188459098</v>
      </c>
      <c r="P63" s="20">
        <f>F63*O63</f>
        <v>3799570545.1656175</v>
      </c>
      <c r="Q63" s="20">
        <f>I63*O63</f>
        <v>1466500912.1691856</v>
      </c>
      <c r="R63" s="20">
        <f>L63*O63</f>
        <v>2499717463.9247484</v>
      </c>
      <c r="T63" s="20"/>
    </row>
    <row r="64" spans="1:20" x14ac:dyDescent="0.2">
      <c r="A64">
        <v>2031</v>
      </c>
      <c r="B64" s="22">
        <v>0.223</v>
      </c>
      <c r="C64">
        <f>I26</f>
        <v>24000000000</v>
      </c>
      <c r="D64" s="27">
        <v>114</v>
      </c>
      <c r="E64">
        <f t="shared" ref="E64:E83" si="14">D64*B64</f>
        <v>25.422000000000001</v>
      </c>
      <c r="F64" s="20">
        <f t="shared" ref="F64:F83" si="15">C64*(E64/100)</f>
        <v>6101280000</v>
      </c>
      <c r="G64" s="27">
        <v>44</v>
      </c>
      <c r="H64">
        <f t="shared" ref="H64:H83" si="16">G64*B64</f>
        <v>9.8119999999999994</v>
      </c>
      <c r="I64" s="20">
        <f t="shared" ref="I64:I83" si="17">C64*(H64/100)</f>
        <v>2354880000</v>
      </c>
      <c r="J64" s="27">
        <v>75</v>
      </c>
      <c r="K64">
        <f t="shared" ref="K64:K83" si="18">J64*B64</f>
        <v>16.725000000000001</v>
      </c>
      <c r="L64" s="20">
        <f>C64*(K64/100)</f>
        <v>4014000000</v>
      </c>
      <c r="M64">
        <v>1.07</v>
      </c>
      <c r="N64">
        <f t="shared" si="13"/>
        <v>1.7181861798319209</v>
      </c>
      <c r="O64">
        <f t="shared" si="10"/>
        <v>0.58200910456503818</v>
      </c>
      <c r="P64" s="20">
        <f t="shared" ref="P64:P83" si="19">F64*O64</f>
        <v>3551000509.500576</v>
      </c>
      <c r="Q64" s="20">
        <f t="shared" ref="Q64:Q83" si="20">I64*O64</f>
        <v>1370561600.1581171</v>
      </c>
      <c r="R64" s="20">
        <f>L64*O64</f>
        <v>2336184545.7240634</v>
      </c>
      <c r="T64" s="20"/>
    </row>
    <row r="65" spans="1:20" x14ac:dyDescent="0.2">
      <c r="A65">
        <v>2032</v>
      </c>
      <c r="B65" s="22">
        <v>0.223</v>
      </c>
      <c r="C65">
        <f>I27</f>
        <v>24000000000</v>
      </c>
      <c r="D65" s="27">
        <v>114</v>
      </c>
      <c r="E65">
        <f t="shared" si="14"/>
        <v>25.422000000000001</v>
      </c>
      <c r="F65" s="20">
        <f t="shared" si="15"/>
        <v>6101280000</v>
      </c>
      <c r="G65" s="27">
        <v>44</v>
      </c>
      <c r="H65">
        <f t="shared" si="16"/>
        <v>9.8119999999999994</v>
      </c>
      <c r="I65" s="20">
        <f t="shared" si="17"/>
        <v>2354880000</v>
      </c>
      <c r="J65" s="27">
        <v>75</v>
      </c>
      <c r="K65">
        <f t="shared" si="18"/>
        <v>16.725000000000001</v>
      </c>
      <c r="L65" s="20">
        <f>C65*(K65/100)</f>
        <v>4014000000</v>
      </c>
      <c r="M65">
        <v>1.07</v>
      </c>
      <c r="N65">
        <f t="shared" si="13"/>
        <v>1.8384592124201555</v>
      </c>
      <c r="O65">
        <f t="shared" si="10"/>
        <v>0.54393374258414784</v>
      </c>
      <c r="P65" s="20">
        <f t="shared" si="19"/>
        <v>3318692064.9538097</v>
      </c>
      <c r="Q65" s="20">
        <f t="shared" si="20"/>
        <v>1280898691.736558</v>
      </c>
      <c r="R65" s="20">
        <f>L65*O65</f>
        <v>2183350042.7327695</v>
      </c>
      <c r="T65" s="20"/>
    </row>
    <row r="66" spans="1:20" x14ac:dyDescent="0.2">
      <c r="A66">
        <v>2033</v>
      </c>
      <c r="B66" s="22">
        <v>0.223</v>
      </c>
      <c r="C66">
        <f>I28</f>
        <v>24000000000</v>
      </c>
      <c r="D66" s="27">
        <v>114</v>
      </c>
      <c r="E66">
        <f t="shared" si="14"/>
        <v>25.422000000000001</v>
      </c>
      <c r="F66" s="20">
        <f t="shared" si="15"/>
        <v>6101280000</v>
      </c>
      <c r="G66" s="27">
        <v>44</v>
      </c>
      <c r="H66">
        <f t="shared" si="16"/>
        <v>9.8119999999999994</v>
      </c>
      <c r="I66" s="20">
        <f t="shared" si="17"/>
        <v>2354880000</v>
      </c>
      <c r="J66" s="27">
        <v>75</v>
      </c>
      <c r="K66">
        <f t="shared" si="18"/>
        <v>16.725000000000001</v>
      </c>
      <c r="L66" s="20">
        <f>C66*(K66/100)</f>
        <v>4014000000</v>
      </c>
      <c r="M66">
        <v>1.07</v>
      </c>
      <c r="N66">
        <f t="shared" si="13"/>
        <v>1.9671513572895665</v>
      </c>
      <c r="O66">
        <f t="shared" si="10"/>
        <v>0.50834929213471758</v>
      </c>
      <c r="P66" s="20">
        <f t="shared" si="19"/>
        <v>3101581369.1157098</v>
      </c>
      <c r="Q66" s="20">
        <f t="shared" si="20"/>
        <v>1197101581.0622036</v>
      </c>
      <c r="R66" s="20">
        <f>L66*O66</f>
        <v>2040514058.6287563</v>
      </c>
      <c r="T66" s="20"/>
    </row>
    <row r="67" spans="1:20" x14ac:dyDescent="0.2">
      <c r="A67">
        <v>2034</v>
      </c>
      <c r="B67" s="22">
        <v>0.223</v>
      </c>
      <c r="C67">
        <f>I29</f>
        <v>24000000000</v>
      </c>
      <c r="D67" s="27">
        <v>114</v>
      </c>
      <c r="E67">
        <f t="shared" si="14"/>
        <v>25.422000000000001</v>
      </c>
      <c r="F67" s="20">
        <f t="shared" si="15"/>
        <v>6101280000</v>
      </c>
      <c r="G67" s="27">
        <v>44</v>
      </c>
      <c r="H67">
        <f t="shared" si="16"/>
        <v>9.8119999999999994</v>
      </c>
      <c r="I67" s="20">
        <f t="shared" si="17"/>
        <v>2354880000</v>
      </c>
      <c r="J67" s="27">
        <v>75</v>
      </c>
      <c r="K67">
        <f t="shared" si="18"/>
        <v>16.725000000000001</v>
      </c>
      <c r="L67" s="20">
        <f>C67*(K67/100)</f>
        <v>4014000000</v>
      </c>
      <c r="M67">
        <v>1.07</v>
      </c>
      <c r="N67">
        <f t="shared" si="13"/>
        <v>2.1048519522998363</v>
      </c>
      <c r="O67">
        <f t="shared" si="10"/>
        <v>0.47509279638758645</v>
      </c>
      <c r="P67" s="20">
        <f t="shared" si="19"/>
        <v>2898674176.7436533</v>
      </c>
      <c r="Q67" s="20">
        <f t="shared" si="20"/>
        <v>1118786524.3571997</v>
      </c>
      <c r="R67" s="20">
        <f>L67*O67</f>
        <v>1907022484.6997719</v>
      </c>
      <c r="T67" s="20"/>
    </row>
    <row r="68" spans="1:20" x14ac:dyDescent="0.2">
      <c r="A68">
        <v>2035</v>
      </c>
      <c r="B68" s="22">
        <v>0.223</v>
      </c>
      <c r="C68">
        <f>I30</f>
        <v>28000000000</v>
      </c>
      <c r="D68" s="27">
        <v>82</v>
      </c>
      <c r="E68">
        <f t="shared" si="14"/>
        <v>18.286000000000001</v>
      </c>
      <c r="F68" s="20">
        <f t="shared" si="15"/>
        <v>5120080000.000001</v>
      </c>
      <c r="G68" s="27">
        <v>34</v>
      </c>
      <c r="H68">
        <f t="shared" si="16"/>
        <v>7.5819999999999999</v>
      </c>
      <c r="I68" s="20">
        <f t="shared" si="17"/>
        <v>2122960000</v>
      </c>
      <c r="J68" s="27">
        <v>58</v>
      </c>
      <c r="K68">
        <f t="shared" si="18"/>
        <v>12.934000000000001</v>
      </c>
      <c r="L68" s="20">
        <f>C68*(K68/100)</f>
        <v>3621520000.0000005</v>
      </c>
      <c r="M68">
        <v>1.07</v>
      </c>
      <c r="N68">
        <f t="shared" si="13"/>
        <v>2.2521915889608248</v>
      </c>
      <c r="O68">
        <f t="shared" si="10"/>
        <v>0.444011959240735</v>
      </c>
      <c r="P68" s="20">
        <f t="shared" si="19"/>
        <v>2273376752.2693028</v>
      </c>
      <c r="Q68" s="20">
        <f t="shared" si="20"/>
        <v>942619628.98971081</v>
      </c>
      <c r="R68" s="20">
        <f>L68*O68</f>
        <v>1607998190.6295068</v>
      </c>
      <c r="T68" s="20"/>
    </row>
    <row r="69" spans="1:20" x14ac:dyDescent="0.2">
      <c r="A69">
        <v>2036</v>
      </c>
      <c r="B69" s="22">
        <v>0.223</v>
      </c>
      <c r="C69">
        <f>I31</f>
        <v>28000000000</v>
      </c>
      <c r="D69" s="27">
        <v>82</v>
      </c>
      <c r="E69">
        <f t="shared" si="14"/>
        <v>18.286000000000001</v>
      </c>
      <c r="F69" s="20">
        <f t="shared" si="15"/>
        <v>5120080000.000001</v>
      </c>
      <c r="G69" s="27">
        <v>34</v>
      </c>
      <c r="H69">
        <f t="shared" si="16"/>
        <v>7.5819999999999999</v>
      </c>
      <c r="I69" s="20">
        <f t="shared" si="17"/>
        <v>2122960000</v>
      </c>
      <c r="J69" s="27">
        <v>58</v>
      </c>
      <c r="K69">
        <f t="shared" si="18"/>
        <v>12.934000000000001</v>
      </c>
      <c r="L69" s="20">
        <f t="shared" ref="L64:L83" si="21">C69*(K69/100)</f>
        <v>3621520000.0000005</v>
      </c>
      <c r="M69">
        <v>1.07</v>
      </c>
      <c r="N69">
        <f t="shared" si="13"/>
        <v>2.4098450001880827</v>
      </c>
      <c r="O69">
        <f t="shared" si="10"/>
        <v>0.41496444788853737</v>
      </c>
      <c r="P69" s="20">
        <f t="shared" si="19"/>
        <v>2124651170.3451428</v>
      </c>
      <c r="Q69" s="20">
        <f t="shared" si="20"/>
        <v>880952924.28944933</v>
      </c>
      <c r="R69" s="20">
        <f>L69*O69</f>
        <v>1502802047.317296</v>
      </c>
      <c r="T69" s="20"/>
    </row>
    <row r="70" spans="1:20" x14ac:dyDescent="0.2">
      <c r="A70">
        <v>2037</v>
      </c>
      <c r="B70" s="22">
        <v>0.223</v>
      </c>
      <c r="C70">
        <f>I32</f>
        <v>28000000000</v>
      </c>
      <c r="D70" s="27">
        <v>82</v>
      </c>
      <c r="E70">
        <f t="shared" si="14"/>
        <v>18.286000000000001</v>
      </c>
      <c r="F70" s="20">
        <f t="shared" si="15"/>
        <v>5120080000.000001</v>
      </c>
      <c r="G70" s="27">
        <v>34</v>
      </c>
      <c r="H70">
        <f t="shared" si="16"/>
        <v>7.5819999999999999</v>
      </c>
      <c r="I70" s="20">
        <f t="shared" si="17"/>
        <v>2122960000</v>
      </c>
      <c r="J70" s="27">
        <v>58</v>
      </c>
      <c r="K70">
        <f t="shared" si="18"/>
        <v>12.934000000000001</v>
      </c>
      <c r="L70" s="20">
        <f t="shared" si="21"/>
        <v>3621520000.0000005</v>
      </c>
      <c r="M70">
        <v>1.07</v>
      </c>
      <c r="N70">
        <f t="shared" si="13"/>
        <v>2.5785341502012487</v>
      </c>
      <c r="O70">
        <f t="shared" si="10"/>
        <v>0.38781724101732462</v>
      </c>
      <c r="P70" s="20">
        <f t="shared" si="19"/>
        <v>1985655299.3879838</v>
      </c>
      <c r="Q70" s="20">
        <f t="shared" si="20"/>
        <v>823320489.99013948</v>
      </c>
      <c r="R70" s="20">
        <f>L70*O70</f>
        <v>1404487894.6890616</v>
      </c>
    </row>
    <row r="71" spans="1:20" x14ac:dyDescent="0.2">
      <c r="A71">
        <v>2038</v>
      </c>
      <c r="B71" s="22">
        <v>0.223</v>
      </c>
      <c r="C71">
        <f>I33</f>
        <v>28000000000</v>
      </c>
      <c r="D71" s="27">
        <v>82</v>
      </c>
      <c r="E71">
        <f t="shared" si="14"/>
        <v>18.286000000000001</v>
      </c>
      <c r="F71" s="20">
        <f t="shared" si="15"/>
        <v>5120080000.000001</v>
      </c>
      <c r="G71" s="27">
        <v>34</v>
      </c>
      <c r="H71">
        <f t="shared" si="16"/>
        <v>7.5819999999999999</v>
      </c>
      <c r="I71" s="20">
        <f t="shared" si="17"/>
        <v>2122960000</v>
      </c>
      <c r="J71" s="27">
        <v>58</v>
      </c>
      <c r="K71">
        <f t="shared" si="18"/>
        <v>12.934000000000001</v>
      </c>
      <c r="L71" s="20">
        <f t="shared" si="21"/>
        <v>3621520000.0000005</v>
      </c>
      <c r="M71">
        <v>1.07</v>
      </c>
      <c r="N71">
        <f t="shared" si="13"/>
        <v>2.7590315407153363</v>
      </c>
      <c r="O71">
        <f t="shared" si="10"/>
        <v>0.36244601964235945</v>
      </c>
      <c r="P71" s="20">
        <f t="shared" si="19"/>
        <v>1855752616.250452</v>
      </c>
      <c r="Q71" s="20">
        <f t="shared" si="20"/>
        <v>769458401.85994339</v>
      </c>
      <c r="R71" s="20">
        <f>L71*O71</f>
        <v>1312605509.0551977</v>
      </c>
    </row>
    <row r="72" spans="1:20" x14ac:dyDescent="0.2">
      <c r="A72">
        <v>2039</v>
      </c>
      <c r="B72" s="22">
        <v>0.223</v>
      </c>
      <c r="C72">
        <f>I34</f>
        <v>28000000000</v>
      </c>
      <c r="D72" s="27">
        <v>82</v>
      </c>
      <c r="E72">
        <f t="shared" si="14"/>
        <v>18.286000000000001</v>
      </c>
      <c r="F72" s="20">
        <f t="shared" si="15"/>
        <v>5120080000.000001</v>
      </c>
      <c r="G72" s="27">
        <v>34</v>
      </c>
      <c r="H72">
        <f t="shared" si="16"/>
        <v>7.5819999999999999</v>
      </c>
      <c r="I72" s="20">
        <f t="shared" si="17"/>
        <v>2122960000</v>
      </c>
      <c r="J72" s="27">
        <v>58</v>
      </c>
      <c r="K72">
        <f t="shared" si="18"/>
        <v>12.934000000000001</v>
      </c>
      <c r="L72" s="20">
        <f t="shared" si="21"/>
        <v>3621520000.0000005</v>
      </c>
      <c r="M72">
        <v>1.07</v>
      </c>
      <c r="N72">
        <f t="shared" si="13"/>
        <v>2.9521637485654102</v>
      </c>
      <c r="O72">
        <f t="shared" si="10"/>
        <v>0.33873459779659754</v>
      </c>
      <c r="P72" s="20">
        <f t="shared" si="19"/>
        <v>1734348239.4864035</v>
      </c>
      <c r="Q72" s="20">
        <f t="shared" si="20"/>
        <v>719120001.73826468</v>
      </c>
      <c r="R72" s="20">
        <f>L72*O72</f>
        <v>1226734120.612334</v>
      </c>
    </row>
    <row r="73" spans="1:20" x14ac:dyDescent="0.2">
      <c r="A73">
        <v>2040</v>
      </c>
      <c r="B73" s="22">
        <v>0.223</v>
      </c>
      <c r="C73">
        <f>I35</f>
        <v>31000000000</v>
      </c>
      <c r="D73" s="27">
        <v>71</v>
      </c>
      <c r="E73">
        <f t="shared" si="14"/>
        <v>15.833</v>
      </c>
      <c r="F73" s="20">
        <f t="shared" si="15"/>
        <v>4908230000</v>
      </c>
      <c r="G73" s="27">
        <v>28</v>
      </c>
      <c r="H73">
        <f t="shared" si="16"/>
        <v>6.2439999999999998</v>
      </c>
      <c r="I73" s="20">
        <f t="shared" si="17"/>
        <v>1935639999.9999998</v>
      </c>
      <c r="J73" s="27">
        <v>48</v>
      </c>
      <c r="K73">
        <f t="shared" si="18"/>
        <v>10.704000000000001</v>
      </c>
      <c r="L73" s="20">
        <f t="shared" si="21"/>
        <v>3318240000.0000005</v>
      </c>
      <c r="M73">
        <v>1.07</v>
      </c>
      <c r="N73">
        <f t="shared" si="13"/>
        <v>3.1588152109649892</v>
      </c>
      <c r="O73">
        <f t="shared" si="10"/>
        <v>0.31657439046410984</v>
      </c>
      <c r="P73" s="20">
        <f t="shared" si="19"/>
        <v>1553819920.5076578</v>
      </c>
      <c r="Q73" s="20">
        <f t="shared" si="20"/>
        <v>612774053.15794945</v>
      </c>
      <c r="R73" s="20">
        <f>L73*O73</f>
        <v>1050469805.413628</v>
      </c>
    </row>
    <row r="74" spans="1:20" x14ac:dyDescent="0.2">
      <c r="A74">
        <v>2041</v>
      </c>
      <c r="B74" s="22">
        <v>0.223</v>
      </c>
      <c r="C74">
        <f>I36</f>
        <v>31000000000</v>
      </c>
      <c r="D74" s="27">
        <v>71</v>
      </c>
      <c r="E74">
        <f t="shared" si="14"/>
        <v>15.833</v>
      </c>
      <c r="F74" s="20">
        <f t="shared" si="15"/>
        <v>4908230000</v>
      </c>
      <c r="G74" s="27">
        <v>28</v>
      </c>
      <c r="H74">
        <f t="shared" si="16"/>
        <v>6.2439999999999998</v>
      </c>
      <c r="I74" s="20">
        <f t="shared" si="17"/>
        <v>1935639999.9999998</v>
      </c>
      <c r="J74" s="27">
        <v>48</v>
      </c>
      <c r="K74">
        <f t="shared" si="18"/>
        <v>10.704000000000001</v>
      </c>
      <c r="L74" s="20">
        <f t="shared" si="21"/>
        <v>3318240000.0000005</v>
      </c>
      <c r="M74">
        <v>1.07</v>
      </c>
      <c r="N74">
        <f t="shared" si="13"/>
        <v>3.3799322757325387</v>
      </c>
      <c r="O74">
        <f t="shared" si="10"/>
        <v>0.29586391632159798</v>
      </c>
      <c r="P74" s="20">
        <f t="shared" si="19"/>
        <v>1452168150.0071568</v>
      </c>
      <c r="Q74" s="20">
        <f t="shared" si="20"/>
        <v>572686030.98873782</v>
      </c>
      <c r="R74" s="20">
        <f>L74*O74</f>
        <v>981747481.69497943</v>
      </c>
    </row>
    <row r="75" spans="1:20" x14ac:dyDescent="0.2">
      <c r="A75">
        <v>2042</v>
      </c>
      <c r="B75" s="22">
        <v>0.223</v>
      </c>
      <c r="C75">
        <f>I37</f>
        <v>31000000000</v>
      </c>
      <c r="D75" s="27">
        <v>71</v>
      </c>
      <c r="E75">
        <f t="shared" si="14"/>
        <v>15.833</v>
      </c>
      <c r="F75" s="20">
        <f t="shared" si="15"/>
        <v>4908230000</v>
      </c>
      <c r="G75" s="27">
        <v>28</v>
      </c>
      <c r="H75">
        <f t="shared" si="16"/>
        <v>6.2439999999999998</v>
      </c>
      <c r="I75" s="20">
        <f t="shared" si="17"/>
        <v>1935639999.9999998</v>
      </c>
      <c r="J75" s="27">
        <v>48</v>
      </c>
      <c r="K75">
        <f t="shared" si="18"/>
        <v>10.704000000000001</v>
      </c>
      <c r="L75" s="20">
        <f t="shared" si="21"/>
        <v>3318240000.0000005</v>
      </c>
      <c r="M75">
        <v>1.07</v>
      </c>
      <c r="N75">
        <f t="shared" si="13"/>
        <v>3.6165275350338169</v>
      </c>
      <c r="O75">
        <f t="shared" si="10"/>
        <v>0.27650833301083916</v>
      </c>
      <c r="P75" s="20">
        <f t="shared" si="19"/>
        <v>1357166495.333791</v>
      </c>
      <c r="Q75" s="20">
        <f t="shared" si="20"/>
        <v>535220589.70910066</v>
      </c>
      <c r="R75" s="20">
        <f>L75*O75</f>
        <v>917521010.92988706</v>
      </c>
    </row>
    <row r="76" spans="1:20" x14ac:dyDescent="0.2">
      <c r="A76">
        <v>2043</v>
      </c>
      <c r="B76" s="22">
        <v>0.223</v>
      </c>
      <c r="C76">
        <f>I38</f>
        <v>31000000000</v>
      </c>
      <c r="D76" s="27">
        <v>71</v>
      </c>
      <c r="E76">
        <f t="shared" si="14"/>
        <v>15.833</v>
      </c>
      <c r="F76" s="20">
        <f t="shared" si="15"/>
        <v>4908230000</v>
      </c>
      <c r="G76" s="27">
        <v>28</v>
      </c>
      <c r="H76">
        <f t="shared" si="16"/>
        <v>6.2439999999999998</v>
      </c>
      <c r="I76" s="20">
        <f t="shared" si="17"/>
        <v>1935639999.9999998</v>
      </c>
      <c r="J76" s="27">
        <v>48</v>
      </c>
      <c r="K76">
        <f t="shared" si="18"/>
        <v>10.704000000000001</v>
      </c>
      <c r="L76" s="20">
        <f t="shared" si="21"/>
        <v>3318240000.0000005</v>
      </c>
      <c r="M76">
        <v>1.07</v>
      </c>
      <c r="N76">
        <f t="shared" si="13"/>
        <v>3.8696844624861844</v>
      </c>
      <c r="O76">
        <f t="shared" si="10"/>
        <v>0.25841900281386837</v>
      </c>
      <c r="P76" s="20">
        <f t="shared" si="19"/>
        <v>1268379902.1811132</v>
      </c>
      <c r="Q76" s="20">
        <f t="shared" si="20"/>
        <v>500206158.60663611</v>
      </c>
      <c r="R76" s="20">
        <f>L76*O76</f>
        <v>857496271.89709067</v>
      </c>
    </row>
    <row r="77" spans="1:20" x14ac:dyDescent="0.2">
      <c r="A77">
        <v>2044</v>
      </c>
      <c r="B77" s="22">
        <v>0.223</v>
      </c>
      <c r="C77">
        <f>I39</f>
        <v>31000000000</v>
      </c>
      <c r="D77" s="27">
        <v>71</v>
      </c>
      <c r="E77">
        <f t="shared" si="14"/>
        <v>15.833</v>
      </c>
      <c r="F77" s="20">
        <f t="shared" si="15"/>
        <v>4908230000</v>
      </c>
      <c r="G77" s="27">
        <v>28</v>
      </c>
      <c r="H77">
        <f t="shared" si="16"/>
        <v>6.2439999999999998</v>
      </c>
      <c r="I77" s="20">
        <f t="shared" si="17"/>
        <v>1935639999.9999998</v>
      </c>
      <c r="J77" s="27">
        <v>48</v>
      </c>
      <c r="K77">
        <f t="shared" si="18"/>
        <v>10.704000000000001</v>
      </c>
      <c r="L77" s="20">
        <f t="shared" si="21"/>
        <v>3318240000.0000005</v>
      </c>
      <c r="M77">
        <v>1.07</v>
      </c>
      <c r="N77">
        <f t="shared" si="13"/>
        <v>4.1405623748602176</v>
      </c>
      <c r="O77">
        <f t="shared" si="10"/>
        <v>0.24151308674193303</v>
      </c>
      <c r="P77" s="20">
        <f t="shared" si="19"/>
        <v>1185401777.7393579</v>
      </c>
      <c r="Q77" s="20">
        <f t="shared" si="20"/>
        <v>467482391.22115517</v>
      </c>
      <c r="R77" s="20">
        <f>L77*O77</f>
        <v>801398384.95055199</v>
      </c>
    </row>
    <row r="78" spans="1:20" x14ac:dyDescent="0.2">
      <c r="A78">
        <v>2045</v>
      </c>
      <c r="B78" s="22">
        <v>0.223</v>
      </c>
      <c r="C78">
        <f>I40</f>
        <v>31000000000</v>
      </c>
      <c r="D78" s="27">
        <v>71</v>
      </c>
      <c r="E78">
        <f t="shared" si="14"/>
        <v>15.833</v>
      </c>
      <c r="F78" s="20">
        <f t="shared" si="15"/>
        <v>4908230000</v>
      </c>
      <c r="G78" s="27">
        <v>28</v>
      </c>
      <c r="H78">
        <f t="shared" si="16"/>
        <v>6.2439999999999998</v>
      </c>
      <c r="I78" s="20">
        <f t="shared" si="17"/>
        <v>1935639999.9999998</v>
      </c>
      <c r="J78" s="27">
        <v>48</v>
      </c>
      <c r="K78">
        <f t="shared" si="18"/>
        <v>10.704000000000001</v>
      </c>
      <c r="L78" s="20">
        <f t="shared" si="21"/>
        <v>3318240000.0000005</v>
      </c>
      <c r="M78">
        <v>1.07</v>
      </c>
      <c r="N78">
        <f t="shared" si="13"/>
        <v>4.4304017411004333</v>
      </c>
      <c r="O78">
        <f t="shared" si="10"/>
        <v>0.22571316517937665</v>
      </c>
      <c r="P78" s="20">
        <f t="shared" si="19"/>
        <v>1107852128.7283719</v>
      </c>
      <c r="Q78" s="20">
        <f t="shared" si="20"/>
        <v>436899431.04780853</v>
      </c>
      <c r="R78" s="20">
        <f>L78*O78</f>
        <v>748970453.22481489</v>
      </c>
    </row>
    <row r="79" spans="1:20" x14ac:dyDescent="0.2">
      <c r="A79">
        <v>2046</v>
      </c>
      <c r="B79" s="22">
        <v>0.223</v>
      </c>
      <c r="C79">
        <f>I41</f>
        <v>31000000000</v>
      </c>
      <c r="D79" s="27">
        <v>71</v>
      </c>
      <c r="E79">
        <f t="shared" si="14"/>
        <v>15.833</v>
      </c>
      <c r="F79" s="20">
        <f t="shared" si="15"/>
        <v>4908230000</v>
      </c>
      <c r="G79" s="27">
        <v>28</v>
      </c>
      <c r="H79">
        <f t="shared" si="16"/>
        <v>6.2439999999999998</v>
      </c>
      <c r="I79" s="20">
        <f t="shared" si="17"/>
        <v>1935639999.9999998</v>
      </c>
      <c r="J79" s="27">
        <v>48</v>
      </c>
      <c r="K79">
        <f t="shared" si="18"/>
        <v>10.704000000000001</v>
      </c>
      <c r="L79" s="20">
        <f t="shared" si="21"/>
        <v>3318240000.0000005</v>
      </c>
      <c r="M79">
        <v>1.07</v>
      </c>
      <c r="N79">
        <f t="shared" si="13"/>
        <v>4.7405298629774641</v>
      </c>
      <c r="O79">
        <f t="shared" si="10"/>
        <v>0.21094688334521181</v>
      </c>
      <c r="P79" s="20">
        <f t="shared" si="19"/>
        <v>1035375821.2414689</v>
      </c>
      <c r="Q79" s="20">
        <f t="shared" si="20"/>
        <v>408317225.27832574</v>
      </c>
      <c r="R79" s="20">
        <f>L79*O79</f>
        <v>699972386.19141567</v>
      </c>
    </row>
    <row r="80" spans="1:20" x14ac:dyDescent="0.2">
      <c r="A80">
        <v>2047</v>
      </c>
      <c r="B80" s="22">
        <v>0.223</v>
      </c>
      <c r="C80">
        <f>I42</f>
        <v>31000000000</v>
      </c>
      <c r="D80" s="27">
        <v>71</v>
      </c>
      <c r="E80">
        <f t="shared" si="14"/>
        <v>15.833</v>
      </c>
      <c r="F80" s="20">
        <f t="shared" si="15"/>
        <v>4908230000</v>
      </c>
      <c r="G80" s="27">
        <v>28</v>
      </c>
      <c r="H80">
        <f t="shared" si="16"/>
        <v>6.2439999999999998</v>
      </c>
      <c r="I80" s="20">
        <f t="shared" si="17"/>
        <v>1935639999.9999998</v>
      </c>
      <c r="J80" s="27">
        <v>48</v>
      </c>
      <c r="K80">
        <f t="shared" si="18"/>
        <v>10.704000000000001</v>
      </c>
      <c r="L80" s="20">
        <f t="shared" si="21"/>
        <v>3318240000.0000005</v>
      </c>
      <c r="M80">
        <v>1.07</v>
      </c>
      <c r="N80">
        <f t="shared" si="13"/>
        <v>5.0723669533858873</v>
      </c>
      <c r="O80">
        <f t="shared" si="10"/>
        <v>0.19714661994879604</v>
      </c>
      <c r="P80" s="20">
        <f t="shared" si="19"/>
        <v>967640954.43127918</v>
      </c>
      <c r="Q80" s="20">
        <f t="shared" si="20"/>
        <v>381604883.43768752</v>
      </c>
      <c r="R80" s="20">
        <f>L80*O80</f>
        <v>654179800.17889309</v>
      </c>
    </row>
    <row r="81" spans="1:18" x14ac:dyDescent="0.2">
      <c r="A81">
        <v>2048</v>
      </c>
      <c r="B81" s="22">
        <v>0.223</v>
      </c>
      <c r="C81">
        <f>I43</f>
        <v>31000000000</v>
      </c>
      <c r="D81" s="27">
        <v>71</v>
      </c>
      <c r="E81">
        <f t="shared" si="14"/>
        <v>15.833</v>
      </c>
      <c r="F81" s="20">
        <f t="shared" si="15"/>
        <v>4908230000</v>
      </c>
      <c r="G81" s="27">
        <v>28</v>
      </c>
      <c r="H81">
        <f t="shared" si="16"/>
        <v>6.2439999999999998</v>
      </c>
      <c r="I81" s="20">
        <f t="shared" si="17"/>
        <v>1935639999.9999998</v>
      </c>
      <c r="J81" s="27">
        <v>48</v>
      </c>
      <c r="K81">
        <f t="shared" si="18"/>
        <v>10.704000000000001</v>
      </c>
      <c r="L81" s="20">
        <f t="shared" si="21"/>
        <v>3318240000.0000005</v>
      </c>
      <c r="M81">
        <v>1.07</v>
      </c>
      <c r="N81">
        <f t="shared" si="13"/>
        <v>5.4274326401229001</v>
      </c>
      <c r="O81">
        <f t="shared" si="10"/>
        <v>0.18424917752223927</v>
      </c>
      <c r="P81" s="20">
        <f t="shared" si="19"/>
        <v>904337340.58998048</v>
      </c>
      <c r="Q81" s="20">
        <f t="shared" si="20"/>
        <v>356640077.9791472</v>
      </c>
      <c r="R81" s="20">
        <f>L81*O81</f>
        <v>611382990.82139528</v>
      </c>
    </row>
    <row r="82" spans="1:18" x14ac:dyDescent="0.2">
      <c r="A82">
        <v>2049</v>
      </c>
      <c r="B82" s="22">
        <v>0.223</v>
      </c>
      <c r="C82">
        <f>I44</f>
        <v>31000000000</v>
      </c>
      <c r="D82" s="27">
        <v>71</v>
      </c>
      <c r="E82">
        <f t="shared" si="14"/>
        <v>15.833</v>
      </c>
      <c r="F82" s="20">
        <f t="shared" si="15"/>
        <v>4908230000</v>
      </c>
      <c r="G82" s="27">
        <v>28</v>
      </c>
      <c r="H82">
        <f t="shared" si="16"/>
        <v>6.2439999999999998</v>
      </c>
      <c r="I82" s="20">
        <f t="shared" si="17"/>
        <v>1935639999.9999998</v>
      </c>
      <c r="J82" s="27">
        <v>48</v>
      </c>
      <c r="K82">
        <f t="shared" si="18"/>
        <v>10.704000000000001</v>
      </c>
      <c r="L82" s="20">
        <f t="shared" si="21"/>
        <v>3318240000.0000005</v>
      </c>
      <c r="M82">
        <v>1.07</v>
      </c>
      <c r="N82">
        <f t="shared" si="13"/>
        <v>5.8073529249315037</v>
      </c>
      <c r="O82">
        <f t="shared" si="10"/>
        <v>0.17219549301143855</v>
      </c>
      <c r="P82" s="20">
        <f t="shared" si="19"/>
        <v>845175084.66353309</v>
      </c>
      <c r="Q82" s="20">
        <f t="shared" si="20"/>
        <v>333308484.09266084</v>
      </c>
      <c r="R82" s="20">
        <f>L82*O82</f>
        <v>571385972.73027599</v>
      </c>
    </row>
    <row r="83" spans="1:18" x14ac:dyDescent="0.2">
      <c r="A83">
        <v>2050</v>
      </c>
      <c r="B83" s="22">
        <v>0.223</v>
      </c>
      <c r="C83">
        <f>I45</f>
        <v>31000000000</v>
      </c>
      <c r="D83" s="27">
        <v>71</v>
      </c>
      <c r="E83">
        <f t="shared" si="14"/>
        <v>15.833</v>
      </c>
      <c r="F83" s="20">
        <f t="shared" si="15"/>
        <v>4908230000</v>
      </c>
      <c r="G83" s="27">
        <v>28</v>
      </c>
      <c r="H83">
        <f t="shared" si="16"/>
        <v>6.2439999999999998</v>
      </c>
      <c r="I83" s="20">
        <f t="shared" si="17"/>
        <v>1935639999.9999998</v>
      </c>
      <c r="J83" s="27">
        <v>48</v>
      </c>
      <c r="K83">
        <f t="shared" si="18"/>
        <v>10.704000000000001</v>
      </c>
      <c r="L83" s="20">
        <f t="shared" si="21"/>
        <v>3318240000.0000005</v>
      </c>
      <c r="M83">
        <v>1.07</v>
      </c>
      <c r="N83">
        <f t="shared" si="13"/>
        <v>6.2138676296767095</v>
      </c>
      <c r="O83">
        <f t="shared" si="10"/>
        <v>0.16093036730040985</v>
      </c>
      <c r="P83" s="20">
        <f t="shared" si="19"/>
        <v>789883256.69489062</v>
      </c>
      <c r="Q83" s="20">
        <f t="shared" si="20"/>
        <v>311503256.16136527</v>
      </c>
      <c r="R83" s="20">
        <f>L83*O83</f>
        <v>534005581.99091208</v>
      </c>
    </row>
    <row r="84" spans="1:18" x14ac:dyDescent="0.2">
      <c r="R84" s="20"/>
    </row>
    <row r="86" spans="1:18" x14ac:dyDescent="0.2">
      <c r="A86" s="156" t="s">
        <v>149</v>
      </c>
      <c r="B86" s="156" t="s">
        <v>137</v>
      </c>
      <c r="C86" s="70"/>
      <c r="D86" s="34"/>
      <c r="E86" s="34"/>
    </row>
    <row r="87" spans="1:18" x14ac:dyDescent="0.2">
      <c r="A87" s="147" t="s">
        <v>125</v>
      </c>
      <c r="B87" s="157">
        <f>SUM(R56:R83)</f>
        <v>26449946498.03735</v>
      </c>
      <c r="C87" s="7"/>
      <c r="D87" s="7"/>
      <c r="E87" s="7"/>
    </row>
    <row r="88" spans="1:18" x14ac:dyDescent="0.2">
      <c r="A88" s="147" t="s">
        <v>88</v>
      </c>
      <c r="B88" s="157">
        <f>SUM(P56:P83)</f>
        <v>39110503575.337257</v>
      </c>
      <c r="C88" s="7"/>
      <c r="D88" s="7"/>
      <c r="E88" s="7"/>
    </row>
    <row r="89" spans="1:18" x14ac:dyDescent="0.2">
      <c r="A89" s="147" t="s">
        <v>87</v>
      </c>
      <c r="B89" s="157">
        <f>SUM(Q56:Q83)</f>
        <v>15485963338.031343</v>
      </c>
      <c r="C89" s="7"/>
      <c r="D89" s="7"/>
      <c r="E89" s="7"/>
    </row>
    <row r="93" spans="1:18" x14ac:dyDescent="0.2">
      <c r="A93" s="19" t="s">
        <v>122</v>
      </c>
    </row>
    <row r="96" spans="1:18" x14ac:dyDescent="0.2">
      <c r="A96" t="s">
        <v>128</v>
      </c>
      <c r="B96" t="s">
        <v>150</v>
      </c>
      <c r="C96" t="s">
        <v>151</v>
      </c>
      <c r="D96" t="s">
        <v>152</v>
      </c>
    </row>
    <row r="97" spans="1:4" x14ac:dyDescent="0.2">
      <c r="A97">
        <v>2030</v>
      </c>
      <c r="B97" s="20">
        <f>R63</f>
        <v>2499717463.9247484</v>
      </c>
      <c r="C97" s="20">
        <f>P63</f>
        <v>3799570545.1656175</v>
      </c>
      <c r="D97" s="20">
        <f>Q63</f>
        <v>1466500912.1691856</v>
      </c>
    </row>
    <row r="98" spans="1:4" x14ac:dyDescent="0.2">
      <c r="A98">
        <v>2031</v>
      </c>
      <c r="B98" s="20">
        <f t="shared" ref="B98:B102" si="22">R64</f>
        <v>2336184545.7240634</v>
      </c>
      <c r="C98" s="20">
        <f t="shared" ref="C98:C102" si="23">P64</f>
        <v>3551000509.500576</v>
      </c>
      <c r="D98" s="20">
        <f t="shared" ref="D98:D102" si="24">Q64</f>
        <v>1370561600.1581171</v>
      </c>
    </row>
    <row r="99" spans="1:4" x14ac:dyDescent="0.2">
      <c r="A99">
        <v>2032</v>
      </c>
      <c r="B99" s="20">
        <f t="shared" si="22"/>
        <v>2183350042.7327695</v>
      </c>
      <c r="C99" s="20">
        <f t="shared" si="23"/>
        <v>3318692064.9538097</v>
      </c>
      <c r="D99" s="20">
        <f t="shared" si="24"/>
        <v>1280898691.736558</v>
      </c>
    </row>
    <row r="100" spans="1:4" x14ac:dyDescent="0.2">
      <c r="A100">
        <v>2033</v>
      </c>
      <c r="B100" s="20">
        <f t="shared" si="22"/>
        <v>2040514058.6287563</v>
      </c>
      <c r="C100" s="20">
        <f t="shared" si="23"/>
        <v>3101581369.1157098</v>
      </c>
      <c r="D100" s="20">
        <f t="shared" si="24"/>
        <v>1197101581.0622036</v>
      </c>
    </row>
    <row r="101" spans="1:4" x14ac:dyDescent="0.2">
      <c r="A101">
        <v>2034</v>
      </c>
      <c r="B101" s="20">
        <f t="shared" si="22"/>
        <v>1907022484.6997719</v>
      </c>
      <c r="C101" s="20">
        <f t="shared" si="23"/>
        <v>2898674176.7436533</v>
      </c>
      <c r="D101" s="20">
        <f t="shared" si="24"/>
        <v>1118786524.3571997</v>
      </c>
    </row>
    <row r="102" spans="1:4" x14ac:dyDescent="0.2">
      <c r="A102">
        <v>2035</v>
      </c>
      <c r="B102" s="20">
        <f t="shared" si="22"/>
        <v>1607998190.6295068</v>
      </c>
      <c r="C102" s="20">
        <f t="shared" si="23"/>
        <v>2273376752.2693028</v>
      </c>
      <c r="D102" s="20">
        <f t="shared" si="24"/>
        <v>942619628.98971081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B1D40-5087-274E-A1E9-43E970B5D27E}">
  <dimension ref="A1:A3"/>
  <sheetViews>
    <sheetView workbookViewId="0">
      <selection activeCell="P26" sqref="P26"/>
    </sheetView>
  </sheetViews>
  <sheetFormatPr baseColWidth="10" defaultRowHeight="16" x14ac:dyDescent="0.2"/>
  <sheetData>
    <row r="1" spans="1:1" x14ac:dyDescent="0.2">
      <c r="A1" t="s">
        <v>153</v>
      </c>
    </row>
    <row r="3" spans="1:1" x14ac:dyDescent="0.2">
      <c r="A3" s="19" t="s">
        <v>154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4A143-C50D-6B41-A75A-E7BD407CE5D7}">
  <dimension ref="B13:B18"/>
  <sheetViews>
    <sheetView workbookViewId="0">
      <selection activeCell="O30" sqref="O30"/>
    </sheetView>
  </sheetViews>
  <sheetFormatPr baseColWidth="10" defaultRowHeight="16" x14ac:dyDescent="0.2"/>
  <cols>
    <col min="2" max="2" width="12.6640625" customWidth="1"/>
  </cols>
  <sheetData>
    <row r="13" spans="2:2" x14ac:dyDescent="0.2">
      <c r="B13" s="20"/>
    </row>
    <row r="14" spans="2:2" x14ac:dyDescent="0.2">
      <c r="B14" s="20"/>
    </row>
    <row r="15" spans="2:2" x14ac:dyDescent="0.2">
      <c r="B15" s="20"/>
    </row>
    <row r="16" spans="2:2" x14ac:dyDescent="0.2">
      <c r="B16" s="20"/>
    </row>
    <row r="17" spans="2:2" x14ac:dyDescent="0.2">
      <c r="B17" s="20"/>
    </row>
    <row r="18" spans="2:2" x14ac:dyDescent="0.2">
      <c r="B18" s="2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20CEE-A6E7-6440-B087-07D67E9A3B95}">
  <dimension ref="A1:P43"/>
  <sheetViews>
    <sheetView workbookViewId="0">
      <selection activeCell="P44" sqref="P44"/>
    </sheetView>
  </sheetViews>
  <sheetFormatPr baseColWidth="10" defaultRowHeight="16" x14ac:dyDescent="0.2"/>
  <cols>
    <col min="2" max="2" width="18.83203125" customWidth="1"/>
    <col min="3" max="3" width="18" customWidth="1"/>
    <col min="4" max="5" width="21.1640625" customWidth="1"/>
    <col min="6" max="7" width="13.5" customWidth="1"/>
    <col min="8" max="9" width="13.83203125" customWidth="1"/>
    <col min="10" max="11" width="14.1640625" customWidth="1"/>
    <col min="14" max="14" width="18.33203125" customWidth="1"/>
    <col min="15" max="15" width="19.6640625" bestFit="1" customWidth="1"/>
    <col min="16" max="16" width="22" customWidth="1"/>
  </cols>
  <sheetData>
    <row r="1" spans="1:16" x14ac:dyDescent="0.2">
      <c r="A1" t="s">
        <v>222</v>
      </c>
    </row>
    <row r="6" spans="1:16" ht="17" thickBot="1" x14ac:dyDescent="0.25">
      <c r="B6" s="21"/>
      <c r="C6" s="21"/>
      <c r="D6" s="21"/>
      <c r="E6" s="63"/>
      <c r="F6" s="62" t="s">
        <v>194</v>
      </c>
      <c r="G6" s="62"/>
      <c r="H6" s="63"/>
      <c r="I6" s="63"/>
      <c r="J6" s="63"/>
      <c r="K6" s="63"/>
      <c r="L6" s="40" t="s">
        <v>195</v>
      </c>
      <c r="M6" s="41"/>
      <c r="N6" s="41"/>
    </row>
    <row r="7" spans="1:16" x14ac:dyDescent="0.2">
      <c r="B7" t="s">
        <v>19</v>
      </c>
      <c r="C7" t="s">
        <v>156</v>
      </c>
      <c r="D7" t="s">
        <v>155</v>
      </c>
      <c r="E7" t="s">
        <v>224</v>
      </c>
      <c r="F7" t="s">
        <v>225</v>
      </c>
      <c r="G7" t="s">
        <v>226</v>
      </c>
      <c r="H7" t="s">
        <v>227</v>
      </c>
      <c r="I7" t="s">
        <v>228</v>
      </c>
      <c r="J7" t="s">
        <v>223</v>
      </c>
      <c r="L7" t="s">
        <v>125</v>
      </c>
      <c r="M7" t="s">
        <v>88</v>
      </c>
      <c r="N7" t="s">
        <v>87</v>
      </c>
      <c r="O7" t="s">
        <v>249</v>
      </c>
      <c r="P7" t="s">
        <v>250</v>
      </c>
    </row>
    <row r="8" spans="1:16" x14ac:dyDescent="0.2">
      <c r="B8">
        <v>2023</v>
      </c>
      <c r="C8">
        <v>0</v>
      </c>
      <c r="D8" t="s">
        <v>157</v>
      </c>
      <c r="E8">
        <v>900000</v>
      </c>
      <c r="F8">
        <v>900000</v>
      </c>
      <c r="G8">
        <v>900000</v>
      </c>
      <c r="H8">
        <f>E8</f>
        <v>900000</v>
      </c>
      <c r="I8">
        <f>H8</f>
        <v>900000</v>
      </c>
      <c r="J8">
        <f>F8-H8</f>
        <v>0</v>
      </c>
      <c r="O8" s="7">
        <f>utslipp2!H58</f>
        <v>5067.3449040682526</v>
      </c>
      <c r="P8" s="7">
        <f>J8*O8</f>
        <v>0</v>
      </c>
    </row>
    <row r="9" spans="1:16" x14ac:dyDescent="0.2">
      <c r="B9">
        <v>2024</v>
      </c>
      <c r="C9">
        <v>1</v>
      </c>
      <c r="D9" t="s">
        <v>157</v>
      </c>
      <c r="E9">
        <v>900000</v>
      </c>
      <c r="F9">
        <v>900000</v>
      </c>
      <c r="G9">
        <v>900000</v>
      </c>
      <c r="H9">
        <f t="shared" ref="H9:H14" si="0">E9</f>
        <v>900000</v>
      </c>
      <c r="I9">
        <f t="shared" ref="I9:I14" si="1">H9</f>
        <v>900000</v>
      </c>
      <c r="J9">
        <f t="shared" ref="J9:J35" si="2">F9-H9</f>
        <v>0</v>
      </c>
      <c r="O9" s="7">
        <f>O8</f>
        <v>5067.3449040682526</v>
      </c>
      <c r="P9" s="7">
        <f t="shared" ref="P9:P35" si="3">J9*O9</f>
        <v>0</v>
      </c>
    </row>
    <row r="10" spans="1:16" x14ac:dyDescent="0.2">
      <c r="B10">
        <v>2025</v>
      </c>
      <c r="C10">
        <v>2</v>
      </c>
      <c r="D10" t="s">
        <v>157</v>
      </c>
      <c r="E10">
        <v>900000</v>
      </c>
      <c r="F10">
        <v>900000</v>
      </c>
      <c r="G10">
        <v>900000</v>
      </c>
      <c r="H10">
        <f t="shared" si="0"/>
        <v>900000</v>
      </c>
      <c r="I10">
        <f t="shared" si="1"/>
        <v>900000</v>
      </c>
      <c r="J10">
        <f t="shared" si="2"/>
        <v>0</v>
      </c>
      <c r="O10" s="7">
        <f>O9</f>
        <v>5067.3449040682526</v>
      </c>
      <c r="P10" s="7">
        <f t="shared" si="3"/>
        <v>0</v>
      </c>
    </row>
    <row r="11" spans="1:16" x14ac:dyDescent="0.2">
      <c r="B11">
        <v>2026</v>
      </c>
      <c r="C11">
        <v>3</v>
      </c>
      <c r="D11" t="s">
        <v>157</v>
      </c>
      <c r="E11">
        <v>900000</v>
      </c>
      <c r="F11">
        <v>900000</v>
      </c>
      <c r="G11">
        <v>900000</v>
      </c>
      <c r="H11">
        <f t="shared" si="0"/>
        <v>900000</v>
      </c>
      <c r="I11">
        <f t="shared" si="1"/>
        <v>900000</v>
      </c>
      <c r="J11">
        <f t="shared" si="2"/>
        <v>0</v>
      </c>
      <c r="O11" s="7">
        <f t="shared" ref="O11:O35" si="4">O10</f>
        <v>5067.3449040682526</v>
      </c>
      <c r="P11" s="7">
        <f t="shared" si="3"/>
        <v>0</v>
      </c>
    </row>
    <row r="12" spans="1:16" x14ac:dyDescent="0.2">
      <c r="B12">
        <v>2027</v>
      </c>
      <c r="C12">
        <v>4</v>
      </c>
      <c r="D12" t="s">
        <v>157</v>
      </c>
      <c r="E12">
        <v>900000</v>
      </c>
      <c r="F12">
        <v>900000</v>
      </c>
      <c r="G12">
        <v>900000</v>
      </c>
      <c r="H12">
        <f t="shared" si="0"/>
        <v>900000</v>
      </c>
      <c r="I12">
        <f t="shared" si="1"/>
        <v>900000</v>
      </c>
      <c r="J12">
        <f t="shared" si="2"/>
        <v>0</v>
      </c>
      <c r="O12" s="7">
        <f t="shared" si="4"/>
        <v>5067.3449040682526</v>
      </c>
      <c r="P12" s="7">
        <f t="shared" si="3"/>
        <v>0</v>
      </c>
    </row>
    <row r="13" spans="1:16" x14ac:dyDescent="0.2">
      <c r="B13">
        <v>2028</v>
      </c>
      <c r="C13">
        <v>5</v>
      </c>
      <c r="D13" t="s">
        <v>157</v>
      </c>
      <c r="E13">
        <v>900000</v>
      </c>
      <c r="F13">
        <v>900000</v>
      </c>
      <c r="G13">
        <v>900000</v>
      </c>
      <c r="H13">
        <f t="shared" si="0"/>
        <v>900000</v>
      </c>
      <c r="I13">
        <f t="shared" si="1"/>
        <v>900000</v>
      </c>
      <c r="J13">
        <f t="shared" si="2"/>
        <v>0</v>
      </c>
      <c r="O13" s="7">
        <f t="shared" si="4"/>
        <v>5067.3449040682526</v>
      </c>
      <c r="P13" s="7">
        <f t="shared" si="3"/>
        <v>0</v>
      </c>
    </row>
    <row r="14" spans="1:16" x14ac:dyDescent="0.2">
      <c r="B14">
        <v>2029</v>
      </c>
      <c r="C14">
        <v>6</v>
      </c>
      <c r="D14" t="s">
        <v>157</v>
      </c>
      <c r="E14">
        <v>900000</v>
      </c>
      <c r="F14">
        <v>900000</v>
      </c>
      <c r="G14">
        <v>900000</v>
      </c>
      <c r="H14">
        <f t="shared" si="0"/>
        <v>900000</v>
      </c>
      <c r="I14">
        <f t="shared" si="1"/>
        <v>900000</v>
      </c>
      <c r="J14">
        <f t="shared" si="2"/>
        <v>0</v>
      </c>
      <c r="O14" s="7">
        <f t="shared" si="4"/>
        <v>5067.3449040682526</v>
      </c>
      <c r="P14" s="7">
        <f t="shared" si="3"/>
        <v>0</v>
      </c>
    </row>
    <row r="15" spans="1:16" x14ac:dyDescent="0.2">
      <c r="B15">
        <v>2030</v>
      </c>
      <c r="C15">
        <v>7</v>
      </c>
      <c r="D15" t="s">
        <v>158</v>
      </c>
      <c r="E15">
        <v>900000</v>
      </c>
      <c r="F15">
        <v>900000</v>
      </c>
      <c r="G15">
        <v>900000</v>
      </c>
      <c r="H15">
        <v>50000</v>
      </c>
      <c r="I15">
        <f>H15</f>
        <v>50000</v>
      </c>
      <c r="J15">
        <f t="shared" si="2"/>
        <v>850000</v>
      </c>
      <c r="O15" s="7">
        <f t="shared" si="4"/>
        <v>5067.3449040682526</v>
      </c>
      <c r="P15" s="7">
        <f t="shared" si="3"/>
        <v>4307243168.4580145</v>
      </c>
    </row>
    <row r="16" spans="1:16" x14ac:dyDescent="0.2">
      <c r="B16">
        <v>2031</v>
      </c>
      <c r="C16">
        <v>8</v>
      </c>
      <c r="D16" t="s">
        <v>158</v>
      </c>
      <c r="F16">
        <v>900000</v>
      </c>
      <c r="G16">
        <v>900000</v>
      </c>
      <c r="H16">
        <v>50000</v>
      </c>
      <c r="I16">
        <f t="shared" ref="I16:I19" si="5">H16</f>
        <v>50000</v>
      </c>
      <c r="J16">
        <f t="shared" si="2"/>
        <v>850000</v>
      </c>
      <c r="O16" s="7">
        <f t="shared" si="4"/>
        <v>5067.3449040682526</v>
      </c>
      <c r="P16" s="7">
        <f t="shared" si="3"/>
        <v>4307243168.4580145</v>
      </c>
    </row>
    <row r="17" spans="2:16" x14ac:dyDescent="0.2">
      <c r="B17">
        <v>2032</v>
      </c>
      <c r="C17">
        <v>9</v>
      </c>
      <c r="D17" t="s">
        <v>158</v>
      </c>
      <c r="F17">
        <v>900000</v>
      </c>
      <c r="G17">
        <v>900000</v>
      </c>
      <c r="H17">
        <v>50000</v>
      </c>
      <c r="I17">
        <f t="shared" si="5"/>
        <v>50000</v>
      </c>
      <c r="J17">
        <f t="shared" si="2"/>
        <v>850000</v>
      </c>
      <c r="O17" s="7">
        <f t="shared" si="4"/>
        <v>5067.3449040682526</v>
      </c>
      <c r="P17" s="7">
        <f t="shared" si="3"/>
        <v>4307243168.4580145</v>
      </c>
    </row>
    <row r="18" spans="2:16" x14ac:dyDescent="0.2">
      <c r="B18">
        <v>2033</v>
      </c>
      <c r="C18">
        <v>10</v>
      </c>
      <c r="D18" t="s">
        <v>158</v>
      </c>
      <c r="F18">
        <v>900000</v>
      </c>
      <c r="G18">
        <v>900000</v>
      </c>
      <c r="H18">
        <v>50000</v>
      </c>
      <c r="I18">
        <f t="shared" si="5"/>
        <v>50000</v>
      </c>
      <c r="J18">
        <f t="shared" si="2"/>
        <v>850000</v>
      </c>
      <c r="O18" s="7">
        <f t="shared" si="4"/>
        <v>5067.3449040682526</v>
      </c>
      <c r="P18" s="7">
        <f t="shared" si="3"/>
        <v>4307243168.4580145</v>
      </c>
    </row>
    <row r="19" spans="2:16" x14ac:dyDescent="0.2">
      <c r="B19">
        <v>2034</v>
      </c>
      <c r="C19">
        <v>11</v>
      </c>
      <c r="D19" t="s">
        <v>158</v>
      </c>
      <c r="F19">
        <v>900000</v>
      </c>
      <c r="G19">
        <v>900000</v>
      </c>
      <c r="H19">
        <v>50000</v>
      </c>
      <c r="I19">
        <f t="shared" si="5"/>
        <v>50000</v>
      </c>
      <c r="J19">
        <f t="shared" si="2"/>
        <v>850000</v>
      </c>
      <c r="O19" s="7">
        <f t="shared" si="4"/>
        <v>5067.3449040682526</v>
      </c>
      <c r="P19" s="7">
        <f t="shared" si="3"/>
        <v>4307243168.4580145</v>
      </c>
    </row>
    <row r="20" spans="2:16" x14ac:dyDescent="0.2">
      <c r="B20">
        <v>2035</v>
      </c>
      <c r="C20">
        <v>12</v>
      </c>
      <c r="D20" t="s">
        <v>158</v>
      </c>
      <c r="F20">
        <v>900000</v>
      </c>
      <c r="G20">
        <v>900000</v>
      </c>
      <c r="H20">
        <v>50000</v>
      </c>
      <c r="J20">
        <f t="shared" si="2"/>
        <v>850000</v>
      </c>
      <c r="O20" s="7">
        <f t="shared" si="4"/>
        <v>5067.3449040682526</v>
      </c>
      <c r="P20" s="7">
        <f t="shared" si="3"/>
        <v>4307243168.4580145</v>
      </c>
    </row>
    <row r="21" spans="2:16" x14ac:dyDescent="0.2">
      <c r="B21">
        <v>2036</v>
      </c>
      <c r="C21">
        <v>13</v>
      </c>
      <c r="D21" t="s">
        <v>159</v>
      </c>
      <c r="F21">
        <v>900000</v>
      </c>
      <c r="H21">
        <v>50000</v>
      </c>
      <c r="J21">
        <f t="shared" si="2"/>
        <v>850000</v>
      </c>
      <c r="O21" s="7">
        <f t="shared" si="4"/>
        <v>5067.3449040682526</v>
      </c>
      <c r="P21" s="7">
        <f t="shared" si="3"/>
        <v>4307243168.4580145</v>
      </c>
    </row>
    <row r="22" spans="2:16" x14ac:dyDescent="0.2">
      <c r="B22">
        <v>2037</v>
      </c>
      <c r="C22">
        <v>14</v>
      </c>
      <c r="D22" t="s">
        <v>159</v>
      </c>
      <c r="F22">
        <v>900000</v>
      </c>
      <c r="H22">
        <v>50000</v>
      </c>
      <c r="J22">
        <f t="shared" si="2"/>
        <v>850000</v>
      </c>
      <c r="O22" s="7">
        <f t="shared" si="4"/>
        <v>5067.3449040682526</v>
      </c>
      <c r="P22" s="7">
        <f t="shared" si="3"/>
        <v>4307243168.4580145</v>
      </c>
    </row>
    <row r="23" spans="2:16" x14ac:dyDescent="0.2">
      <c r="B23">
        <v>2038</v>
      </c>
      <c r="C23">
        <v>15</v>
      </c>
      <c r="D23" t="s">
        <v>159</v>
      </c>
      <c r="F23">
        <v>900000</v>
      </c>
      <c r="H23">
        <v>50000</v>
      </c>
      <c r="J23">
        <f t="shared" si="2"/>
        <v>850000</v>
      </c>
      <c r="O23" s="7">
        <f t="shared" si="4"/>
        <v>5067.3449040682526</v>
      </c>
      <c r="P23" s="7">
        <f t="shared" si="3"/>
        <v>4307243168.4580145</v>
      </c>
    </row>
    <row r="24" spans="2:16" x14ac:dyDescent="0.2">
      <c r="B24">
        <v>2039</v>
      </c>
      <c r="C24">
        <v>16</v>
      </c>
      <c r="D24" t="s">
        <v>159</v>
      </c>
      <c r="F24">
        <v>900000</v>
      </c>
      <c r="H24">
        <v>50000</v>
      </c>
      <c r="J24">
        <f t="shared" si="2"/>
        <v>850000</v>
      </c>
      <c r="O24" s="7">
        <f t="shared" si="4"/>
        <v>5067.3449040682526</v>
      </c>
      <c r="P24" s="7">
        <f t="shared" si="3"/>
        <v>4307243168.4580145</v>
      </c>
    </row>
    <row r="25" spans="2:16" x14ac:dyDescent="0.2">
      <c r="B25">
        <v>2040</v>
      </c>
      <c r="C25">
        <v>17</v>
      </c>
      <c r="D25" t="s">
        <v>159</v>
      </c>
      <c r="F25">
        <v>900000</v>
      </c>
      <c r="H25">
        <v>50000</v>
      </c>
      <c r="J25">
        <f t="shared" si="2"/>
        <v>850000</v>
      </c>
      <c r="O25" s="7">
        <f t="shared" si="4"/>
        <v>5067.3449040682526</v>
      </c>
      <c r="P25" s="7">
        <f t="shared" si="3"/>
        <v>4307243168.4580145</v>
      </c>
    </row>
    <row r="26" spans="2:16" x14ac:dyDescent="0.2">
      <c r="B26">
        <v>2041</v>
      </c>
      <c r="C26">
        <v>18</v>
      </c>
      <c r="D26" t="s">
        <v>159</v>
      </c>
      <c r="F26">
        <v>900000</v>
      </c>
      <c r="H26">
        <v>50000</v>
      </c>
      <c r="J26">
        <f t="shared" si="2"/>
        <v>850000</v>
      </c>
      <c r="O26" s="7">
        <f t="shared" si="4"/>
        <v>5067.3449040682526</v>
      </c>
      <c r="P26" s="7">
        <f t="shared" si="3"/>
        <v>4307243168.4580145</v>
      </c>
    </row>
    <row r="27" spans="2:16" x14ac:dyDescent="0.2">
      <c r="B27">
        <v>2042</v>
      </c>
      <c r="C27">
        <v>19</v>
      </c>
      <c r="D27" t="s">
        <v>159</v>
      </c>
      <c r="F27">
        <v>900000</v>
      </c>
      <c r="H27">
        <v>50000</v>
      </c>
      <c r="J27">
        <f t="shared" si="2"/>
        <v>850000</v>
      </c>
      <c r="O27" s="7">
        <f t="shared" si="4"/>
        <v>5067.3449040682526</v>
      </c>
      <c r="P27" s="7">
        <f t="shared" si="3"/>
        <v>4307243168.4580145</v>
      </c>
    </row>
    <row r="28" spans="2:16" x14ac:dyDescent="0.2">
      <c r="B28">
        <v>2043</v>
      </c>
      <c r="C28">
        <v>20</v>
      </c>
      <c r="D28" t="s">
        <v>159</v>
      </c>
      <c r="F28">
        <v>900000</v>
      </c>
      <c r="H28">
        <v>50000</v>
      </c>
      <c r="J28">
        <f t="shared" si="2"/>
        <v>850000</v>
      </c>
      <c r="O28" s="7">
        <f t="shared" si="4"/>
        <v>5067.3449040682526</v>
      </c>
      <c r="P28" s="7">
        <f t="shared" si="3"/>
        <v>4307243168.4580145</v>
      </c>
    </row>
    <row r="29" spans="2:16" x14ac:dyDescent="0.2">
      <c r="B29">
        <v>2044</v>
      </c>
      <c r="C29">
        <v>21</v>
      </c>
      <c r="D29" t="s">
        <v>159</v>
      </c>
      <c r="J29">
        <f t="shared" si="2"/>
        <v>0</v>
      </c>
      <c r="O29" s="7">
        <f t="shared" si="4"/>
        <v>5067.3449040682526</v>
      </c>
      <c r="P29" s="7">
        <f t="shared" si="3"/>
        <v>0</v>
      </c>
    </row>
    <row r="30" spans="2:16" x14ac:dyDescent="0.2">
      <c r="B30">
        <v>2045</v>
      </c>
      <c r="C30">
        <v>22</v>
      </c>
      <c r="D30" t="s">
        <v>159</v>
      </c>
      <c r="J30">
        <f t="shared" si="2"/>
        <v>0</v>
      </c>
      <c r="O30" s="7">
        <f t="shared" si="4"/>
        <v>5067.3449040682526</v>
      </c>
      <c r="P30" s="7">
        <f t="shared" si="3"/>
        <v>0</v>
      </c>
    </row>
    <row r="31" spans="2:16" x14ac:dyDescent="0.2">
      <c r="B31">
        <v>2046</v>
      </c>
      <c r="C31">
        <v>23</v>
      </c>
      <c r="D31" t="s">
        <v>159</v>
      </c>
      <c r="J31">
        <f t="shared" si="2"/>
        <v>0</v>
      </c>
      <c r="O31" s="7">
        <f t="shared" si="4"/>
        <v>5067.3449040682526</v>
      </c>
      <c r="P31" s="7">
        <f t="shared" si="3"/>
        <v>0</v>
      </c>
    </row>
    <row r="32" spans="2:16" x14ac:dyDescent="0.2">
      <c r="B32">
        <v>2047</v>
      </c>
      <c r="C32">
        <v>24</v>
      </c>
      <c r="D32" t="s">
        <v>159</v>
      </c>
      <c r="J32">
        <f t="shared" si="2"/>
        <v>0</v>
      </c>
      <c r="O32" s="7">
        <f t="shared" si="4"/>
        <v>5067.3449040682526</v>
      </c>
      <c r="P32" s="7">
        <f t="shared" si="3"/>
        <v>0</v>
      </c>
    </row>
    <row r="33" spans="2:16" x14ac:dyDescent="0.2">
      <c r="B33">
        <v>2048</v>
      </c>
      <c r="C33">
        <v>25</v>
      </c>
      <c r="D33" t="s">
        <v>159</v>
      </c>
      <c r="J33">
        <f t="shared" si="2"/>
        <v>0</v>
      </c>
      <c r="O33" s="7">
        <f t="shared" si="4"/>
        <v>5067.3449040682526</v>
      </c>
      <c r="P33" s="7">
        <f t="shared" si="3"/>
        <v>0</v>
      </c>
    </row>
    <row r="34" spans="2:16" x14ac:dyDescent="0.2">
      <c r="B34">
        <v>2049</v>
      </c>
      <c r="C34">
        <v>26</v>
      </c>
      <c r="D34" t="s">
        <v>159</v>
      </c>
      <c r="J34">
        <f t="shared" si="2"/>
        <v>0</v>
      </c>
      <c r="O34" s="7">
        <f t="shared" si="4"/>
        <v>5067.3449040682526</v>
      </c>
      <c r="P34" s="7">
        <f t="shared" si="3"/>
        <v>0</v>
      </c>
    </row>
    <row r="35" spans="2:16" x14ac:dyDescent="0.2">
      <c r="B35">
        <v>2050</v>
      </c>
      <c r="C35">
        <v>27</v>
      </c>
      <c r="D35" t="s">
        <v>159</v>
      </c>
      <c r="J35">
        <f t="shared" si="2"/>
        <v>0</v>
      </c>
      <c r="O35" s="7">
        <f t="shared" si="4"/>
        <v>5067.3449040682526</v>
      </c>
      <c r="P35" s="7">
        <f t="shared" si="3"/>
        <v>0</v>
      </c>
    </row>
    <row r="40" spans="2:16" x14ac:dyDescent="0.2">
      <c r="N40">
        <f>SUM(J15:J28)</f>
        <v>11900000</v>
      </c>
      <c r="O40" s="7">
        <f>utslipp2!H54</f>
        <v>-60301404358.412201</v>
      </c>
      <c r="P40" s="7">
        <f>O40/N40</f>
        <v>-5067.3449040682526</v>
      </c>
    </row>
    <row r="41" spans="2:16" x14ac:dyDescent="0.2">
      <c r="O41" s="7">
        <f>NPV(0.07,P9:P35)</f>
        <v>25100350098.843216</v>
      </c>
      <c r="P41" s="7">
        <f>SUM(P15:P28)</f>
        <v>60301404358.412209</v>
      </c>
    </row>
    <row r="43" spans="2:16" x14ac:dyDescent="0.2">
      <c r="P43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589C8-7660-9946-AB47-5DFADBFAABD1}">
  <dimension ref="B3:AE68"/>
  <sheetViews>
    <sheetView topLeftCell="A43" workbookViewId="0">
      <selection activeCell="F17" sqref="F17"/>
    </sheetView>
  </sheetViews>
  <sheetFormatPr baseColWidth="10" defaultRowHeight="16" x14ac:dyDescent="0.2"/>
  <cols>
    <col min="2" max="2" width="17.6640625" customWidth="1"/>
    <col min="3" max="3" width="20.6640625" customWidth="1"/>
    <col min="4" max="4" width="21.1640625" customWidth="1"/>
    <col min="5" max="5" width="15.5" customWidth="1"/>
    <col min="6" max="6" width="14.33203125" customWidth="1"/>
    <col min="7" max="7" width="12.5" customWidth="1"/>
    <col min="8" max="8" width="25.33203125" customWidth="1"/>
    <col min="10" max="10" width="19" bestFit="1" customWidth="1"/>
    <col min="11" max="11" width="18.33203125" customWidth="1"/>
    <col min="12" max="12" width="17.1640625" customWidth="1"/>
    <col min="13" max="13" width="13.1640625" customWidth="1"/>
    <col min="14" max="14" width="12.6640625" customWidth="1"/>
    <col min="15" max="15" width="12.5" customWidth="1"/>
    <col min="16" max="16" width="15.5" customWidth="1"/>
    <col min="17" max="18" width="20.6640625" customWidth="1"/>
    <col min="19" max="19" width="19" customWidth="1"/>
    <col min="20" max="20" width="20" customWidth="1"/>
    <col min="21" max="21" width="21" customWidth="1"/>
    <col min="22" max="22" width="19.33203125" customWidth="1"/>
    <col min="23" max="23" width="17.83203125" customWidth="1"/>
    <col min="24" max="24" width="16.1640625" customWidth="1"/>
    <col min="25" max="25" width="17.6640625" customWidth="1"/>
    <col min="28" max="28" width="11.1640625" bestFit="1" customWidth="1"/>
  </cols>
  <sheetData>
    <row r="3" spans="2:31" x14ac:dyDescent="0.2">
      <c r="C3" s="25">
        <f>Usikkerhetsanalyse!C8</f>
        <v>69738493471.205292</v>
      </c>
    </row>
    <row r="8" spans="2:31" ht="17" thickBot="1" x14ac:dyDescent="0.25">
      <c r="B8" s="21"/>
      <c r="C8" s="21"/>
      <c r="D8" s="21"/>
      <c r="E8" s="62" t="s">
        <v>194</v>
      </c>
      <c r="F8" s="63"/>
      <c r="G8" s="63"/>
      <c r="H8" s="40" t="s">
        <v>195</v>
      </c>
      <c r="I8" s="41"/>
      <c r="J8" s="41"/>
      <c r="K8" s="41"/>
      <c r="L8" s="41"/>
      <c r="M8" s="71" t="s">
        <v>196</v>
      </c>
      <c r="N8" s="72"/>
      <c r="O8" s="72"/>
      <c r="P8" s="72"/>
      <c r="Q8" s="72"/>
      <c r="R8" s="77" t="s">
        <v>199</v>
      </c>
      <c r="S8" s="78"/>
      <c r="T8" s="78"/>
      <c r="U8" s="79" t="s">
        <v>12</v>
      </c>
      <c r="V8" s="80"/>
      <c r="W8" s="80"/>
      <c r="X8" s="80"/>
      <c r="Y8" s="80"/>
      <c r="AB8" t="s">
        <v>219</v>
      </c>
      <c r="AC8" t="s">
        <v>220</v>
      </c>
      <c r="AD8" t="s">
        <v>221</v>
      </c>
      <c r="AE8" t="s">
        <v>216</v>
      </c>
    </row>
    <row r="9" spans="2:31" x14ac:dyDescent="0.2">
      <c r="B9" t="s">
        <v>19</v>
      </c>
      <c r="C9" t="s">
        <v>156</v>
      </c>
      <c r="D9" t="s">
        <v>155</v>
      </c>
      <c r="E9" t="s">
        <v>191</v>
      </c>
      <c r="F9" t="s">
        <v>192</v>
      </c>
      <c r="G9" t="s">
        <v>193</v>
      </c>
      <c r="H9" t="s">
        <v>125</v>
      </c>
      <c r="I9" t="s">
        <v>88</v>
      </c>
      <c r="J9" t="s">
        <v>87</v>
      </c>
      <c r="K9" t="s">
        <v>197</v>
      </c>
      <c r="L9" t="s">
        <v>198</v>
      </c>
      <c r="M9" t="s">
        <v>125</v>
      </c>
      <c r="N9" t="s">
        <v>88</v>
      </c>
      <c r="O9" t="s">
        <v>87</v>
      </c>
      <c r="P9" t="s">
        <v>197</v>
      </c>
      <c r="Q9" t="s">
        <v>198</v>
      </c>
      <c r="R9" t="s">
        <v>145</v>
      </c>
      <c r="S9" t="s">
        <v>144</v>
      </c>
      <c r="T9" t="s">
        <v>146</v>
      </c>
      <c r="U9" t="s">
        <v>125</v>
      </c>
      <c r="V9" t="s">
        <v>88</v>
      </c>
      <c r="W9" t="s">
        <v>87</v>
      </c>
      <c r="X9" t="s">
        <v>197</v>
      </c>
      <c r="Y9" t="s">
        <v>198</v>
      </c>
      <c r="AB9">
        <f>H10*E10</f>
        <v>1481050000</v>
      </c>
      <c r="AE9" t="s">
        <v>216</v>
      </c>
    </row>
    <row r="10" spans="2:31" x14ac:dyDescent="0.2">
      <c r="B10">
        <v>2023</v>
      </c>
      <c r="C10">
        <v>0</v>
      </c>
      <c r="D10" t="s">
        <v>157</v>
      </c>
      <c r="E10">
        <v>950000</v>
      </c>
      <c r="F10" s="74"/>
      <c r="G10" s="74">
        <f>E10-F10</f>
        <v>950000</v>
      </c>
      <c r="H10" s="75">
        <v>1559</v>
      </c>
      <c r="I10" s="75">
        <v>1470</v>
      </c>
      <c r="J10" s="75">
        <v>598</v>
      </c>
      <c r="K10" s="1">
        <f>J10+$H$47*(I10-J10)</f>
        <v>9213.8501127734216</v>
      </c>
      <c r="L10" s="28">
        <f>H58</f>
        <v>5067.3449040682526</v>
      </c>
      <c r="M10">
        <f>F10*H10</f>
        <v>0</v>
      </c>
      <c r="N10">
        <f>F10*I10</f>
        <v>0</v>
      </c>
      <c r="O10">
        <f>F10*J10</f>
        <v>0</v>
      </c>
      <c r="P10">
        <f>F10*K10</f>
        <v>0</v>
      </c>
      <c r="Q10">
        <f>L10*F10</f>
        <v>0</v>
      </c>
      <c r="R10">
        <v>1</v>
      </c>
      <c r="S10">
        <v>1</v>
      </c>
      <c r="T10">
        <f>1/S10</f>
        <v>1</v>
      </c>
      <c r="U10" s="23">
        <f>M10*T10</f>
        <v>0</v>
      </c>
      <c r="V10" s="23">
        <f>N10*T10</f>
        <v>0</v>
      </c>
      <c r="W10" s="23">
        <f>O10*T10</f>
        <v>0</v>
      </c>
      <c r="Y10">
        <f>Q10*T10</f>
        <v>0</v>
      </c>
      <c r="AB10">
        <f t="shared" ref="AB10:AB37" si="0">H11*E11</f>
        <v>1637800000</v>
      </c>
      <c r="AE10" t="s">
        <v>216</v>
      </c>
    </row>
    <row r="11" spans="2:31" x14ac:dyDescent="0.2">
      <c r="B11">
        <v>2024</v>
      </c>
      <c r="C11">
        <v>1</v>
      </c>
      <c r="D11" t="s">
        <v>157</v>
      </c>
      <c r="E11">
        <v>950000</v>
      </c>
      <c r="G11" s="74">
        <f t="shared" ref="G11:G37" si="1">E11-F11</f>
        <v>950000</v>
      </c>
      <c r="H11" s="75">
        <v>1724</v>
      </c>
      <c r="I11" s="75">
        <v>1679</v>
      </c>
      <c r="J11" s="75">
        <v>627</v>
      </c>
      <c r="K11" s="1">
        <f t="shared" ref="K11:K37" si="2">J11+$H$47*(I11-J11)</f>
        <v>11021.351282841331</v>
      </c>
      <c r="L11" s="28">
        <f>L10</f>
        <v>5067.3449040682526</v>
      </c>
      <c r="M11">
        <f t="shared" ref="M11:M37" si="3">F11*H11</f>
        <v>0</v>
      </c>
      <c r="N11">
        <f t="shared" ref="N11:N37" si="4">F11*I11</f>
        <v>0</v>
      </c>
      <c r="O11">
        <f t="shared" ref="O11:O37" si="5">F11*J11</f>
        <v>0</v>
      </c>
      <c r="P11">
        <f t="shared" ref="P11:P37" si="6">F11*K11</f>
        <v>0</v>
      </c>
      <c r="Q11">
        <f t="shared" ref="Q11:Q37" si="7">L11*F11</f>
        <v>0</v>
      </c>
      <c r="R11">
        <v>1.04</v>
      </c>
      <c r="S11">
        <f>S10*R11</f>
        <v>1.04</v>
      </c>
      <c r="T11">
        <f t="shared" ref="T11:T37" si="8">1/S11</f>
        <v>0.96153846153846145</v>
      </c>
      <c r="U11" s="23">
        <f t="shared" ref="U11:U37" si="9">M11*T11</f>
        <v>0</v>
      </c>
      <c r="V11" s="23">
        <f t="shared" ref="V11:V37" si="10">N11*T11</f>
        <v>0</v>
      </c>
      <c r="W11" s="23">
        <f t="shared" ref="W11:W37" si="11">O11*T11</f>
        <v>0</v>
      </c>
      <c r="Y11">
        <f t="shared" ref="Y11:Y37" si="12">Q11*T11</f>
        <v>0</v>
      </c>
      <c r="AB11">
        <f t="shared" si="0"/>
        <v>1811650000</v>
      </c>
      <c r="AE11" t="s">
        <v>216</v>
      </c>
    </row>
    <row r="12" spans="2:31" x14ac:dyDescent="0.2">
      <c r="B12">
        <v>2025</v>
      </c>
      <c r="C12">
        <v>2</v>
      </c>
      <c r="D12" t="s">
        <v>157</v>
      </c>
      <c r="E12">
        <v>950000</v>
      </c>
      <c r="G12" s="74">
        <f t="shared" si="1"/>
        <v>950000</v>
      </c>
      <c r="H12" s="75">
        <v>1907</v>
      </c>
      <c r="I12" s="76">
        <v>1918</v>
      </c>
      <c r="J12" s="75">
        <v>654</v>
      </c>
      <c r="K12" s="1">
        <f t="shared" si="2"/>
        <v>13143.03043869909</v>
      </c>
      <c r="L12" s="28">
        <f t="shared" ref="L12:L37" si="13">L11</f>
        <v>5067.3449040682526</v>
      </c>
      <c r="M12">
        <f t="shared" si="3"/>
        <v>0</v>
      </c>
      <c r="N12">
        <f t="shared" si="4"/>
        <v>0</v>
      </c>
      <c r="O12">
        <f t="shared" si="5"/>
        <v>0</v>
      </c>
      <c r="P12">
        <f t="shared" si="6"/>
        <v>0</v>
      </c>
      <c r="Q12">
        <f t="shared" si="7"/>
        <v>0</v>
      </c>
      <c r="R12">
        <v>1.04</v>
      </c>
      <c r="S12">
        <f t="shared" ref="S12:S37" si="14">S11*R12</f>
        <v>1.0816000000000001</v>
      </c>
      <c r="T12">
        <f t="shared" si="8"/>
        <v>0.92455621301775137</v>
      </c>
      <c r="U12" s="23">
        <f t="shared" si="9"/>
        <v>0</v>
      </c>
      <c r="V12" s="23">
        <f t="shared" si="10"/>
        <v>0</v>
      </c>
      <c r="W12" s="23">
        <f t="shared" si="11"/>
        <v>0</v>
      </c>
      <c r="Y12">
        <f t="shared" si="12"/>
        <v>0</v>
      </c>
      <c r="AB12">
        <f t="shared" si="0"/>
        <v>2014950000</v>
      </c>
      <c r="AE12" t="s">
        <v>216</v>
      </c>
    </row>
    <row r="13" spans="2:31" x14ac:dyDescent="0.2">
      <c r="B13">
        <v>2026</v>
      </c>
      <c r="C13">
        <v>3</v>
      </c>
      <c r="D13" t="s">
        <v>157</v>
      </c>
      <c r="E13">
        <v>950000</v>
      </c>
      <c r="G13" s="74">
        <f t="shared" si="1"/>
        <v>950000</v>
      </c>
      <c r="H13" s="75">
        <v>2121</v>
      </c>
      <c r="I13" s="75">
        <v>2096</v>
      </c>
      <c r="J13" s="75">
        <v>686</v>
      </c>
      <c r="K13" s="1">
        <f t="shared" si="2"/>
        <v>14617.592498865282</v>
      </c>
      <c r="L13" s="28">
        <f t="shared" si="13"/>
        <v>5067.3449040682526</v>
      </c>
      <c r="M13">
        <f t="shared" si="3"/>
        <v>0</v>
      </c>
      <c r="N13">
        <f t="shared" si="4"/>
        <v>0</v>
      </c>
      <c r="O13">
        <f t="shared" si="5"/>
        <v>0</v>
      </c>
      <c r="P13">
        <f t="shared" si="6"/>
        <v>0</v>
      </c>
      <c r="Q13">
        <f t="shared" si="7"/>
        <v>0</v>
      </c>
      <c r="R13">
        <v>1.04</v>
      </c>
      <c r="S13">
        <f t="shared" si="14"/>
        <v>1.1248640000000001</v>
      </c>
      <c r="T13">
        <f t="shared" si="8"/>
        <v>0.88899635867091487</v>
      </c>
      <c r="U13" s="23">
        <f t="shared" si="9"/>
        <v>0</v>
      </c>
      <c r="V13" s="23">
        <f t="shared" si="10"/>
        <v>0</v>
      </c>
      <c r="W13" s="23">
        <f t="shared" si="11"/>
        <v>0</v>
      </c>
      <c r="Y13">
        <f t="shared" si="12"/>
        <v>0</v>
      </c>
      <c r="AB13">
        <f t="shared" si="0"/>
        <v>2118500000</v>
      </c>
      <c r="AE13" t="s">
        <v>216</v>
      </c>
    </row>
    <row r="14" spans="2:31" x14ac:dyDescent="0.2">
      <c r="B14">
        <v>2027</v>
      </c>
      <c r="C14">
        <v>4</v>
      </c>
      <c r="D14" t="s">
        <v>157</v>
      </c>
      <c r="E14">
        <v>950000</v>
      </c>
      <c r="G14" s="74">
        <f t="shared" si="1"/>
        <v>950000</v>
      </c>
      <c r="H14" s="75">
        <v>2230</v>
      </c>
      <c r="I14" s="75">
        <v>2291</v>
      </c>
      <c r="J14" s="75">
        <v>703</v>
      </c>
      <c r="K14" s="1">
        <f t="shared" si="2"/>
        <v>16393.332544821322</v>
      </c>
      <c r="L14" s="28">
        <f t="shared" si="13"/>
        <v>5067.3449040682526</v>
      </c>
      <c r="M14">
        <f t="shared" si="3"/>
        <v>0</v>
      </c>
      <c r="N14">
        <f t="shared" si="4"/>
        <v>0</v>
      </c>
      <c r="O14">
        <f t="shared" si="5"/>
        <v>0</v>
      </c>
      <c r="P14">
        <f t="shared" si="6"/>
        <v>0</v>
      </c>
      <c r="Q14">
        <f t="shared" si="7"/>
        <v>0</v>
      </c>
      <c r="R14">
        <v>1.04</v>
      </c>
      <c r="S14">
        <f t="shared" si="14"/>
        <v>1.1698585600000002</v>
      </c>
      <c r="T14">
        <f t="shared" si="8"/>
        <v>0.85480419102972571</v>
      </c>
      <c r="U14" s="23">
        <f t="shared" si="9"/>
        <v>0</v>
      </c>
      <c r="V14" s="23">
        <f t="shared" si="10"/>
        <v>0</v>
      </c>
      <c r="W14" s="23">
        <f t="shared" si="11"/>
        <v>0</v>
      </c>
      <c r="Y14">
        <f t="shared" si="12"/>
        <v>0</v>
      </c>
      <c r="AB14">
        <f t="shared" si="0"/>
        <v>2118500000</v>
      </c>
      <c r="AE14" t="s">
        <v>216</v>
      </c>
    </row>
    <row r="15" spans="2:31" x14ac:dyDescent="0.2">
      <c r="B15">
        <v>2028</v>
      </c>
      <c r="C15">
        <v>5</v>
      </c>
      <c r="D15" t="s">
        <v>157</v>
      </c>
      <c r="E15">
        <v>950000</v>
      </c>
      <c r="G15" s="74">
        <f t="shared" si="1"/>
        <v>950000</v>
      </c>
      <c r="H15" s="75">
        <v>2230</v>
      </c>
      <c r="I15" s="75">
        <v>2504</v>
      </c>
      <c r="J15" s="75">
        <v>721</v>
      </c>
      <c r="K15" s="1">
        <f t="shared" si="2"/>
        <v>18338.042145728225</v>
      </c>
      <c r="L15" s="28">
        <f t="shared" si="13"/>
        <v>5067.3449040682526</v>
      </c>
      <c r="M15">
        <f t="shared" si="3"/>
        <v>0</v>
      </c>
      <c r="N15">
        <f t="shared" si="4"/>
        <v>0</v>
      </c>
      <c r="O15">
        <f t="shared" si="5"/>
        <v>0</v>
      </c>
      <c r="P15">
        <f t="shared" si="6"/>
        <v>0</v>
      </c>
      <c r="Q15">
        <f t="shared" si="7"/>
        <v>0</v>
      </c>
      <c r="R15">
        <v>1.04</v>
      </c>
      <c r="S15">
        <f t="shared" si="14"/>
        <v>1.2166529024000003</v>
      </c>
      <c r="T15">
        <f t="shared" si="8"/>
        <v>0.82192710675935154</v>
      </c>
      <c r="U15" s="23">
        <f t="shared" si="9"/>
        <v>0</v>
      </c>
      <c r="V15" s="23">
        <f t="shared" si="10"/>
        <v>0</v>
      </c>
      <c r="W15" s="23">
        <f t="shared" si="11"/>
        <v>0</v>
      </c>
      <c r="Y15">
        <f t="shared" si="12"/>
        <v>0</v>
      </c>
      <c r="AB15">
        <f t="shared" si="0"/>
        <v>2118500000</v>
      </c>
      <c r="AE15" t="s">
        <v>216</v>
      </c>
    </row>
    <row r="16" spans="2:31" x14ac:dyDescent="0.2">
      <c r="B16">
        <v>2029</v>
      </c>
      <c r="C16">
        <v>6</v>
      </c>
      <c r="D16" t="s">
        <v>157</v>
      </c>
      <c r="E16">
        <v>950000</v>
      </c>
      <c r="G16" s="74">
        <f t="shared" si="1"/>
        <v>950000</v>
      </c>
      <c r="H16" s="75">
        <v>2230</v>
      </c>
      <c r="I16" s="75">
        <v>2736</v>
      </c>
      <c r="J16" s="75">
        <v>739</v>
      </c>
      <c r="K16" s="1">
        <f t="shared" si="2"/>
        <v>20470.48242569785</v>
      </c>
      <c r="L16" s="28">
        <f t="shared" si="13"/>
        <v>5067.3449040682526</v>
      </c>
      <c r="M16">
        <f t="shared" si="3"/>
        <v>0</v>
      </c>
      <c r="N16">
        <f t="shared" si="4"/>
        <v>0</v>
      </c>
      <c r="O16">
        <f t="shared" si="5"/>
        <v>0</v>
      </c>
      <c r="P16">
        <f t="shared" si="6"/>
        <v>0</v>
      </c>
      <c r="Q16">
        <f t="shared" si="7"/>
        <v>0</v>
      </c>
      <c r="R16">
        <v>1.04</v>
      </c>
      <c r="S16">
        <f t="shared" si="14"/>
        <v>1.2653190184960004</v>
      </c>
      <c r="T16">
        <f t="shared" si="8"/>
        <v>0.79031452573014571</v>
      </c>
      <c r="U16" s="23">
        <f t="shared" si="9"/>
        <v>0</v>
      </c>
      <c r="V16" s="23">
        <f t="shared" si="10"/>
        <v>0</v>
      </c>
      <c r="W16" s="23">
        <f t="shared" si="11"/>
        <v>0</v>
      </c>
      <c r="Y16">
        <f t="shared" si="12"/>
        <v>0</v>
      </c>
      <c r="AB16">
        <f t="shared" si="0"/>
        <v>0</v>
      </c>
      <c r="AE16" t="s">
        <v>216</v>
      </c>
    </row>
    <row r="17" spans="2:31" x14ac:dyDescent="0.2">
      <c r="B17">
        <v>2030</v>
      </c>
      <c r="C17">
        <v>7</v>
      </c>
      <c r="D17" t="s">
        <v>158</v>
      </c>
      <c r="E17">
        <v>0</v>
      </c>
      <c r="F17">
        <v>850000</v>
      </c>
      <c r="G17" s="74">
        <f>E16-F17</f>
        <v>100000</v>
      </c>
      <c r="H17" s="75">
        <v>2230</v>
      </c>
      <c r="I17" s="76">
        <v>2990</v>
      </c>
      <c r="J17" s="75">
        <v>757</v>
      </c>
      <c r="K17" s="1">
        <f t="shared" si="2"/>
        <v>22820.295070897995</v>
      </c>
      <c r="L17" s="28">
        <f t="shared" si="13"/>
        <v>5067.3449040682526</v>
      </c>
      <c r="M17">
        <f t="shared" si="3"/>
        <v>1895500000</v>
      </c>
      <c r="N17">
        <f t="shared" si="4"/>
        <v>2541500000</v>
      </c>
      <c r="O17">
        <f t="shared" si="5"/>
        <v>643450000</v>
      </c>
      <c r="P17">
        <f t="shared" si="6"/>
        <v>19397250810.263294</v>
      </c>
      <c r="Q17">
        <f t="shared" si="7"/>
        <v>4307243168.4580145</v>
      </c>
      <c r="R17">
        <v>1.04</v>
      </c>
      <c r="S17">
        <f t="shared" si="14"/>
        <v>1.3159317792358405</v>
      </c>
      <c r="T17">
        <f t="shared" si="8"/>
        <v>0.75991781320206309</v>
      </c>
      <c r="U17" s="23">
        <f t="shared" si="9"/>
        <v>1440424214.9245105</v>
      </c>
      <c r="V17" s="23">
        <f t="shared" si="10"/>
        <v>1931331122.2530434</v>
      </c>
      <c r="W17" s="23">
        <f t="shared" si="11"/>
        <v>488969116.90486747</v>
      </c>
      <c r="Y17">
        <f t="shared" si="12"/>
        <v>3273150809.5041399</v>
      </c>
      <c r="AB17">
        <f t="shared" si="0"/>
        <v>0</v>
      </c>
      <c r="AE17" t="s">
        <v>216</v>
      </c>
    </row>
    <row r="18" spans="2:31" x14ac:dyDescent="0.2">
      <c r="B18">
        <v>2031</v>
      </c>
      <c r="C18">
        <v>8</v>
      </c>
      <c r="D18" t="s">
        <v>158</v>
      </c>
      <c r="E18">
        <v>0</v>
      </c>
      <c r="F18">
        <v>850000</v>
      </c>
      <c r="G18" s="74">
        <f>G17</f>
        <v>100000</v>
      </c>
      <c r="H18" s="75">
        <v>2230</v>
      </c>
      <c r="I18" s="75">
        <v>3268</v>
      </c>
      <c r="J18" s="75">
        <v>787</v>
      </c>
      <c r="K18" s="1">
        <f t="shared" si="2"/>
        <v>25300.674460769336</v>
      </c>
      <c r="L18" s="28">
        <f t="shared" si="13"/>
        <v>5067.3449040682526</v>
      </c>
      <c r="M18">
        <f t="shared" si="3"/>
        <v>1895500000</v>
      </c>
      <c r="N18">
        <f t="shared" si="4"/>
        <v>2777800000</v>
      </c>
      <c r="O18">
        <f t="shared" si="5"/>
        <v>668950000</v>
      </c>
      <c r="P18">
        <f t="shared" si="6"/>
        <v>21505573291.653934</v>
      </c>
      <c r="Q18">
        <f t="shared" si="7"/>
        <v>4307243168.4580145</v>
      </c>
      <c r="R18">
        <v>1.04</v>
      </c>
      <c r="S18">
        <f t="shared" si="14"/>
        <v>1.3685690504052741</v>
      </c>
      <c r="T18">
        <f t="shared" si="8"/>
        <v>0.73069020500198378</v>
      </c>
      <c r="U18" s="23">
        <f t="shared" si="9"/>
        <v>1385023283.5812602</v>
      </c>
      <c r="V18" s="23">
        <f t="shared" si="10"/>
        <v>2029711251.4545105</v>
      </c>
      <c r="W18" s="23">
        <f t="shared" si="11"/>
        <v>488795212.63607705</v>
      </c>
      <c r="Y18">
        <f t="shared" si="12"/>
        <v>3147260393.7539806</v>
      </c>
      <c r="AB18">
        <f t="shared" si="0"/>
        <v>0</v>
      </c>
      <c r="AE18" t="s">
        <v>216</v>
      </c>
    </row>
    <row r="19" spans="2:31" x14ac:dyDescent="0.2">
      <c r="B19">
        <v>2032</v>
      </c>
      <c r="C19">
        <v>9</v>
      </c>
      <c r="D19" t="s">
        <v>158</v>
      </c>
      <c r="E19">
        <v>0</v>
      </c>
      <c r="F19">
        <v>850000</v>
      </c>
      <c r="G19" s="74">
        <f t="shared" ref="G19:G22" si="15">G18</f>
        <v>100000</v>
      </c>
      <c r="H19" s="75">
        <v>2230</v>
      </c>
      <c r="I19" s="75">
        <v>3572</v>
      </c>
      <c r="J19" s="75">
        <v>819</v>
      </c>
      <c r="K19" s="1">
        <f t="shared" si="2"/>
        <v>28020.187339983066</v>
      </c>
      <c r="L19" s="28">
        <f t="shared" si="13"/>
        <v>5067.3449040682526</v>
      </c>
      <c r="M19">
        <f t="shared" si="3"/>
        <v>1895500000</v>
      </c>
      <c r="N19">
        <f t="shared" si="4"/>
        <v>3036200000</v>
      </c>
      <c r="O19">
        <f t="shared" si="5"/>
        <v>696150000</v>
      </c>
      <c r="P19">
        <f t="shared" si="6"/>
        <v>23817159238.985607</v>
      </c>
      <c r="Q19">
        <f t="shared" si="7"/>
        <v>4307243168.4580145</v>
      </c>
      <c r="R19">
        <v>1.04</v>
      </c>
      <c r="S19">
        <f t="shared" si="14"/>
        <v>1.4233118124214852</v>
      </c>
      <c r="T19">
        <f t="shared" si="8"/>
        <v>0.70258673557883045</v>
      </c>
      <c r="U19" s="23">
        <f t="shared" si="9"/>
        <v>1331753157.2896731</v>
      </c>
      <c r="V19" s="23">
        <f t="shared" si="10"/>
        <v>2133193846.564445</v>
      </c>
      <c r="W19" s="23">
        <f t="shared" si="11"/>
        <v>489105755.97320282</v>
      </c>
      <c r="Y19">
        <f t="shared" si="12"/>
        <v>3026211917.071135</v>
      </c>
      <c r="AB19">
        <f t="shared" si="0"/>
        <v>0</v>
      </c>
      <c r="AE19" t="s">
        <v>216</v>
      </c>
    </row>
    <row r="20" spans="2:31" x14ac:dyDescent="0.2">
      <c r="B20">
        <v>2033</v>
      </c>
      <c r="C20">
        <v>10</v>
      </c>
      <c r="D20" t="s">
        <v>158</v>
      </c>
      <c r="E20">
        <v>0</v>
      </c>
      <c r="F20">
        <v>850000</v>
      </c>
      <c r="G20" s="74">
        <f t="shared" si="15"/>
        <v>100000</v>
      </c>
      <c r="H20" s="75">
        <v>2230</v>
      </c>
      <c r="I20" s="75">
        <v>3904</v>
      </c>
      <c r="J20" s="75">
        <v>852</v>
      </c>
      <c r="K20" s="1">
        <f t="shared" si="2"/>
        <v>31007.47539470698</v>
      </c>
      <c r="L20" s="28">
        <f t="shared" si="13"/>
        <v>5067.3449040682526</v>
      </c>
      <c r="M20">
        <f t="shared" si="3"/>
        <v>1895500000</v>
      </c>
      <c r="N20">
        <f t="shared" si="4"/>
        <v>3318400000</v>
      </c>
      <c r="O20">
        <f t="shared" si="5"/>
        <v>724200000</v>
      </c>
      <c r="P20">
        <f t="shared" si="6"/>
        <v>26356354085.500935</v>
      </c>
      <c r="Q20">
        <f t="shared" si="7"/>
        <v>4307243168.4580145</v>
      </c>
      <c r="R20">
        <v>1.04</v>
      </c>
      <c r="S20">
        <f t="shared" si="14"/>
        <v>1.4802442849183446</v>
      </c>
      <c r="T20">
        <f t="shared" si="8"/>
        <v>0.67556416882579851</v>
      </c>
      <c r="U20" s="23">
        <f t="shared" si="9"/>
        <v>1280531882.0093012</v>
      </c>
      <c r="V20" s="23">
        <f t="shared" si="10"/>
        <v>2241792137.8315296</v>
      </c>
      <c r="W20" s="23">
        <f t="shared" si="11"/>
        <v>489243571.06364328</v>
      </c>
      <c r="Y20">
        <f t="shared" si="12"/>
        <v>2909819151.0299373</v>
      </c>
      <c r="AB20">
        <f t="shared" si="0"/>
        <v>0</v>
      </c>
      <c r="AE20" t="s">
        <v>216</v>
      </c>
    </row>
    <row r="21" spans="2:31" x14ac:dyDescent="0.2">
      <c r="B21">
        <v>2034</v>
      </c>
      <c r="C21">
        <v>11</v>
      </c>
      <c r="D21" t="s">
        <v>158</v>
      </c>
      <c r="E21">
        <v>0</v>
      </c>
      <c r="F21">
        <v>850000</v>
      </c>
      <c r="G21" s="74">
        <f t="shared" si="15"/>
        <v>100000</v>
      </c>
      <c r="H21" s="75">
        <v>2230</v>
      </c>
      <c r="I21" s="75">
        <v>4267</v>
      </c>
      <c r="J21" s="75">
        <v>886</v>
      </c>
      <c r="K21" s="1">
        <f t="shared" si="2"/>
        <v>34292.180311108881</v>
      </c>
      <c r="L21" s="28">
        <f t="shared" si="13"/>
        <v>5067.3449040682526</v>
      </c>
      <c r="M21">
        <f t="shared" si="3"/>
        <v>1895500000</v>
      </c>
      <c r="N21">
        <f t="shared" si="4"/>
        <v>3626950000</v>
      </c>
      <c r="O21">
        <f t="shared" si="5"/>
        <v>753100000</v>
      </c>
      <c r="P21">
        <f t="shared" si="6"/>
        <v>29148353264.442551</v>
      </c>
      <c r="Q21">
        <f t="shared" si="7"/>
        <v>4307243168.4580145</v>
      </c>
      <c r="R21">
        <v>1.04</v>
      </c>
      <c r="S21">
        <f t="shared" si="14"/>
        <v>1.5394540563150785</v>
      </c>
      <c r="T21">
        <f t="shared" si="8"/>
        <v>0.64958093156326779</v>
      </c>
      <c r="U21" s="23">
        <f t="shared" si="9"/>
        <v>1231280655.7781742</v>
      </c>
      <c r="V21" s="23">
        <f t="shared" si="10"/>
        <v>2355997559.7333941</v>
      </c>
      <c r="W21" s="23">
        <f t="shared" si="11"/>
        <v>489199399.56029695</v>
      </c>
      <c r="Y21">
        <f t="shared" si="12"/>
        <v>2797903029.8364782</v>
      </c>
      <c r="AB21">
        <f t="shared" si="0"/>
        <v>0</v>
      </c>
      <c r="AE21" t="s">
        <v>216</v>
      </c>
    </row>
    <row r="22" spans="2:31" x14ac:dyDescent="0.2">
      <c r="B22">
        <v>2035</v>
      </c>
      <c r="C22">
        <v>12</v>
      </c>
      <c r="D22" t="s">
        <v>158</v>
      </c>
      <c r="E22">
        <v>0</v>
      </c>
      <c r="F22">
        <v>850000</v>
      </c>
      <c r="G22" s="74">
        <f t="shared" si="15"/>
        <v>100000</v>
      </c>
      <c r="H22" s="75">
        <v>2230</v>
      </c>
      <c r="I22" s="75">
        <v>4664</v>
      </c>
      <c r="J22" s="75">
        <v>921</v>
      </c>
      <c r="K22" s="1">
        <f t="shared" si="2"/>
        <v>37903.943775356558</v>
      </c>
      <c r="L22" s="28">
        <f t="shared" si="13"/>
        <v>5067.3449040682526</v>
      </c>
      <c r="M22">
        <f t="shared" si="3"/>
        <v>1895500000</v>
      </c>
      <c r="N22">
        <f t="shared" si="4"/>
        <v>3964400000</v>
      </c>
      <c r="O22">
        <f t="shared" si="5"/>
        <v>782850000</v>
      </c>
      <c r="P22">
        <f t="shared" si="6"/>
        <v>32218352209.053074</v>
      </c>
      <c r="Q22">
        <f t="shared" si="7"/>
        <v>4307243168.4580145</v>
      </c>
      <c r="R22">
        <v>1.04</v>
      </c>
      <c r="S22">
        <f t="shared" si="14"/>
        <v>1.6010322185676817</v>
      </c>
      <c r="T22">
        <f t="shared" si="8"/>
        <v>0.62459704958006512</v>
      </c>
      <c r="U22" s="23">
        <f t="shared" si="9"/>
        <v>1183923707.4790134</v>
      </c>
      <c r="V22" s="23">
        <f t="shared" si="10"/>
        <v>2476152543.3552103</v>
      </c>
      <c r="W22" s="23">
        <f t="shared" si="11"/>
        <v>488965800.26375401</v>
      </c>
      <c r="Y22">
        <f t="shared" si="12"/>
        <v>2690291374.8427672</v>
      </c>
      <c r="AB22">
        <f t="shared" si="0"/>
        <v>0</v>
      </c>
      <c r="AE22" t="s">
        <v>216</v>
      </c>
    </row>
    <row r="23" spans="2:31" x14ac:dyDescent="0.2">
      <c r="B23">
        <v>2036</v>
      </c>
      <c r="C23">
        <v>13</v>
      </c>
      <c r="D23" t="s">
        <v>159</v>
      </c>
      <c r="E23">
        <v>0</v>
      </c>
      <c r="G23" s="74">
        <f t="shared" si="1"/>
        <v>0</v>
      </c>
      <c r="H23" s="75">
        <v>2230</v>
      </c>
      <c r="I23" s="75">
        <v>5098</v>
      </c>
      <c r="J23" s="75">
        <v>958</v>
      </c>
      <c r="K23" s="1">
        <f t="shared" si="2"/>
        <v>41863.526911561894</v>
      </c>
      <c r="L23" s="28">
        <f t="shared" si="13"/>
        <v>5067.3449040682526</v>
      </c>
      <c r="M23">
        <f t="shared" si="3"/>
        <v>0</v>
      </c>
      <c r="N23">
        <f t="shared" si="4"/>
        <v>0</v>
      </c>
      <c r="O23">
        <f t="shared" si="5"/>
        <v>0</v>
      </c>
      <c r="P23">
        <f t="shared" si="6"/>
        <v>0</v>
      </c>
      <c r="Q23">
        <f t="shared" si="7"/>
        <v>0</v>
      </c>
      <c r="R23">
        <v>1.04</v>
      </c>
      <c r="S23">
        <f t="shared" si="14"/>
        <v>1.6650735073103891</v>
      </c>
      <c r="T23">
        <f t="shared" si="8"/>
        <v>0.600574086134678</v>
      </c>
      <c r="U23" s="23">
        <f t="shared" si="9"/>
        <v>0</v>
      </c>
      <c r="V23" s="23">
        <f t="shared" si="10"/>
        <v>0</v>
      </c>
      <c r="W23" s="23">
        <f t="shared" si="11"/>
        <v>0</v>
      </c>
      <c r="Y23">
        <f t="shared" si="12"/>
        <v>0</v>
      </c>
      <c r="AB23">
        <f t="shared" si="0"/>
        <v>0</v>
      </c>
      <c r="AE23" t="s">
        <v>216</v>
      </c>
    </row>
    <row r="24" spans="2:31" x14ac:dyDescent="0.2">
      <c r="B24">
        <v>2037</v>
      </c>
      <c r="C24">
        <v>14</v>
      </c>
      <c r="D24" t="s">
        <v>159</v>
      </c>
      <c r="E24">
        <v>0</v>
      </c>
      <c r="G24" s="74">
        <f t="shared" si="1"/>
        <v>0</v>
      </c>
      <c r="H24" s="75">
        <v>2230</v>
      </c>
      <c r="I24" s="75">
        <v>5572</v>
      </c>
      <c r="J24" s="75">
        <v>996</v>
      </c>
      <c r="K24" s="1">
        <f t="shared" si="2"/>
        <v>46209.451967948604</v>
      </c>
      <c r="L24" s="28">
        <f t="shared" si="13"/>
        <v>5067.3449040682526</v>
      </c>
      <c r="M24">
        <f t="shared" si="3"/>
        <v>0</v>
      </c>
      <c r="N24">
        <f t="shared" si="4"/>
        <v>0</v>
      </c>
      <c r="O24">
        <f t="shared" si="5"/>
        <v>0</v>
      </c>
      <c r="P24">
        <f t="shared" si="6"/>
        <v>0</v>
      </c>
      <c r="Q24">
        <f t="shared" si="7"/>
        <v>0</v>
      </c>
      <c r="R24">
        <v>1.04</v>
      </c>
      <c r="S24">
        <f t="shared" si="14"/>
        <v>1.7316764476028046</v>
      </c>
      <c r="T24">
        <f t="shared" si="8"/>
        <v>0.57747508282180582</v>
      </c>
      <c r="U24" s="23">
        <f t="shared" si="9"/>
        <v>0</v>
      </c>
      <c r="V24" s="23">
        <f t="shared" si="10"/>
        <v>0</v>
      </c>
      <c r="W24" s="23">
        <f t="shared" si="11"/>
        <v>0</v>
      </c>
      <c r="Y24">
        <f t="shared" si="12"/>
        <v>0</v>
      </c>
      <c r="AB24">
        <f t="shared" si="0"/>
        <v>0</v>
      </c>
      <c r="AE24" t="s">
        <v>216</v>
      </c>
    </row>
    <row r="25" spans="2:31" x14ac:dyDescent="0.2">
      <c r="B25">
        <v>2038</v>
      </c>
      <c r="C25">
        <v>15</v>
      </c>
      <c r="D25" t="s">
        <v>159</v>
      </c>
      <c r="E25">
        <v>0</v>
      </c>
      <c r="G25" s="74">
        <f t="shared" si="1"/>
        <v>0</v>
      </c>
      <c r="H25" s="75">
        <v>2230</v>
      </c>
      <c r="I25" s="75">
        <v>6091</v>
      </c>
      <c r="J25" s="75">
        <v>1036</v>
      </c>
      <c r="K25" s="1">
        <f t="shared" si="2"/>
        <v>50982.241192740425</v>
      </c>
      <c r="L25" s="28">
        <f t="shared" si="13"/>
        <v>5067.3449040682526</v>
      </c>
      <c r="M25">
        <f t="shared" si="3"/>
        <v>0</v>
      </c>
      <c r="N25">
        <f t="shared" si="4"/>
        <v>0</v>
      </c>
      <c r="O25">
        <f t="shared" si="5"/>
        <v>0</v>
      </c>
      <c r="P25">
        <f t="shared" si="6"/>
        <v>0</v>
      </c>
      <c r="Q25">
        <f t="shared" si="7"/>
        <v>0</v>
      </c>
      <c r="R25">
        <v>1.04</v>
      </c>
      <c r="S25">
        <f t="shared" si="14"/>
        <v>1.8009435055069167</v>
      </c>
      <c r="T25">
        <f t="shared" si="8"/>
        <v>0.55526450271327477</v>
      </c>
      <c r="U25" s="23">
        <f t="shared" si="9"/>
        <v>0</v>
      </c>
      <c r="V25" s="23">
        <f t="shared" si="10"/>
        <v>0</v>
      </c>
      <c r="W25" s="23">
        <f t="shared" si="11"/>
        <v>0</v>
      </c>
      <c r="Y25">
        <f t="shared" si="12"/>
        <v>0</v>
      </c>
      <c r="AB25">
        <f t="shared" si="0"/>
        <v>0</v>
      </c>
      <c r="AE25" t="s">
        <v>216</v>
      </c>
    </row>
    <row r="26" spans="2:31" x14ac:dyDescent="0.2">
      <c r="B26">
        <v>2039</v>
      </c>
      <c r="C26">
        <v>16</v>
      </c>
      <c r="D26" t="s">
        <v>159</v>
      </c>
      <c r="E26">
        <v>0</v>
      </c>
      <c r="G26" s="74">
        <f t="shared" si="1"/>
        <v>0</v>
      </c>
      <c r="H26" s="75">
        <v>2230</v>
      </c>
      <c r="I26" s="75">
        <v>6657</v>
      </c>
      <c r="J26" s="75">
        <v>1078</v>
      </c>
      <c r="K26" s="1">
        <f t="shared" si="2"/>
        <v>56201.655710049228</v>
      </c>
      <c r="L26" s="28">
        <f t="shared" si="13"/>
        <v>5067.3449040682526</v>
      </c>
      <c r="M26">
        <f t="shared" si="3"/>
        <v>0</v>
      </c>
      <c r="N26">
        <f t="shared" si="4"/>
        <v>0</v>
      </c>
      <c r="O26">
        <f t="shared" si="5"/>
        <v>0</v>
      </c>
      <c r="P26">
        <f t="shared" si="6"/>
        <v>0</v>
      </c>
      <c r="Q26">
        <f t="shared" si="7"/>
        <v>0</v>
      </c>
      <c r="R26">
        <v>1.04</v>
      </c>
      <c r="S26">
        <f t="shared" si="14"/>
        <v>1.8729812457271935</v>
      </c>
      <c r="T26">
        <f t="shared" si="8"/>
        <v>0.53390817568584115</v>
      </c>
      <c r="U26" s="23">
        <f t="shared" si="9"/>
        <v>0</v>
      </c>
      <c r="V26" s="23">
        <f t="shared" si="10"/>
        <v>0</v>
      </c>
      <c r="W26" s="23">
        <f t="shared" si="11"/>
        <v>0</v>
      </c>
      <c r="Y26">
        <f t="shared" si="12"/>
        <v>0</v>
      </c>
      <c r="AB26">
        <f t="shared" si="0"/>
        <v>0</v>
      </c>
      <c r="AE26" t="s">
        <v>216</v>
      </c>
    </row>
    <row r="27" spans="2:31" x14ac:dyDescent="0.2">
      <c r="B27">
        <v>2040</v>
      </c>
      <c r="C27">
        <v>17</v>
      </c>
      <c r="D27" t="s">
        <v>159</v>
      </c>
      <c r="E27">
        <v>0</v>
      </c>
      <c r="G27" s="74">
        <f t="shared" si="1"/>
        <v>0</v>
      </c>
      <c r="H27" s="75">
        <v>2230</v>
      </c>
      <c r="I27" s="76">
        <v>7277</v>
      </c>
      <c r="J27" s="75">
        <v>1121</v>
      </c>
      <c r="K27" s="1">
        <f t="shared" si="2"/>
        <v>61945.740016322467</v>
      </c>
      <c r="L27" s="28">
        <f t="shared" si="13"/>
        <v>5067.3449040682526</v>
      </c>
      <c r="M27">
        <f t="shared" si="3"/>
        <v>0</v>
      </c>
      <c r="N27">
        <f t="shared" si="4"/>
        <v>0</v>
      </c>
      <c r="O27">
        <f t="shared" si="5"/>
        <v>0</v>
      </c>
      <c r="P27">
        <f t="shared" si="6"/>
        <v>0</v>
      </c>
      <c r="Q27">
        <f t="shared" si="7"/>
        <v>0</v>
      </c>
      <c r="R27">
        <v>1.04</v>
      </c>
      <c r="S27">
        <f t="shared" si="14"/>
        <v>1.9479004955562813</v>
      </c>
      <c r="T27">
        <f t="shared" si="8"/>
        <v>0.51337324585177024</v>
      </c>
      <c r="U27" s="23">
        <f t="shared" si="9"/>
        <v>0</v>
      </c>
      <c r="V27" s="23">
        <f t="shared" si="10"/>
        <v>0</v>
      </c>
      <c r="W27" s="23">
        <f t="shared" si="11"/>
        <v>0</v>
      </c>
      <c r="Y27">
        <f t="shared" si="12"/>
        <v>0</v>
      </c>
      <c r="AB27">
        <f t="shared" si="0"/>
        <v>0</v>
      </c>
      <c r="AE27" t="s">
        <v>216</v>
      </c>
    </row>
    <row r="28" spans="2:31" x14ac:dyDescent="0.2">
      <c r="B28">
        <v>2041</v>
      </c>
      <c r="C28">
        <v>18</v>
      </c>
      <c r="D28" t="s">
        <v>159</v>
      </c>
      <c r="E28">
        <v>0</v>
      </c>
      <c r="G28" s="74">
        <f t="shared" si="1"/>
        <v>0</v>
      </c>
      <c r="H28" s="75">
        <v>2230</v>
      </c>
      <c r="I28" s="75">
        <v>7588</v>
      </c>
      <c r="J28" s="75">
        <v>1166</v>
      </c>
      <c r="K28" s="1">
        <f t="shared" si="2"/>
        <v>64618.969523200598</v>
      </c>
      <c r="L28" s="28">
        <f t="shared" si="13"/>
        <v>5067.3449040682526</v>
      </c>
      <c r="M28">
        <f t="shared" si="3"/>
        <v>0</v>
      </c>
      <c r="N28">
        <f t="shared" si="4"/>
        <v>0</v>
      </c>
      <c r="O28">
        <f t="shared" si="5"/>
        <v>0</v>
      </c>
      <c r="P28">
        <f t="shared" si="6"/>
        <v>0</v>
      </c>
      <c r="Q28">
        <f t="shared" si="7"/>
        <v>0</v>
      </c>
      <c r="R28">
        <v>1.04</v>
      </c>
      <c r="S28">
        <f t="shared" si="14"/>
        <v>2.0258165153785326</v>
      </c>
      <c r="T28">
        <f t="shared" si="8"/>
        <v>0.49362812101131759</v>
      </c>
      <c r="U28" s="23">
        <f t="shared" si="9"/>
        <v>0</v>
      </c>
      <c r="V28" s="23">
        <f t="shared" si="10"/>
        <v>0</v>
      </c>
      <c r="W28" s="23">
        <f t="shared" si="11"/>
        <v>0</v>
      </c>
      <c r="Y28">
        <f t="shared" si="12"/>
        <v>0</v>
      </c>
      <c r="AB28">
        <f t="shared" si="0"/>
        <v>0</v>
      </c>
      <c r="AE28" t="s">
        <v>216</v>
      </c>
    </row>
    <row r="29" spans="2:31" x14ac:dyDescent="0.2">
      <c r="B29">
        <v>2042</v>
      </c>
      <c r="C29">
        <v>19</v>
      </c>
      <c r="D29" t="s">
        <v>159</v>
      </c>
      <c r="E29">
        <v>0</v>
      </c>
      <c r="G29" s="74">
        <f t="shared" si="1"/>
        <v>0</v>
      </c>
      <c r="H29" s="75">
        <v>2230</v>
      </c>
      <c r="I29" s="75">
        <v>7912</v>
      </c>
      <c r="J29" s="75">
        <v>1212</v>
      </c>
      <c r="K29" s="1">
        <f t="shared" si="2"/>
        <v>67411.765774749918</v>
      </c>
      <c r="L29" s="28">
        <f t="shared" si="13"/>
        <v>5067.3449040682526</v>
      </c>
      <c r="M29">
        <f t="shared" si="3"/>
        <v>0</v>
      </c>
      <c r="N29">
        <f t="shared" si="4"/>
        <v>0</v>
      </c>
      <c r="O29">
        <f t="shared" si="5"/>
        <v>0</v>
      </c>
      <c r="P29">
        <f t="shared" si="6"/>
        <v>0</v>
      </c>
      <c r="Q29">
        <f t="shared" si="7"/>
        <v>0</v>
      </c>
      <c r="R29">
        <v>1.04</v>
      </c>
      <c r="S29">
        <f t="shared" si="14"/>
        <v>2.1068491759936738</v>
      </c>
      <c r="T29">
        <f t="shared" si="8"/>
        <v>0.47464242404934387</v>
      </c>
      <c r="U29" s="23">
        <f t="shared" si="9"/>
        <v>0</v>
      </c>
      <c r="V29" s="23">
        <f t="shared" si="10"/>
        <v>0</v>
      </c>
      <c r="W29" s="23">
        <f t="shared" si="11"/>
        <v>0</v>
      </c>
      <c r="Y29">
        <f t="shared" si="12"/>
        <v>0</v>
      </c>
      <c r="AB29">
        <f t="shared" si="0"/>
        <v>0</v>
      </c>
      <c r="AE29" t="s">
        <v>216</v>
      </c>
    </row>
    <row r="30" spans="2:31" x14ac:dyDescent="0.2">
      <c r="B30">
        <v>2043</v>
      </c>
      <c r="C30">
        <v>20</v>
      </c>
      <c r="D30" t="s">
        <v>159</v>
      </c>
      <c r="E30">
        <v>0</v>
      </c>
      <c r="G30" s="74">
        <f t="shared" si="1"/>
        <v>0</v>
      </c>
      <c r="H30" s="75">
        <v>2230</v>
      </c>
      <c r="I30" s="75">
        <v>8250</v>
      </c>
      <c r="J30" s="75">
        <v>1261</v>
      </c>
      <c r="K30" s="1">
        <f t="shared" si="2"/>
        <v>70316.248208914505</v>
      </c>
      <c r="L30" s="28">
        <f t="shared" si="13"/>
        <v>5067.3449040682526</v>
      </c>
      <c r="M30">
        <f t="shared" si="3"/>
        <v>0</v>
      </c>
      <c r="N30">
        <f t="shared" si="4"/>
        <v>0</v>
      </c>
      <c r="O30">
        <f t="shared" si="5"/>
        <v>0</v>
      </c>
      <c r="P30">
        <f t="shared" si="6"/>
        <v>0</v>
      </c>
      <c r="Q30">
        <f t="shared" si="7"/>
        <v>0</v>
      </c>
      <c r="R30">
        <v>1.04</v>
      </c>
      <c r="S30">
        <f t="shared" si="14"/>
        <v>2.1911231430334208</v>
      </c>
      <c r="T30">
        <f t="shared" si="8"/>
        <v>0.45638694620129217</v>
      </c>
      <c r="U30" s="23">
        <f t="shared" si="9"/>
        <v>0</v>
      </c>
      <c r="V30" s="23">
        <f t="shared" si="10"/>
        <v>0</v>
      </c>
      <c r="W30" s="23">
        <f t="shared" si="11"/>
        <v>0</v>
      </c>
      <c r="Y30">
        <f t="shared" si="12"/>
        <v>0</v>
      </c>
      <c r="AB30">
        <f t="shared" si="0"/>
        <v>0</v>
      </c>
      <c r="AE30" t="s">
        <v>216</v>
      </c>
    </row>
    <row r="31" spans="2:31" x14ac:dyDescent="0.2">
      <c r="B31">
        <v>2044</v>
      </c>
      <c r="C31">
        <v>21</v>
      </c>
      <c r="D31" t="s">
        <v>159</v>
      </c>
      <c r="E31">
        <v>0</v>
      </c>
      <c r="G31" s="74">
        <f t="shared" si="1"/>
        <v>0</v>
      </c>
      <c r="H31" s="75">
        <v>2230</v>
      </c>
      <c r="I31" s="75">
        <v>8603</v>
      </c>
      <c r="J31" s="75">
        <v>1311</v>
      </c>
      <c r="K31" s="1">
        <f t="shared" si="2"/>
        <v>73360.058511862153</v>
      </c>
      <c r="L31" s="28">
        <f t="shared" si="13"/>
        <v>5067.3449040682526</v>
      </c>
      <c r="M31">
        <f t="shared" si="3"/>
        <v>0</v>
      </c>
      <c r="N31">
        <f t="shared" si="4"/>
        <v>0</v>
      </c>
      <c r="O31">
        <f t="shared" si="5"/>
        <v>0</v>
      </c>
      <c r="P31">
        <f t="shared" si="6"/>
        <v>0</v>
      </c>
      <c r="Q31">
        <f t="shared" si="7"/>
        <v>0</v>
      </c>
      <c r="R31">
        <v>1.04</v>
      </c>
      <c r="S31">
        <f t="shared" si="14"/>
        <v>2.2787680687547578</v>
      </c>
      <c r="T31">
        <f t="shared" si="8"/>
        <v>0.43883360211662703</v>
      </c>
      <c r="U31" s="23">
        <f t="shared" si="9"/>
        <v>0</v>
      </c>
      <c r="V31" s="23">
        <f t="shared" si="10"/>
        <v>0</v>
      </c>
      <c r="W31" s="23">
        <f t="shared" si="11"/>
        <v>0</v>
      </c>
      <c r="Y31">
        <f t="shared" si="12"/>
        <v>0</v>
      </c>
      <c r="AB31">
        <f t="shared" si="0"/>
        <v>0</v>
      </c>
      <c r="AE31" t="s">
        <v>216</v>
      </c>
    </row>
    <row r="32" spans="2:31" x14ac:dyDescent="0.2">
      <c r="B32">
        <v>2045</v>
      </c>
      <c r="C32">
        <v>22</v>
      </c>
      <c r="D32" t="s">
        <v>159</v>
      </c>
      <c r="E32">
        <v>0</v>
      </c>
      <c r="G32" s="74">
        <f t="shared" si="1"/>
        <v>0</v>
      </c>
      <c r="H32" s="75">
        <v>2230</v>
      </c>
      <c r="I32" s="75">
        <v>8971</v>
      </c>
      <c r="J32" s="75">
        <v>1364</v>
      </c>
      <c r="K32" s="1">
        <f t="shared" si="2"/>
        <v>76525.435559480989</v>
      </c>
      <c r="L32" s="28">
        <f t="shared" si="13"/>
        <v>5067.3449040682526</v>
      </c>
      <c r="M32">
        <f t="shared" si="3"/>
        <v>0</v>
      </c>
      <c r="N32">
        <f t="shared" si="4"/>
        <v>0</v>
      </c>
      <c r="O32">
        <f t="shared" si="5"/>
        <v>0</v>
      </c>
      <c r="P32">
        <f t="shared" si="6"/>
        <v>0</v>
      </c>
      <c r="Q32">
        <f t="shared" si="7"/>
        <v>0</v>
      </c>
      <c r="R32">
        <v>1.04</v>
      </c>
      <c r="S32">
        <f t="shared" si="14"/>
        <v>2.369918791504948</v>
      </c>
      <c r="T32">
        <f t="shared" si="8"/>
        <v>0.42195538665060295</v>
      </c>
      <c r="U32" s="23">
        <f t="shared" si="9"/>
        <v>0</v>
      </c>
      <c r="V32" s="23">
        <f t="shared" si="10"/>
        <v>0</v>
      </c>
      <c r="W32" s="23">
        <f t="shared" si="11"/>
        <v>0</v>
      </c>
      <c r="Y32">
        <f t="shared" si="12"/>
        <v>0</v>
      </c>
      <c r="AB32">
        <f t="shared" si="0"/>
        <v>0</v>
      </c>
      <c r="AE32" t="s">
        <v>216</v>
      </c>
    </row>
    <row r="33" spans="2:31" x14ac:dyDescent="0.2">
      <c r="B33">
        <v>2046</v>
      </c>
      <c r="C33">
        <v>23</v>
      </c>
      <c r="D33" t="s">
        <v>159</v>
      </c>
      <c r="E33">
        <v>0</v>
      </c>
      <c r="G33" s="74">
        <f t="shared" si="1"/>
        <v>0</v>
      </c>
      <c r="H33" s="75">
        <v>2230</v>
      </c>
      <c r="I33" s="75">
        <v>9355</v>
      </c>
      <c r="J33" s="75">
        <v>1418</v>
      </c>
      <c r="K33" s="1">
        <f t="shared" si="2"/>
        <v>79840.02103793883</v>
      </c>
      <c r="L33" s="28">
        <f t="shared" si="13"/>
        <v>5067.3449040682526</v>
      </c>
      <c r="M33">
        <f t="shared" si="3"/>
        <v>0</v>
      </c>
      <c r="N33">
        <f t="shared" si="4"/>
        <v>0</v>
      </c>
      <c r="O33">
        <f t="shared" si="5"/>
        <v>0</v>
      </c>
      <c r="P33">
        <f t="shared" si="6"/>
        <v>0</v>
      </c>
      <c r="Q33">
        <f t="shared" si="7"/>
        <v>0</v>
      </c>
      <c r="R33">
        <v>1.04</v>
      </c>
      <c r="S33">
        <f t="shared" si="14"/>
        <v>2.4647155431651462</v>
      </c>
      <c r="T33">
        <f t="shared" si="8"/>
        <v>0.40572633331788738</v>
      </c>
      <c r="U33" s="23">
        <f t="shared" si="9"/>
        <v>0</v>
      </c>
      <c r="V33" s="23">
        <f t="shared" si="10"/>
        <v>0</v>
      </c>
      <c r="W33" s="23">
        <f t="shared" si="11"/>
        <v>0</v>
      </c>
      <c r="Y33">
        <f t="shared" si="12"/>
        <v>0</v>
      </c>
      <c r="AB33">
        <f t="shared" si="0"/>
        <v>0</v>
      </c>
      <c r="AE33" t="s">
        <v>216</v>
      </c>
    </row>
    <row r="34" spans="2:31" x14ac:dyDescent="0.2">
      <c r="B34">
        <v>2047</v>
      </c>
      <c r="C34">
        <v>24</v>
      </c>
      <c r="D34" t="s">
        <v>159</v>
      </c>
      <c r="E34">
        <v>0</v>
      </c>
      <c r="G34" s="74">
        <f t="shared" si="1"/>
        <v>0</v>
      </c>
      <c r="H34" s="75">
        <v>2230</v>
      </c>
      <c r="I34" s="75">
        <v>9755</v>
      </c>
      <c r="J34" s="75">
        <v>1475</v>
      </c>
      <c r="K34" s="1">
        <f t="shared" si="2"/>
        <v>83286.053823123788</v>
      </c>
      <c r="L34" s="28">
        <f t="shared" si="13"/>
        <v>5067.3449040682526</v>
      </c>
      <c r="M34">
        <f t="shared" si="3"/>
        <v>0</v>
      </c>
      <c r="N34">
        <f t="shared" si="4"/>
        <v>0</v>
      </c>
      <c r="O34">
        <f t="shared" si="5"/>
        <v>0</v>
      </c>
      <c r="P34">
        <f t="shared" si="6"/>
        <v>0</v>
      </c>
      <c r="Q34">
        <f t="shared" si="7"/>
        <v>0</v>
      </c>
      <c r="R34">
        <v>1.04</v>
      </c>
      <c r="S34">
        <f t="shared" si="14"/>
        <v>2.5633041648917523</v>
      </c>
      <c r="T34">
        <f t="shared" si="8"/>
        <v>0.39012147434412248</v>
      </c>
      <c r="U34" s="23">
        <f t="shared" si="9"/>
        <v>0</v>
      </c>
      <c r="V34" s="23">
        <f t="shared" si="10"/>
        <v>0</v>
      </c>
      <c r="W34" s="23">
        <f t="shared" si="11"/>
        <v>0</v>
      </c>
      <c r="Y34">
        <f t="shared" si="12"/>
        <v>0</v>
      </c>
      <c r="AB34">
        <f t="shared" si="0"/>
        <v>0</v>
      </c>
      <c r="AE34" t="s">
        <v>216</v>
      </c>
    </row>
    <row r="35" spans="2:31" x14ac:dyDescent="0.2">
      <c r="B35">
        <v>2048</v>
      </c>
      <c r="C35">
        <v>25</v>
      </c>
      <c r="D35" t="s">
        <v>159</v>
      </c>
      <c r="E35">
        <v>0</v>
      </c>
      <c r="G35" s="74">
        <f t="shared" si="1"/>
        <v>0</v>
      </c>
      <c r="H35" s="75">
        <v>2230</v>
      </c>
      <c r="I35" s="75">
        <v>10172</v>
      </c>
      <c r="J35" s="75">
        <v>1534</v>
      </c>
      <c r="K35" s="1">
        <f t="shared" si="2"/>
        <v>86882.295039147735</v>
      </c>
      <c r="L35" s="28">
        <f t="shared" si="13"/>
        <v>5067.3449040682526</v>
      </c>
      <c r="M35">
        <f t="shared" si="3"/>
        <v>0</v>
      </c>
      <c r="N35">
        <f t="shared" si="4"/>
        <v>0</v>
      </c>
      <c r="O35">
        <f t="shared" si="5"/>
        <v>0</v>
      </c>
      <c r="P35">
        <f t="shared" si="6"/>
        <v>0</v>
      </c>
      <c r="Q35">
        <f t="shared" si="7"/>
        <v>0</v>
      </c>
      <c r="R35">
        <v>1.04</v>
      </c>
      <c r="S35">
        <f t="shared" si="14"/>
        <v>2.6658363314874225</v>
      </c>
      <c r="T35">
        <f t="shared" si="8"/>
        <v>0.37511680225396388</v>
      </c>
      <c r="U35" s="23">
        <f t="shared" si="9"/>
        <v>0</v>
      </c>
      <c r="V35" s="23">
        <f t="shared" si="10"/>
        <v>0</v>
      </c>
      <c r="W35" s="23">
        <f t="shared" si="11"/>
        <v>0</v>
      </c>
      <c r="Y35">
        <f t="shared" si="12"/>
        <v>0</v>
      </c>
      <c r="AB35">
        <f t="shared" si="0"/>
        <v>0</v>
      </c>
      <c r="AE35" t="s">
        <v>216</v>
      </c>
    </row>
    <row r="36" spans="2:31" x14ac:dyDescent="0.2">
      <c r="B36">
        <v>2049</v>
      </c>
      <c r="C36">
        <v>26</v>
      </c>
      <c r="D36" t="s">
        <v>159</v>
      </c>
      <c r="E36">
        <v>0</v>
      </c>
      <c r="G36" s="74">
        <f t="shared" si="1"/>
        <v>0</v>
      </c>
      <c r="H36" s="75">
        <v>2230</v>
      </c>
      <c r="I36" s="75">
        <v>10607</v>
      </c>
      <c r="J36" s="75">
        <v>1595</v>
      </c>
      <c r="K36" s="1">
        <f t="shared" si="2"/>
        <v>90638.625248066615</v>
      </c>
      <c r="L36" s="28">
        <f t="shared" si="13"/>
        <v>5067.3449040682526</v>
      </c>
      <c r="M36">
        <f t="shared" si="3"/>
        <v>0</v>
      </c>
      <c r="N36">
        <f t="shared" si="4"/>
        <v>0</v>
      </c>
      <c r="O36">
        <f t="shared" si="5"/>
        <v>0</v>
      </c>
      <c r="P36">
        <f t="shared" si="6"/>
        <v>0</v>
      </c>
      <c r="Q36">
        <f t="shared" si="7"/>
        <v>0</v>
      </c>
      <c r="R36">
        <v>1.04</v>
      </c>
      <c r="S36">
        <f t="shared" si="14"/>
        <v>2.7724697847469195</v>
      </c>
      <c r="T36">
        <f t="shared" si="8"/>
        <v>0.36068923293650373</v>
      </c>
      <c r="U36" s="23">
        <f t="shared" si="9"/>
        <v>0</v>
      </c>
      <c r="V36" s="23">
        <f t="shared" si="10"/>
        <v>0</v>
      </c>
      <c r="W36" s="23">
        <f t="shared" si="11"/>
        <v>0</v>
      </c>
      <c r="Y36">
        <f t="shared" si="12"/>
        <v>0</v>
      </c>
      <c r="AB36">
        <f t="shared" si="0"/>
        <v>0</v>
      </c>
      <c r="AE36" t="s">
        <v>216</v>
      </c>
    </row>
    <row r="37" spans="2:31" x14ac:dyDescent="0.2">
      <c r="B37">
        <v>2050</v>
      </c>
      <c r="C37">
        <v>27</v>
      </c>
      <c r="D37" t="s">
        <v>159</v>
      </c>
      <c r="E37">
        <v>0</v>
      </c>
      <c r="G37" s="74">
        <f t="shared" si="1"/>
        <v>0</v>
      </c>
      <c r="H37" s="75">
        <v>2230</v>
      </c>
      <c r="I37" s="76">
        <v>11060</v>
      </c>
      <c r="J37" s="75">
        <v>1659</v>
      </c>
      <c r="K37" s="1">
        <f t="shared" si="2"/>
        <v>94546.163887824485</v>
      </c>
      <c r="L37" s="28">
        <f t="shared" si="13"/>
        <v>5067.3449040682526</v>
      </c>
      <c r="M37">
        <f t="shared" si="3"/>
        <v>0</v>
      </c>
      <c r="N37">
        <f t="shared" si="4"/>
        <v>0</v>
      </c>
      <c r="O37">
        <f t="shared" si="5"/>
        <v>0</v>
      </c>
      <c r="P37">
        <f t="shared" si="6"/>
        <v>0</v>
      </c>
      <c r="Q37">
        <f t="shared" si="7"/>
        <v>0</v>
      </c>
      <c r="R37">
        <v>1.04</v>
      </c>
      <c r="S37">
        <f t="shared" si="14"/>
        <v>2.8833685761367964</v>
      </c>
      <c r="T37">
        <f t="shared" si="8"/>
        <v>0.34681657013125355</v>
      </c>
      <c r="U37" s="23">
        <f t="shared" si="9"/>
        <v>0</v>
      </c>
      <c r="V37" s="23">
        <f t="shared" si="10"/>
        <v>0</v>
      </c>
      <c r="W37" s="23">
        <f t="shared" si="11"/>
        <v>0</v>
      </c>
      <c r="Y37">
        <f t="shared" si="12"/>
        <v>0</v>
      </c>
      <c r="AE37" t="s">
        <v>216</v>
      </c>
    </row>
    <row r="42" spans="2:31" ht="17" thickBot="1" x14ac:dyDescent="0.25">
      <c r="B42" s="39" t="s">
        <v>200</v>
      </c>
      <c r="C42" s="39" t="s">
        <v>12</v>
      </c>
      <c r="D42" s="39" t="s">
        <v>93</v>
      </c>
      <c r="H42" s="23">
        <f>-utkast1!B3</f>
        <v>-14954884502.585569</v>
      </c>
    </row>
    <row r="43" spans="2:31" x14ac:dyDescent="0.2">
      <c r="B43" t="s">
        <v>125</v>
      </c>
      <c r="C43" s="23">
        <f>SUM(U10:U37)</f>
        <v>7852936901.0619326</v>
      </c>
      <c r="D43" s="25">
        <f>C3+C43</f>
        <v>77591430372.267227</v>
      </c>
      <c r="H43" s="25">
        <f>H42+NPV(0.07,M11:M37)</f>
        <v>-8934498552.5372047</v>
      </c>
    </row>
    <row r="44" spans="2:31" x14ac:dyDescent="0.2">
      <c r="B44" t="s">
        <v>88</v>
      </c>
      <c r="C44" s="23">
        <f>SUM(V10:V37)</f>
        <v>13168178461.192135</v>
      </c>
      <c r="D44" s="25">
        <f>C3+C44</f>
        <v>82906671932.39743</v>
      </c>
    </row>
    <row r="45" spans="2:31" x14ac:dyDescent="0.2">
      <c r="B45" t="s">
        <v>87</v>
      </c>
      <c r="C45" s="23">
        <f>SUM(W10:W37)</f>
        <v>2934278856.4018412</v>
      </c>
      <c r="D45" s="25">
        <f>C3+C45</f>
        <v>72672772327.607132</v>
      </c>
      <c r="H45" t="s">
        <v>216</v>
      </c>
    </row>
    <row r="46" spans="2:31" x14ac:dyDescent="0.2">
      <c r="B46" t="s">
        <v>215</v>
      </c>
      <c r="C46" s="23">
        <f>SUM(Y10:Y37)</f>
        <v>17844636676.038437</v>
      </c>
      <c r="D46" s="66">
        <f>C3+NPV(0.04,Q11:Q37)</f>
        <v>87583130147.243729</v>
      </c>
    </row>
    <row r="47" spans="2:31" x14ac:dyDescent="0.2">
      <c r="H47" s="25">
        <f>D43/C43</f>
        <v>9.880562055932824</v>
      </c>
    </row>
    <row r="48" spans="2:31" x14ac:dyDescent="0.2">
      <c r="B48" t="s">
        <v>217</v>
      </c>
      <c r="H48" s="7">
        <f>NPV(0.07,P11:P37)</f>
        <v>79102769245.542831</v>
      </c>
    </row>
    <row r="49" spans="2:10" x14ac:dyDescent="0.2">
      <c r="H49" s="7"/>
    </row>
    <row r="53" spans="2:10" x14ac:dyDescent="0.2">
      <c r="B53" t="s">
        <v>216</v>
      </c>
      <c r="C53" s="27">
        <f>(-D45)/(D44-D45)</f>
        <v>-7.1011808923345656</v>
      </c>
    </row>
    <row r="54" spans="2:10" x14ac:dyDescent="0.2">
      <c r="C54" s="25">
        <f>-C3/D43</f>
        <v>-0.89879118269394942</v>
      </c>
      <c r="H54" s="7">
        <f>utkast1!B43+utkast1!B45+utkast1!B64</f>
        <v>-60301404358.412201</v>
      </c>
    </row>
    <row r="55" spans="2:10" x14ac:dyDescent="0.2">
      <c r="H55" s="7">
        <f>-H54</f>
        <v>60301404358.412201</v>
      </c>
    </row>
    <row r="57" spans="2:10" x14ac:dyDescent="0.2">
      <c r="C57" s="25">
        <f>C3+NPV(0.04,M11:M37)</f>
        <v>77591430372.267227</v>
      </c>
      <c r="H57">
        <f>SUM(kladd5!J15:J28)</f>
        <v>11900000</v>
      </c>
    </row>
    <row r="58" spans="2:10" x14ac:dyDescent="0.2">
      <c r="H58" s="7">
        <f>H55/H57</f>
        <v>5067.3449040682526</v>
      </c>
      <c r="J58" s="7">
        <f>NPV(0.07,Q11:Q37)</f>
        <v>13680435903.363983</v>
      </c>
    </row>
    <row r="60" spans="2:10" ht="17" thickBot="1" x14ac:dyDescent="0.25">
      <c r="B60" t="s">
        <v>218</v>
      </c>
      <c r="C60" s="39" t="s">
        <v>12</v>
      </c>
      <c r="D60" s="39" t="s">
        <v>93</v>
      </c>
      <c r="H60" s="25">
        <f>-H42/H57</f>
        <v>1256.7129834105519</v>
      </c>
    </row>
    <row r="61" spans="2:10" x14ac:dyDescent="0.2">
      <c r="B61" t="s">
        <v>125</v>
      </c>
      <c r="H61" s="7"/>
    </row>
    <row r="62" spans="2:10" x14ac:dyDescent="0.2">
      <c r="B62" t="s">
        <v>88</v>
      </c>
    </row>
    <row r="63" spans="2:10" x14ac:dyDescent="0.2">
      <c r="B63" t="s">
        <v>87</v>
      </c>
    </row>
    <row r="66" spans="2:4" x14ac:dyDescent="0.2">
      <c r="C66">
        <f>D43/C43</f>
        <v>9.880562055932824</v>
      </c>
      <c r="D66" s="7">
        <f>NPV(0.07,M11:M37)</f>
        <v>6020385950.0483656</v>
      </c>
    </row>
    <row r="67" spans="2:4" x14ac:dyDescent="0.2">
      <c r="B67" t="s">
        <v>230</v>
      </c>
      <c r="C67">
        <f>utkast1!B46</f>
        <v>96188439969.242645</v>
      </c>
    </row>
    <row r="68" spans="2:4" x14ac:dyDescent="0.2">
      <c r="B68" t="s">
        <v>229</v>
      </c>
      <c r="C68" s="25">
        <f>C67/C43</f>
        <v>12.248721870697233</v>
      </c>
      <c r="D68" s="7">
        <f>C67/D66</f>
        <v>15.977121860180725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0DB9-7FD5-1647-9ED5-9BB17DEADBDF}">
  <sheetPr codeName="Ark3"/>
  <dimension ref="A1:AC27"/>
  <sheetViews>
    <sheetView topLeftCell="C1" workbookViewId="0">
      <selection activeCell="B18" sqref="B18"/>
    </sheetView>
  </sheetViews>
  <sheetFormatPr baseColWidth="10" defaultRowHeight="16" x14ac:dyDescent="0.2"/>
  <cols>
    <col min="1" max="1" width="22.83203125" customWidth="1"/>
    <col min="2" max="2" width="20.83203125" customWidth="1"/>
    <col min="9" max="10" width="11.1640625" bestFit="1" customWidth="1"/>
  </cols>
  <sheetData>
    <row r="1" spans="1:10" x14ac:dyDescent="0.2">
      <c r="A1" t="s">
        <v>47</v>
      </c>
    </row>
    <row r="2" spans="1:10" x14ac:dyDescent="0.2">
      <c r="I2" t="s">
        <v>64</v>
      </c>
      <c r="J2">
        <v>1</v>
      </c>
    </row>
    <row r="4" spans="1:10" x14ac:dyDescent="0.2">
      <c r="A4" t="s">
        <v>48</v>
      </c>
      <c r="B4" s="5">
        <v>-8.4199999999999997E-2</v>
      </c>
    </row>
    <row r="5" spans="1:10" x14ac:dyDescent="0.2">
      <c r="A5" t="s">
        <v>49</v>
      </c>
      <c r="B5" s="5">
        <v>0.20910000000000001</v>
      </c>
    </row>
    <row r="6" spans="1:10" x14ac:dyDescent="0.2">
      <c r="A6" t="s">
        <v>50</v>
      </c>
      <c r="B6" s="5">
        <v>0.223</v>
      </c>
    </row>
    <row r="7" spans="1:10" x14ac:dyDescent="0.2">
      <c r="A7" t="s">
        <v>51</v>
      </c>
      <c r="B7" s="5">
        <f>B6+1</f>
        <v>1.2230000000000001</v>
      </c>
    </row>
    <row r="8" spans="1:10" x14ac:dyDescent="0.2">
      <c r="A8" t="s">
        <v>65</v>
      </c>
      <c r="B8" s="4">
        <v>0.04</v>
      </c>
    </row>
    <row r="10" spans="1:10" ht="18" x14ac:dyDescent="0.2">
      <c r="B10" s="6"/>
    </row>
    <row r="12" spans="1:10" x14ac:dyDescent="0.2">
      <c r="A12" t="s">
        <v>55</v>
      </c>
    </row>
    <row r="13" spans="1:10" x14ac:dyDescent="0.2">
      <c r="A13" t="s">
        <v>54</v>
      </c>
      <c r="B13">
        <v>18498</v>
      </c>
      <c r="C13" t="s">
        <v>57</v>
      </c>
      <c r="D13">
        <f>B13*1000</f>
        <v>18498000</v>
      </c>
      <c r="E13" t="s">
        <v>52</v>
      </c>
    </row>
    <row r="14" spans="1:10" x14ac:dyDescent="0.2">
      <c r="A14" t="s">
        <v>56</v>
      </c>
      <c r="B14">
        <v>250</v>
      </c>
      <c r="C14" t="s">
        <v>53</v>
      </c>
    </row>
    <row r="17" spans="1:29" x14ac:dyDescent="0.2">
      <c r="A17" t="s">
        <v>58</v>
      </c>
    </row>
    <row r="18" spans="1:29" x14ac:dyDescent="0.2">
      <c r="A18" t="s">
        <v>59</v>
      </c>
      <c r="B18">
        <f>B14*B7</f>
        <v>305.75</v>
      </c>
    </row>
    <row r="19" spans="1:29" x14ac:dyDescent="0.2">
      <c r="A19" t="s">
        <v>60</v>
      </c>
      <c r="B19" s="8">
        <f>B18-B14</f>
        <v>55.75</v>
      </c>
    </row>
    <row r="20" spans="1:29" x14ac:dyDescent="0.2">
      <c r="A20" t="s">
        <v>26</v>
      </c>
      <c r="B20">
        <f>D13</f>
        <v>18498000</v>
      </c>
    </row>
    <row r="21" spans="1:29" x14ac:dyDescent="0.2">
      <c r="A21" t="s">
        <v>61</v>
      </c>
      <c r="B21" s="8">
        <f>B20*B19</f>
        <v>1031263500</v>
      </c>
    </row>
    <row r="23" spans="1:29" x14ac:dyDescent="0.2">
      <c r="A23" t="s">
        <v>19</v>
      </c>
      <c r="B23">
        <v>2023</v>
      </c>
      <c r="C23">
        <f>B23+$J$2</f>
        <v>2024</v>
      </c>
      <c r="D23">
        <f t="shared" ref="D23:S23" si="0">C23+$J$2</f>
        <v>2025</v>
      </c>
      <c r="E23">
        <f t="shared" si="0"/>
        <v>2026</v>
      </c>
      <c r="F23">
        <f t="shared" si="0"/>
        <v>2027</v>
      </c>
      <c r="G23">
        <f t="shared" si="0"/>
        <v>2028</v>
      </c>
      <c r="H23">
        <f t="shared" si="0"/>
        <v>2029</v>
      </c>
      <c r="I23">
        <f t="shared" si="0"/>
        <v>2030</v>
      </c>
      <c r="J23">
        <f t="shared" si="0"/>
        <v>2031</v>
      </c>
      <c r="K23">
        <f t="shared" si="0"/>
        <v>2032</v>
      </c>
      <c r="L23">
        <f t="shared" si="0"/>
        <v>2033</v>
      </c>
      <c r="M23">
        <f>L23+$J$2</f>
        <v>2034</v>
      </c>
      <c r="N23">
        <f t="shared" si="0"/>
        <v>2035</v>
      </c>
      <c r="O23">
        <f t="shared" si="0"/>
        <v>2036</v>
      </c>
      <c r="P23">
        <f t="shared" si="0"/>
        <v>2037</v>
      </c>
      <c r="Q23">
        <f t="shared" si="0"/>
        <v>2038</v>
      </c>
      <c r="R23">
        <f t="shared" si="0"/>
        <v>2039</v>
      </c>
      <c r="S23">
        <f t="shared" si="0"/>
        <v>2040</v>
      </c>
      <c r="T23">
        <f>S23+$J$2</f>
        <v>2041</v>
      </c>
      <c r="U23">
        <f t="shared" ref="U23:AC23" si="1">T23+$J$2</f>
        <v>2042</v>
      </c>
      <c r="V23">
        <f t="shared" si="1"/>
        <v>2043</v>
      </c>
      <c r="W23">
        <f t="shared" si="1"/>
        <v>2044</v>
      </c>
      <c r="X23">
        <f t="shared" si="1"/>
        <v>2045</v>
      </c>
      <c r="Y23">
        <f t="shared" si="1"/>
        <v>2046</v>
      </c>
      <c r="Z23">
        <f t="shared" si="1"/>
        <v>2047</v>
      </c>
      <c r="AA23">
        <f t="shared" si="1"/>
        <v>2048</v>
      </c>
      <c r="AB23">
        <f t="shared" si="1"/>
        <v>2049</v>
      </c>
      <c r="AC23">
        <f t="shared" si="1"/>
        <v>2050</v>
      </c>
    </row>
    <row r="24" spans="1:29" x14ac:dyDescent="0.2">
      <c r="A24" t="s">
        <v>62</v>
      </c>
      <c r="B24">
        <v>0</v>
      </c>
      <c r="C24">
        <f>B24+$J$2</f>
        <v>1</v>
      </c>
      <c r="D24">
        <f t="shared" ref="D24:AC24" si="2">C24+$J$2</f>
        <v>2</v>
      </c>
      <c r="E24">
        <f t="shared" si="2"/>
        <v>3</v>
      </c>
      <c r="F24">
        <f t="shared" si="2"/>
        <v>4</v>
      </c>
      <c r="G24">
        <f t="shared" si="2"/>
        <v>5</v>
      </c>
      <c r="H24">
        <f t="shared" si="2"/>
        <v>6</v>
      </c>
      <c r="I24">
        <f t="shared" si="2"/>
        <v>7</v>
      </c>
      <c r="J24">
        <f t="shared" si="2"/>
        <v>8</v>
      </c>
      <c r="K24">
        <f t="shared" si="2"/>
        <v>9</v>
      </c>
      <c r="L24">
        <f t="shared" si="2"/>
        <v>10</v>
      </c>
      <c r="M24">
        <f t="shared" si="2"/>
        <v>11</v>
      </c>
      <c r="N24">
        <f t="shared" si="2"/>
        <v>12</v>
      </c>
      <c r="O24">
        <f t="shared" si="2"/>
        <v>13</v>
      </c>
      <c r="P24">
        <f t="shared" si="2"/>
        <v>14</v>
      </c>
      <c r="Q24">
        <f t="shared" si="2"/>
        <v>15</v>
      </c>
      <c r="R24">
        <f t="shared" si="2"/>
        <v>16</v>
      </c>
      <c r="S24">
        <f t="shared" si="2"/>
        <v>17</v>
      </c>
      <c r="T24">
        <f t="shared" si="2"/>
        <v>18</v>
      </c>
      <c r="U24">
        <f t="shared" si="2"/>
        <v>19</v>
      </c>
      <c r="V24">
        <f t="shared" si="2"/>
        <v>20</v>
      </c>
      <c r="W24">
        <f t="shared" si="2"/>
        <v>21</v>
      </c>
      <c r="X24">
        <f t="shared" si="2"/>
        <v>22</v>
      </c>
      <c r="Y24">
        <f t="shared" si="2"/>
        <v>23</v>
      </c>
      <c r="Z24">
        <f t="shared" si="2"/>
        <v>24</v>
      </c>
      <c r="AA24">
        <f t="shared" si="2"/>
        <v>25</v>
      </c>
      <c r="AB24">
        <f t="shared" si="2"/>
        <v>26</v>
      </c>
      <c r="AC24">
        <f t="shared" si="2"/>
        <v>27</v>
      </c>
    </row>
    <row r="25" spans="1:29" x14ac:dyDescent="0.2">
      <c r="A25" t="s">
        <v>63</v>
      </c>
      <c r="I25">
        <f>B21</f>
        <v>1031263500</v>
      </c>
      <c r="J25">
        <f>I25</f>
        <v>1031263500</v>
      </c>
      <c r="K25">
        <f t="shared" ref="K25:N25" si="3">J25</f>
        <v>1031263500</v>
      </c>
      <c r="L25">
        <f t="shared" si="3"/>
        <v>1031263500</v>
      </c>
      <c r="M25">
        <f t="shared" si="3"/>
        <v>1031263500</v>
      </c>
      <c r="N25">
        <f t="shared" si="3"/>
        <v>1031263500</v>
      </c>
    </row>
    <row r="27" spans="1:29" x14ac:dyDescent="0.2">
      <c r="A27" t="s">
        <v>12</v>
      </c>
      <c r="B27" s="7">
        <f>NPV(B8,B25:AC25)</f>
        <v>5406024402.3672409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BC345-FBE1-B94D-9C07-EDDE32976934}">
  <sheetPr codeName="Ark4"/>
  <dimension ref="A1:AC42"/>
  <sheetViews>
    <sheetView zoomScale="107" workbookViewId="0">
      <selection activeCell="F35" sqref="F35"/>
    </sheetView>
  </sheetViews>
  <sheetFormatPr baseColWidth="10" defaultRowHeight="16" x14ac:dyDescent="0.2"/>
  <cols>
    <col min="1" max="1" width="17.83203125" customWidth="1"/>
    <col min="2" max="2" width="22.33203125" customWidth="1"/>
    <col min="3" max="3" width="12.33203125" customWidth="1"/>
    <col min="4" max="7" width="11" bestFit="1" customWidth="1"/>
    <col min="8" max="8" width="13.5" customWidth="1"/>
    <col min="9" max="9" width="21.6640625" customWidth="1"/>
    <col min="10" max="10" width="23.83203125" customWidth="1"/>
    <col min="11" max="11" width="21" customWidth="1"/>
    <col min="12" max="12" width="21.83203125" customWidth="1"/>
    <col min="13" max="14" width="18.33203125" bestFit="1" customWidth="1"/>
    <col min="15" max="20" width="11" bestFit="1" customWidth="1"/>
  </cols>
  <sheetData>
    <row r="1" spans="1:29" x14ac:dyDescent="0.2">
      <c r="A1" t="s">
        <v>73</v>
      </c>
    </row>
    <row r="3" spans="1:29" x14ac:dyDescent="0.2">
      <c r="A3" t="s">
        <v>74</v>
      </c>
      <c r="B3" s="2">
        <v>850000</v>
      </c>
    </row>
    <row r="4" spans="1:29" x14ac:dyDescent="0.2">
      <c r="A4" t="s">
        <v>76</v>
      </c>
      <c r="B4">
        <v>27</v>
      </c>
    </row>
    <row r="5" spans="1:29" x14ac:dyDescent="0.2">
      <c r="A5" t="s">
        <v>77</v>
      </c>
      <c r="B5">
        <v>2023</v>
      </c>
    </row>
    <row r="6" spans="1:29" x14ac:dyDescent="0.2">
      <c r="A6" t="s">
        <v>78</v>
      </c>
      <c r="B6">
        <v>2030</v>
      </c>
    </row>
    <row r="7" spans="1:29" x14ac:dyDescent="0.2">
      <c r="A7" t="s">
        <v>79</v>
      </c>
      <c r="B7">
        <v>2035</v>
      </c>
    </row>
    <row r="8" spans="1:29" x14ac:dyDescent="0.2">
      <c r="A8" t="s">
        <v>80</v>
      </c>
      <c r="B8">
        <v>2050</v>
      </c>
    </row>
    <row r="10" spans="1:29" x14ac:dyDescent="0.2">
      <c r="A10" t="s">
        <v>81</v>
      </c>
      <c r="B10">
        <f>0.04</f>
        <v>0.04</v>
      </c>
    </row>
    <row r="11" spans="1:29" x14ac:dyDescent="0.2">
      <c r="A11" t="s">
        <v>82</v>
      </c>
      <c r="B11">
        <v>1.04</v>
      </c>
    </row>
    <row r="12" spans="1:29" x14ac:dyDescent="0.2">
      <c r="A12" t="s">
        <v>64</v>
      </c>
      <c r="B12">
        <v>1</v>
      </c>
    </row>
    <row r="14" spans="1:29" x14ac:dyDescent="0.2">
      <c r="A14" t="s">
        <v>19</v>
      </c>
      <c r="B14">
        <v>2023</v>
      </c>
      <c r="C14">
        <f>B14+$B$12</f>
        <v>2024</v>
      </c>
      <c r="D14">
        <f t="shared" ref="D14:AC14" si="0">C14+$B$12</f>
        <v>2025</v>
      </c>
      <c r="E14">
        <f t="shared" si="0"/>
        <v>2026</v>
      </c>
      <c r="F14">
        <f t="shared" si="0"/>
        <v>2027</v>
      </c>
      <c r="G14">
        <f t="shared" si="0"/>
        <v>2028</v>
      </c>
      <c r="H14">
        <f t="shared" si="0"/>
        <v>2029</v>
      </c>
      <c r="I14">
        <f t="shared" si="0"/>
        <v>2030</v>
      </c>
      <c r="J14">
        <f t="shared" si="0"/>
        <v>2031</v>
      </c>
      <c r="K14">
        <f t="shared" si="0"/>
        <v>2032</v>
      </c>
      <c r="L14">
        <f t="shared" si="0"/>
        <v>2033</v>
      </c>
      <c r="M14">
        <f t="shared" si="0"/>
        <v>2034</v>
      </c>
      <c r="N14">
        <f t="shared" si="0"/>
        <v>2035</v>
      </c>
      <c r="O14">
        <f t="shared" si="0"/>
        <v>2036</v>
      </c>
      <c r="P14">
        <f t="shared" si="0"/>
        <v>2037</v>
      </c>
      <c r="Q14">
        <f t="shared" si="0"/>
        <v>2038</v>
      </c>
      <c r="R14">
        <f t="shared" si="0"/>
        <v>2039</v>
      </c>
      <c r="S14">
        <f t="shared" si="0"/>
        <v>2040</v>
      </c>
      <c r="T14">
        <f t="shared" si="0"/>
        <v>2041</v>
      </c>
      <c r="U14">
        <f t="shared" si="0"/>
        <v>2042</v>
      </c>
      <c r="V14">
        <f t="shared" si="0"/>
        <v>2043</v>
      </c>
      <c r="W14">
        <f t="shared" si="0"/>
        <v>2044</v>
      </c>
      <c r="X14">
        <f t="shared" si="0"/>
        <v>2045</v>
      </c>
      <c r="Y14">
        <f t="shared" si="0"/>
        <v>2046</v>
      </c>
      <c r="Z14">
        <f t="shared" si="0"/>
        <v>2047</v>
      </c>
      <c r="AA14">
        <f t="shared" si="0"/>
        <v>2048</v>
      </c>
      <c r="AB14">
        <f t="shared" si="0"/>
        <v>2049</v>
      </c>
      <c r="AC14">
        <f t="shared" si="0"/>
        <v>2050</v>
      </c>
    </row>
    <row r="15" spans="1:29" x14ac:dyDescent="0.2">
      <c r="A15" t="s">
        <v>37</v>
      </c>
      <c r="B15">
        <v>0</v>
      </c>
      <c r="C15">
        <f>B15+$B$12</f>
        <v>1</v>
      </c>
      <c r="D15">
        <f t="shared" ref="D15:AC15" si="1">C15+$B$12</f>
        <v>2</v>
      </c>
      <c r="E15">
        <f t="shared" si="1"/>
        <v>3</v>
      </c>
      <c r="F15">
        <f t="shared" si="1"/>
        <v>4</v>
      </c>
      <c r="G15">
        <f t="shared" si="1"/>
        <v>5</v>
      </c>
      <c r="H15">
        <f t="shared" si="1"/>
        <v>6</v>
      </c>
      <c r="I15">
        <f t="shared" si="1"/>
        <v>7</v>
      </c>
      <c r="J15">
        <f t="shared" si="1"/>
        <v>8</v>
      </c>
      <c r="K15">
        <f t="shared" si="1"/>
        <v>9</v>
      </c>
      <c r="L15">
        <f t="shared" si="1"/>
        <v>10</v>
      </c>
      <c r="M15">
        <f t="shared" si="1"/>
        <v>11</v>
      </c>
      <c r="N15">
        <f t="shared" si="1"/>
        <v>12</v>
      </c>
      <c r="O15">
        <f t="shared" si="1"/>
        <v>13</v>
      </c>
      <c r="P15">
        <f t="shared" si="1"/>
        <v>14</v>
      </c>
      <c r="Q15">
        <f t="shared" si="1"/>
        <v>15</v>
      </c>
      <c r="R15">
        <f t="shared" si="1"/>
        <v>16</v>
      </c>
      <c r="S15">
        <f t="shared" si="1"/>
        <v>17</v>
      </c>
      <c r="T15">
        <f t="shared" si="1"/>
        <v>18</v>
      </c>
      <c r="U15">
        <f t="shared" si="1"/>
        <v>19</v>
      </c>
      <c r="V15">
        <f t="shared" si="1"/>
        <v>20</v>
      </c>
      <c r="W15">
        <f t="shared" si="1"/>
        <v>21</v>
      </c>
      <c r="X15">
        <f t="shared" si="1"/>
        <v>22</v>
      </c>
      <c r="Y15">
        <f t="shared" si="1"/>
        <v>23</v>
      </c>
      <c r="Z15">
        <f t="shared" si="1"/>
        <v>24</v>
      </c>
      <c r="AA15">
        <f t="shared" si="1"/>
        <v>25</v>
      </c>
      <c r="AB15">
        <f t="shared" si="1"/>
        <v>26</v>
      </c>
      <c r="AC15">
        <f t="shared" si="1"/>
        <v>27</v>
      </c>
    </row>
    <row r="16" spans="1:29" x14ac:dyDescent="0.2">
      <c r="A16" t="s">
        <v>74</v>
      </c>
      <c r="I16" s="3">
        <f>B3</f>
        <v>850000</v>
      </c>
      <c r="J16" s="3">
        <f>I16</f>
        <v>850000</v>
      </c>
      <c r="K16" s="3">
        <f t="shared" ref="K16:N16" si="2">J16</f>
        <v>850000</v>
      </c>
      <c r="L16" s="3">
        <f t="shared" si="2"/>
        <v>850000</v>
      </c>
      <c r="M16" s="3">
        <f t="shared" si="2"/>
        <v>850000</v>
      </c>
      <c r="N16" s="3">
        <f t="shared" si="2"/>
        <v>850000</v>
      </c>
    </row>
    <row r="17" spans="1:29" x14ac:dyDescent="0.2">
      <c r="A17" t="s">
        <v>83</v>
      </c>
      <c r="B17" s="1">
        <f>VLOOKUP(B14,'Prisbane 2023'!$A$2:$D$29,2,FALSE)</f>
        <v>1559</v>
      </c>
      <c r="C17" s="1">
        <f>VLOOKUP(C14,'Prisbane 2023'!$A$2:$D$29,2,FALSE)</f>
        <v>1724</v>
      </c>
      <c r="D17" s="1">
        <f>VLOOKUP(D14,'Prisbane 2023'!$A$2:$D$29,2,FALSE)</f>
        <v>1907</v>
      </c>
      <c r="E17" s="1">
        <f>VLOOKUP(E14,'Prisbane 2023'!$A$2:$D$29,2,FALSE)</f>
        <v>2121</v>
      </c>
      <c r="F17" s="1">
        <f>VLOOKUP(F14,'Prisbane 2023'!$A$2:$D$29,2,FALSE)</f>
        <v>2230</v>
      </c>
      <c r="G17" s="1">
        <f>VLOOKUP(G14,'Prisbane 2023'!$A$2:$D$29,2,FALSE)</f>
        <v>2230</v>
      </c>
      <c r="H17" s="1">
        <f>VLOOKUP(H14,'Prisbane 2023'!$A$2:$D$29,2,FALSE)</f>
        <v>2230</v>
      </c>
      <c r="I17" s="1">
        <f>VLOOKUP(I14,'Prisbane 2023'!$A$2:$D$29,2,FALSE)</f>
        <v>2230</v>
      </c>
      <c r="J17" s="1">
        <f>VLOOKUP(J14,'Prisbane 2023'!$A$2:$D$29,2,FALSE)</f>
        <v>2230</v>
      </c>
      <c r="K17" s="1">
        <f>VLOOKUP(K14,'Prisbane 2023'!$A$2:$D$29,2,FALSE)</f>
        <v>2230</v>
      </c>
      <c r="L17" s="1">
        <f>VLOOKUP(L14,'Prisbane 2023'!$A$2:$D$29,2,FALSE)</f>
        <v>2230</v>
      </c>
      <c r="M17" s="1">
        <f>VLOOKUP(M14,'Prisbane 2023'!$A$2:$D$29,2,FALSE)</f>
        <v>2230</v>
      </c>
      <c r="N17" s="1">
        <f>VLOOKUP(N14,'Prisbane 2023'!$A$2:$D$29,2,FALSE)</f>
        <v>2230</v>
      </c>
      <c r="O17" s="1">
        <f>VLOOKUP(O14,'Prisbane 2023'!$A$2:$D$29,2,FALSE)</f>
        <v>2230</v>
      </c>
      <c r="P17" s="1">
        <f>VLOOKUP(P14,'Prisbane 2023'!$A$2:$D$29,2,FALSE)</f>
        <v>2230</v>
      </c>
      <c r="Q17" s="1">
        <f>VLOOKUP(Q14,'Prisbane 2023'!$A$2:$D$29,2,FALSE)</f>
        <v>2230</v>
      </c>
      <c r="R17" s="1">
        <f>VLOOKUP(R14,'Prisbane 2023'!$A$2:$D$29,2,FALSE)</f>
        <v>2230</v>
      </c>
      <c r="S17" s="1">
        <f>VLOOKUP(S14,'Prisbane 2023'!$A$2:$D$29,2,FALSE)</f>
        <v>2230</v>
      </c>
      <c r="T17" s="1">
        <f>VLOOKUP(T14,'Prisbane 2023'!$A$2:$D$29,2,FALSE)</f>
        <v>2230</v>
      </c>
      <c r="U17" s="1">
        <f>VLOOKUP(U14,'Prisbane 2023'!$A$2:$D$29,2,FALSE)</f>
        <v>2230</v>
      </c>
      <c r="V17" s="1">
        <f>VLOOKUP(V14,'Prisbane 2023'!$A$2:$D$29,2,FALSE)</f>
        <v>2230</v>
      </c>
      <c r="W17" s="1">
        <f>VLOOKUP(W14,'Prisbane 2023'!$A$2:$D$29,2,FALSE)</f>
        <v>2230</v>
      </c>
      <c r="X17" s="1">
        <f>VLOOKUP(X14,'Prisbane 2023'!$A$2:$D$29,2,FALSE)</f>
        <v>2230</v>
      </c>
      <c r="Y17" s="1">
        <f>VLOOKUP(Y14,'Prisbane 2023'!$A$2:$D$29,2,FALSE)</f>
        <v>2230</v>
      </c>
      <c r="Z17" s="1">
        <f>VLOOKUP(Z14,'Prisbane 2023'!$A$2:$D$29,2,FALSE)</f>
        <v>2230</v>
      </c>
      <c r="AA17" s="1">
        <f>VLOOKUP(AA14,'Prisbane 2023'!$A$2:$D$29,2,FALSE)</f>
        <v>2230</v>
      </c>
      <c r="AB17" s="1">
        <f>VLOOKUP(AB14,'Prisbane 2023'!$A$2:$D$29,2,FALSE)</f>
        <v>2230</v>
      </c>
      <c r="AC17" s="1">
        <f>VLOOKUP(AC14,'Prisbane 2023'!$A$2:$D$29,2,FALSE)</f>
        <v>2230</v>
      </c>
    </row>
    <row r="18" spans="1:29" x14ac:dyDescent="0.2">
      <c r="A18" t="s">
        <v>85</v>
      </c>
      <c r="B18">
        <f>VLOOKUP(B14,'Prisbane 2023'!$A$2:$D$29,3,FALSE)</f>
        <v>598</v>
      </c>
      <c r="C18">
        <f>VLOOKUP(C14,'Prisbane 2023'!$A$2:$D$29,3,FALSE)</f>
        <v>627</v>
      </c>
      <c r="D18">
        <f>VLOOKUP(D14,'Prisbane 2023'!$A$2:$D$29,3,FALSE)</f>
        <v>654</v>
      </c>
      <c r="E18">
        <f>VLOOKUP(E14,'Prisbane 2023'!$A$2:$D$29,3,FALSE)</f>
        <v>686</v>
      </c>
      <c r="F18">
        <f>VLOOKUP(F14,'Prisbane 2023'!$A$2:$D$29,3,FALSE)</f>
        <v>703</v>
      </c>
      <c r="G18">
        <f>VLOOKUP(G14,'Prisbane 2023'!$A$2:$D$29,3,FALSE)</f>
        <v>721</v>
      </c>
      <c r="H18">
        <f>VLOOKUP(H14,'Prisbane 2023'!$A$2:$D$29,3,FALSE)</f>
        <v>739</v>
      </c>
      <c r="I18">
        <f>VLOOKUP(I14,'Prisbane 2023'!$A$2:$D$29,3,FALSE)</f>
        <v>757</v>
      </c>
      <c r="J18">
        <f>VLOOKUP(J14,'Prisbane 2023'!$A$2:$D$29,3,FALSE)</f>
        <v>787</v>
      </c>
      <c r="K18">
        <f>VLOOKUP(K14,'Prisbane 2023'!$A$2:$D$29,3,FALSE)</f>
        <v>819</v>
      </c>
      <c r="L18">
        <f>VLOOKUP(L14,'Prisbane 2023'!$A$2:$D$29,3,FALSE)</f>
        <v>852</v>
      </c>
      <c r="M18">
        <f>VLOOKUP(M14,'Prisbane 2023'!$A$2:$D$29,3,FALSE)</f>
        <v>886</v>
      </c>
      <c r="N18">
        <f>VLOOKUP(N14,'Prisbane 2023'!$A$2:$D$29,3,FALSE)</f>
        <v>921</v>
      </c>
      <c r="O18">
        <f>VLOOKUP(O14,'Prisbane 2023'!$A$2:$D$29,3,FALSE)</f>
        <v>958</v>
      </c>
      <c r="P18">
        <f>VLOOKUP(P14,'Prisbane 2023'!$A$2:$D$29,3,FALSE)</f>
        <v>996</v>
      </c>
      <c r="Q18">
        <f>VLOOKUP(Q14,'Prisbane 2023'!$A$2:$D$29,3,FALSE)</f>
        <v>1036</v>
      </c>
      <c r="R18">
        <f>VLOOKUP(R14,'Prisbane 2023'!$A$2:$D$29,3,FALSE)</f>
        <v>1078</v>
      </c>
      <c r="S18">
        <f>VLOOKUP(S14,'Prisbane 2023'!$A$2:$D$29,3,FALSE)</f>
        <v>1121</v>
      </c>
      <c r="T18">
        <f>VLOOKUP(T14,'Prisbane 2023'!$A$2:$D$29,3,FALSE)</f>
        <v>1166</v>
      </c>
      <c r="U18">
        <f>VLOOKUP(U14,'Prisbane 2023'!$A$2:$D$29,3,FALSE)</f>
        <v>1212</v>
      </c>
      <c r="V18">
        <f>VLOOKUP(V14,'Prisbane 2023'!$A$2:$D$29,3,FALSE)</f>
        <v>1261</v>
      </c>
      <c r="W18">
        <f>VLOOKUP(W14,'Prisbane 2023'!$A$2:$D$29,3,FALSE)</f>
        <v>1311</v>
      </c>
      <c r="X18">
        <f>VLOOKUP(X14,'Prisbane 2023'!$A$2:$D$29,3,FALSE)</f>
        <v>1364</v>
      </c>
      <c r="Y18">
        <f>VLOOKUP(Y14,'Prisbane 2023'!$A$2:$D$29,3,FALSE)</f>
        <v>1418</v>
      </c>
      <c r="Z18">
        <f>VLOOKUP(Z14,'Prisbane 2023'!$A$2:$D$29,3,FALSE)</f>
        <v>1475</v>
      </c>
      <c r="AA18">
        <f>VLOOKUP(AA14,'Prisbane 2023'!$A$2:$D$29,3,FALSE)</f>
        <v>1534</v>
      </c>
      <c r="AB18">
        <f>VLOOKUP(AB14,'Prisbane 2023'!$A$2:$D$29,3,FALSE)</f>
        <v>1595</v>
      </c>
      <c r="AC18">
        <f>VLOOKUP(AC14,'Prisbane 2023'!$A$2:$D$29,3,FALSE)</f>
        <v>1659</v>
      </c>
    </row>
    <row r="19" spans="1:29" x14ac:dyDescent="0.2">
      <c r="A19" t="s">
        <v>84</v>
      </c>
      <c r="B19">
        <f>VLOOKUP(B14,'Prisbane 2023'!$A$2:$D$29,4,FALSE)</f>
        <v>1470</v>
      </c>
      <c r="C19">
        <f>VLOOKUP(C14,'Prisbane 2023'!$A$2:$D$29,4,FALSE)</f>
        <v>1679</v>
      </c>
      <c r="D19">
        <f>VLOOKUP(D14,'Prisbane 2023'!$A$2:$D$29,4,FALSE)</f>
        <v>1918</v>
      </c>
      <c r="E19">
        <f>VLOOKUP(E14,'Prisbane 2023'!$A$2:$D$29,4,FALSE)</f>
        <v>2096</v>
      </c>
      <c r="F19">
        <f>VLOOKUP(F14,'Prisbane 2023'!$A$2:$D$29,4,FALSE)</f>
        <v>2291</v>
      </c>
      <c r="G19">
        <f>VLOOKUP(G14,'Prisbane 2023'!$A$2:$D$29,4,FALSE)</f>
        <v>2504</v>
      </c>
      <c r="H19">
        <f>VLOOKUP(H14,'Prisbane 2023'!$A$2:$D$29,4,FALSE)</f>
        <v>2736</v>
      </c>
      <c r="I19">
        <f>VLOOKUP(I14,'Prisbane 2023'!$A$2:$D$29,4,FALSE)</f>
        <v>2990</v>
      </c>
      <c r="J19">
        <f>VLOOKUP(J14,'Prisbane 2023'!$A$2:$D$29,4,FALSE)</f>
        <v>3268</v>
      </c>
      <c r="K19">
        <f>VLOOKUP(K14,'Prisbane 2023'!$A$2:$D$29,4,FALSE)</f>
        <v>3572</v>
      </c>
      <c r="L19">
        <f>VLOOKUP(L14,'Prisbane 2023'!$A$2:$D$29,4,FALSE)</f>
        <v>3904</v>
      </c>
      <c r="M19">
        <f>VLOOKUP(M14,'Prisbane 2023'!$A$2:$D$29,4,FALSE)</f>
        <v>4267</v>
      </c>
      <c r="N19">
        <f>VLOOKUP(N14,'Prisbane 2023'!$A$2:$D$29,4,FALSE)</f>
        <v>4664</v>
      </c>
      <c r="O19">
        <f>VLOOKUP(O14,'Prisbane 2023'!$A$2:$D$29,4,FALSE)</f>
        <v>5098</v>
      </c>
      <c r="P19">
        <f>VLOOKUP(P14,'Prisbane 2023'!$A$2:$D$29,4,FALSE)</f>
        <v>5572</v>
      </c>
      <c r="Q19">
        <f>VLOOKUP(Q14,'Prisbane 2023'!$A$2:$D$29,4,FALSE)</f>
        <v>6091</v>
      </c>
      <c r="R19">
        <f>VLOOKUP(R14,'Prisbane 2023'!$A$2:$D$29,4,FALSE)</f>
        <v>6657</v>
      </c>
      <c r="S19">
        <f>VLOOKUP(S14,'Prisbane 2023'!$A$2:$D$29,4,FALSE)</f>
        <v>7277</v>
      </c>
      <c r="T19">
        <f>VLOOKUP(T14,'Prisbane 2023'!$A$2:$D$29,4,FALSE)</f>
        <v>7588</v>
      </c>
      <c r="U19">
        <f>VLOOKUP(U14,'Prisbane 2023'!$A$2:$D$29,4,FALSE)</f>
        <v>7912</v>
      </c>
      <c r="V19">
        <f>VLOOKUP(V14,'Prisbane 2023'!$A$2:$D$29,4,FALSE)</f>
        <v>8250</v>
      </c>
      <c r="W19">
        <f>VLOOKUP(W14,'Prisbane 2023'!$A$2:$D$29,4,FALSE)</f>
        <v>8603</v>
      </c>
      <c r="X19">
        <f>VLOOKUP(X14,'Prisbane 2023'!$A$2:$D$29,4,FALSE)</f>
        <v>8971</v>
      </c>
      <c r="Y19">
        <f>VLOOKUP(Y14,'Prisbane 2023'!$A$2:$D$29,4,FALSE)</f>
        <v>9355</v>
      </c>
      <c r="Z19">
        <f>VLOOKUP(Z14,'Prisbane 2023'!$A$2:$D$29,4,FALSE)</f>
        <v>9755</v>
      </c>
      <c r="AA19">
        <f>VLOOKUP(AA14,'Prisbane 2023'!$A$2:$D$29,4,FALSE)</f>
        <v>10172</v>
      </c>
      <c r="AB19">
        <f>VLOOKUP(AB14,'Prisbane 2023'!$A$2:$D$29,4,FALSE)</f>
        <v>10607</v>
      </c>
      <c r="AC19">
        <f>VLOOKUP(AC14,'Prisbane 2023'!$A$2:$D$29,4,FALSE)</f>
        <v>11060</v>
      </c>
    </row>
    <row r="20" spans="1:29" x14ac:dyDescent="0.2">
      <c r="A20" t="s">
        <v>89</v>
      </c>
      <c r="B20" t="e" cm="1">
        <f t="array" ref="B20">B17*x</f>
        <v>#NAME?</v>
      </c>
    </row>
    <row r="21" spans="1:29" x14ac:dyDescent="0.2">
      <c r="A21" t="s">
        <v>90</v>
      </c>
    </row>
    <row r="23" spans="1:29" x14ac:dyDescent="0.2">
      <c r="A23" t="s">
        <v>91</v>
      </c>
    </row>
    <row r="24" spans="1:29" x14ac:dyDescent="0.2">
      <c r="A24" t="s">
        <v>83</v>
      </c>
      <c r="B24">
        <f>B17*B16</f>
        <v>0</v>
      </c>
      <c r="C24">
        <f t="shared" ref="C24:AC24" si="3">C17*C16</f>
        <v>0</v>
      </c>
      <c r="D24">
        <f t="shared" si="3"/>
        <v>0</v>
      </c>
      <c r="E24">
        <f t="shared" si="3"/>
        <v>0</v>
      </c>
      <c r="F24">
        <f t="shared" si="3"/>
        <v>0</v>
      </c>
      <c r="G24">
        <f t="shared" si="3"/>
        <v>0</v>
      </c>
      <c r="H24">
        <f t="shared" si="3"/>
        <v>0</v>
      </c>
      <c r="I24" s="20">
        <f t="shared" si="3"/>
        <v>1895500000</v>
      </c>
      <c r="J24" s="20">
        <f t="shared" si="3"/>
        <v>1895500000</v>
      </c>
      <c r="K24" s="20">
        <f t="shared" si="3"/>
        <v>1895500000</v>
      </c>
      <c r="L24" s="20">
        <f t="shared" si="3"/>
        <v>1895500000</v>
      </c>
      <c r="M24" s="20">
        <f t="shared" si="3"/>
        <v>1895500000</v>
      </c>
      <c r="N24" s="20">
        <f t="shared" si="3"/>
        <v>1895500000</v>
      </c>
      <c r="O24">
        <f t="shared" si="3"/>
        <v>0</v>
      </c>
      <c r="P24">
        <f t="shared" si="3"/>
        <v>0</v>
      </c>
      <c r="Q24">
        <f t="shared" si="3"/>
        <v>0</v>
      </c>
      <c r="R24">
        <f t="shared" si="3"/>
        <v>0</v>
      </c>
      <c r="S24">
        <f t="shared" si="3"/>
        <v>0</v>
      </c>
      <c r="T24">
        <f t="shared" si="3"/>
        <v>0</v>
      </c>
      <c r="U24">
        <f t="shared" si="3"/>
        <v>0</v>
      </c>
      <c r="V24">
        <f t="shared" si="3"/>
        <v>0</v>
      </c>
      <c r="W24">
        <f t="shared" si="3"/>
        <v>0</v>
      </c>
      <c r="X24">
        <f t="shared" si="3"/>
        <v>0</v>
      </c>
      <c r="Y24">
        <f t="shared" si="3"/>
        <v>0</v>
      </c>
      <c r="Z24">
        <f t="shared" si="3"/>
        <v>0</v>
      </c>
      <c r="AA24">
        <f t="shared" si="3"/>
        <v>0</v>
      </c>
      <c r="AB24">
        <f t="shared" si="3"/>
        <v>0</v>
      </c>
      <c r="AC24">
        <f t="shared" si="3"/>
        <v>0</v>
      </c>
    </row>
    <row r="25" spans="1:29" x14ac:dyDescent="0.2">
      <c r="A25" t="s">
        <v>85</v>
      </c>
      <c r="B25">
        <f>B18*B16</f>
        <v>0</v>
      </c>
      <c r="C25">
        <f t="shared" ref="C25:AC25" si="4">C18*C16</f>
        <v>0</v>
      </c>
      <c r="D25">
        <f t="shared" si="4"/>
        <v>0</v>
      </c>
      <c r="E25">
        <f t="shared" si="4"/>
        <v>0</v>
      </c>
      <c r="F25">
        <f t="shared" si="4"/>
        <v>0</v>
      </c>
      <c r="G25">
        <f t="shared" si="4"/>
        <v>0</v>
      </c>
      <c r="H25">
        <f t="shared" si="4"/>
        <v>0</v>
      </c>
      <c r="I25" s="20">
        <f t="shared" si="4"/>
        <v>643450000</v>
      </c>
      <c r="J25" s="20">
        <f t="shared" si="4"/>
        <v>668950000</v>
      </c>
      <c r="K25" s="20">
        <f t="shared" si="4"/>
        <v>696150000</v>
      </c>
      <c r="L25" s="20">
        <f t="shared" si="4"/>
        <v>724200000</v>
      </c>
      <c r="M25" s="20">
        <f t="shared" si="4"/>
        <v>753100000</v>
      </c>
      <c r="N25" s="20">
        <f t="shared" si="4"/>
        <v>782850000</v>
      </c>
      <c r="O25">
        <f t="shared" si="4"/>
        <v>0</v>
      </c>
      <c r="P25">
        <f t="shared" si="4"/>
        <v>0</v>
      </c>
      <c r="Q25">
        <f t="shared" si="4"/>
        <v>0</v>
      </c>
      <c r="R25">
        <f t="shared" si="4"/>
        <v>0</v>
      </c>
      <c r="S25">
        <f t="shared" si="4"/>
        <v>0</v>
      </c>
      <c r="T25">
        <f t="shared" si="4"/>
        <v>0</v>
      </c>
      <c r="U25">
        <f t="shared" si="4"/>
        <v>0</v>
      </c>
      <c r="V25">
        <f t="shared" si="4"/>
        <v>0</v>
      </c>
      <c r="W25">
        <f t="shared" si="4"/>
        <v>0</v>
      </c>
      <c r="X25">
        <f t="shared" si="4"/>
        <v>0</v>
      </c>
      <c r="Y25">
        <f t="shared" si="4"/>
        <v>0</v>
      </c>
      <c r="Z25">
        <f t="shared" si="4"/>
        <v>0</v>
      </c>
      <c r="AA25">
        <f t="shared" si="4"/>
        <v>0</v>
      </c>
      <c r="AB25">
        <f t="shared" si="4"/>
        <v>0</v>
      </c>
      <c r="AC25">
        <f t="shared" si="4"/>
        <v>0</v>
      </c>
    </row>
    <row r="26" spans="1:29" x14ac:dyDescent="0.2">
      <c r="A26" t="s">
        <v>84</v>
      </c>
      <c r="B26">
        <f>B19*B16</f>
        <v>0</v>
      </c>
      <c r="C26">
        <f t="shared" ref="C26:AC26" si="5">C19*C16</f>
        <v>0</v>
      </c>
      <c r="D26">
        <f t="shared" si="5"/>
        <v>0</v>
      </c>
      <c r="E26">
        <f t="shared" si="5"/>
        <v>0</v>
      </c>
      <c r="F26">
        <f t="shared" si="5"/>
        <v>0</v>
      </c>
      <c r="G26">
        <f t="shared" si="5"/>
        <v>0</v>
      </c>
      <c r="H26">
        <f t="shared" si="5"/>
        <v>0</v>
      </c>
      <c r="I26" s="20">
        <f t="shared" si="5"/>
        <v>2541500000</v>
      </c>
      <c r="J26" s="20">
        <f t="shared" si="5"/>
        <v>2777800000</v>
      </c>
      <c r="K26" s="20">
        <f t="shared" si="5"/>
        <v>3036200000</v>
      </c>
      <c r="L26" s="20">
        <f t="shared" si="5"/>
        <v>3318400000</v>
      </c>
      <c r="M26" s="20">
        <f t="shared" si="5"/>
        <v>3626950000</v>
      </c>
      <c r="N26" s="20">
        <f t="shared" si="5"/>
        <v>3964400000</v>
      </c>
      <c r="O26">
        <f t="shared" si="5"/>
        <v>0</v>
      </c>
      <c r="P26">
        <f t="shared" si="5"/>
        <v>0</v>
      </c>
      <c r="Q26">
        <f t="shared" si="5"/>
        <v>0</v>
      </c>
      <c r="R26">
        <f t="shared" si="5"/>
        <v>0</v>
      </c>
      <c r="S26">
        <f t="shared" si="5"/>
        <v>0</v>
      </c>
      <c r="T26">
        <f t="shared" si="5"/>
        <v>0</v>
      </c>
      <c r="U26">
        <f t="shared" si="5"/>
        <v>0</v>
      </c>
      <c r="V26">
        <f t="shared" si="5"/>
        <v>0</v>
      </c>
      <c r="W26">
        <f t="shared" si="5"/>
        <v>0</v>
      </c>
      <c r="X26">
        <f t="shared" si="5"/>
        <v>0</v>
      </c>
      <c r="Y26">
        <f t="shared" si="5"/>
        <v>0</v>
      </c>
      <c r="Z26">
        <f t="shared" si="5"/>
        <v>0</v>
      </c>
      <c r="AA26">
        <f t="shared" si="5"/>
        <v>0</v>
      </c>
      <c r="AB26">
        <f t="shared" si="5"/>
        <v>0</v>
      </c>
      <c r="AC26">
        <f t="shared" si="5"/>
        <v>0</v>
      </c>
    </row>
    <row r="30" spans="1:29" x14ac:dyDescent="0.2">
      <c r="A30" t="s">
        <v>92</v>
      </c>
      <c r="B30" t="s">
        <v>12</v>
      </c>
      <c r="C30" t="s">
        <v>93</v>
      </c>
    </row>
    <row r="31" spans="1:29" x14ac:dyDescent="0.2">
      <c r="A31" t="s">
        <v>83</v>
      </c>
      <c r="B31" s="7">
        <f>NPV(B10,B24:AC24)</f>
        <v>7550900866.4057045</v>
      </c>
    </row>
    <row r="32" spans="1:29" x14ac:dyDescent="0.2">
      <c r="A32" t="s">
        <v>85</v>
      </c>
      <c r="B32" s="7">
        <f>NPV(B10,B25:AC25)</f>
        <v>2821421977.309463</v>
      </c>
    </row>
    <row r="33" spans="1:7" x14ac:dyDescent="0.2">
      <c r="A33" t="s">
        <v>84</v>
      </c>
      <c r="B33" s="7">
        <f>NPV(B10,B26:AC26)</f>
        <v>12661710058.838591</v>
      </c>
    </row>
    <row r="37" spans="1:7" x14ac:dyDescent="0.2">
      <c r="A37" t="s">
        <v>122</v>
      </c>
    </row>
    <row r="39" spans="1:7" x14ac:dyDescent="0.2">
      <c r="A39" t="s">
        <v>19</v>
      </c>
      <c r="B39">
        <v>2030</v>
      </c>
      <c r="C39">
        <v>2031</v>
      </c>
      <c r="D39">
        <v>2032</v>
      </c>
      <c r="E39">
        <v>2033</v>
      </c>
      <c r="F39">
        <v>2034</v>
      </c>
      <c r="G39">
        <v>2035</v>
      </c>
    </row>
    <row r="40" spans="1:7" x14ac:dyDescent="0.2">
      <c r="A40" t="s">
        <v>83</v>
      </c>
      <c r="B40">
        <f>I24/1000000000</f>
        <v>1.8955</v>
      </c>
    </row>
    <row r="41" spans="1:7" x14ac:dyDescent="0.2">
      <c r="A41" t="s">
        <v>85</v>
      </c>
      <c r="B41">
        <f>I25/1000000000</f>
        <v>0.64344999999999997</v>
      </c>
    </row>
    <row r="42" spans="1:7" x14ac:dyDescent="0.2">
      <c r="A42" t="s">
        <v>84</v>
      </c>
      <c r="B42">
        <f>I26/1000000000</f>
        <v>2.5415000000000001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465BD-5FB9-E947-B43E-DC195795FCCE}">
  <sheetPr codeName="Ark5"/>
  <dimension ref="A1:I79"/>
  <sheetViews>
    <sheetView workbookViewId="0">
      <selection activeCell="K10" sqref="K10"/>
    </sheetView>
  </sheetViews>
  <sheetFormatPr baseColWidth="10" defaultRowHeight="16" x14ac:dyDescent="0.2"/>
  <cols>
    <col min="1" max="1" width="11.1640625" customWidth="1"/>
    <col min="2" max="2" width="47.1640625" customWidth="1"/>
    <col min="3" max="3" width="25.5" customWidth="1"/>
    <col min="4" max="4" width="14" customWidth="1"/>
    <col min="5" max="5" width="11.6640625" customWidth="1"/>
    <col min="6" max="6" width="36.83203125" customWidth="1"/>
    <col min="7" max="7" width="11.1640625" customWidth="1"/>
    <col min="8" max="8" width="11.33203125" customWidth="1"/>
    <col min="9" max="9" width="33" customWidth="1"/>
  </cols>
  <sheetData>
    <row r="1" spans="1:9" ht="17" x14ac:dyDescent="0.2">
      <c r="A1" t="s">
        <v>19</v>
      </c>
      <c r="B1" s="9" t="s">
        <v>66</v>
      </c>
      <c r="C1" s="9" t="s">
        <v>67</v>
      </c>
      <c r="D1" s="9" t="s">
        <v>68</v>
      </c>
      <c r="E1" s="9" t="s">
        <v>69</v>
      </c>
      <c r="F1" s="9" t="s">
        <v>70</v>
      </c>
      <c r="G1" s="10" t="s">
        <v>17</v>
      </c>
      <c r="H1" s="9" t="s">
        <v>71</v>
      </c>
      <c r="I1" s="9" t="s">
        <v>72</v>
      </c>
    </row>
    <row r="2" spans="1:9" x14ac:dyDescent="0.2">
      <c r="A2" s="11">
        <v>44927</v>
      </c>
      <c r="B2" s="1">
        <v>798</v>
      </c>
      <c r="C2" s="1">
        <v>952</v>
      </c>
      <c r="D2" s="1">
        <v>1559</v>
      </c>
      <c r="E2" s="1">
        <v>1447</v>
      </c>
      <c r="F2" s="1">
        <v>798</v>
      </c>
      <c r="H2" s="1">
        <v>598</v>
      </c>
      <c r="I2" s="1">
        <v>1470</v>
      </c>
    </row>
    <row r="3" spans="1:9" x14ac:dyDescent="0.2">
      <c r="A3" s="11">
        <v>45292</v>
      </c>
      <c r="B3" s="1">
        <v>836</v>
      </c>
      <c r="C3" s="1">
        <v>1135</v>
      </c>
      <c r="D3" s="1">
        <v>1724</v>
      </c>
      <c r="E3" s="1">
        <v>1611</v>
      </c>
      <c r="F3" s="1">
        <v>836</v>
      </c>
      <c r="H3" s="1">
        <v>627</v>
      </c>
      <c r="I3" s="1">
        <v>1679</v>
      </c>
    </row>
    <row r="4" spans="1:9" x14ac:dyDescent="0.2">
      <c r="A4" s="11">
        <v>45658</v>
      </c>
      <c r="B4" s="1">
        <v>872</v>
      </c>
      <c r="C4" s="1">
        <v>1317</v>
      </c>
      <c r="D4" s="1">
        <v>1907</v>
      </c>
      <c r="E4" s="1">
        <v>1796</v>
      </c>
      <c r="F4" s="1">
        <v>872</v>
      </c>
      <c r="H4" s="1">
        <v>654</v>
      </c>
      <c r="I4" s="12">
        <v>1918</v>
      </c>
    </row>
    <row r="5" spans="1:9" x14ac:dyDescent="0.2">
      <c r="A5" s="11">
        <v>46023</v>
      </c>
      <c r="B5" s="1">
        <v>915</v>
      </c>
      <c r="C5" s="1">
        <v>1500</v>
      </c>
      <c r="D5" s="1">
        <v>2121</v>
      </c>
      <c r="E5" s="1">
        <v>2016</v>
      </c>
      <c r="F5" s="1">
        <v>915</v>
      </c>
      <c r="H5" s="1">
        <v>686</v>
      </c>
      <c r="I5" s="1">
        <v>2096</v>
      </c>
    </row>
    <row r="6" spans="1:9" x14ac:dyDescent="0.2">
      <c r="A6" s="11">
        <v>46388</v>
      </c>
      <c r="B6" s="1">
        <v>937</v>
      </c>
      <c r="C6" s="1">
        <v>1682</v>
      </c>
      <c r="D6" s="1">
        <v>2230</v>
      </c>
      <c r="E6" s="1">
        <v>2230</v>
      </c>
      <c r="F6" s="1">
        <v>937</v>
      </c>
      <c r="H6" s="1">
        <v>703</v>
      </c>
      <c r="I6" s="1">
        <v>2291</v>
      </c>
    </row>
    <row r="7" spans="1:9" x14ac:dyDescent="0.2">
      <c r="A7" s="11">
        <v>46753</v>
      </c>
      <c r="B7" s="1">
        <v>961</v>
      </c>
      <c r="C7" s="1">
        <v>1865</v>
      </c>
      <c r="D7" s="1">
        <v>2230</v>
      </c>
      <c r="E7" s="1">
        <v>2230</v>
      </c>
      <c r="F7" s="1">
        <v>961</v>
      </c>
      <c r="H7" s="1">
        <v>721</v>
      </c>
      <c r="I7" s="1">
        <v>2504</v>
      </c>
    </row>
    <row r="8" spans="1:9" x14ac:dyDescent="0.2">
      <c r="A8" s="11">
        <v>47119</v>
      </c>
      <c r="B8" s="1">
        <v>985</v>
      </c>
      <c r="C8" s="1">
        <v>2047</v>
      </c>
      <c r="D8" s="1">
        <v>2230</v>
      </c>
      <c r="E8" s="1">
        <v>2230</v>
      </c>
      <c r="F8" s="1">
        <v>985</v>
      </c>
      <c r="H8" s="1">
        <v>739</v>
      </c>
      <c r="I8" s="1">
        <v>2736</v>
      </c>
    </row>
    <row r="9" spans="1:9" x14ac:dyDescent="0.2">
      <c r="A9" s="11">
        <v>47484</v>
      </c>
      <c r="B9" s="1">
        <v>1010</v>
      </c>
      <c r="C9" s="1">
        <v>2230</v>
      </c>
      <c r="D9" s="1">
        <v>2230</v>
      </c>
      <c r="E9" s="1">
        <v>2230</v>
      </c>
      <c r="F9" s="1">
        <v>1010</v>
      </c>
      <c r="H9" s="1">
        <v>757</v>
      </c>
      <c r="I9" s="12">
        <v>2990</v>
      </c>
    </row>
    <row r="10" spans="1:9" x14ac:dyDescent="0.2">
      <c r="A10" s="11">
        <v>47849</v>
      </c>
      <c r="B10" s="1">
        <v>1065</v>
      </c>
      <c r="C10" s="1">
        <v>2230</v>
      </c>
      <c r="D10" s="1">
        <v>2230</v>
      </c>
      <c r="E10" s="1">
        <v>2230</v>
      </c>
      <c r="F10" s="1">
        <v>1065</v>
      </c>
      <c r="H10" s="1">
        <v>787</v>
      </c>
      <c r="I10" s="1">
        <v>3268</v>
      </c>
    </row>
    <row r="11" spans="1:9" x14ac:dyDescent="0.2">
      <c r="A11" s="11">
        <v>48214</v>
      </c>
      <c r="B11" s="1">
        <v>1123</v>
      </c>
      <c r="C11" s="1">
        <v>2230</v>
      </c>
      <c r="D11" s="1">
        <v>2230</v>
      </c>
      <c r="E11" s="1">
        <v>2230</v>
      </c>
      <c r="F11" s="1">
        <v>1123</v>
      </c>
      <c r="H11" s="1">
        <v>819</v>
      </c>
      <c r="I11" s="1">
        <v>3572</v>
      </c>
    </row>
    <row r="12" spans="1:9" x14ac:dyDescent="0.2">
      <c r="A12" s="11">
        <v>48580</v>
      </c>
      <c r="B12" s="1">
        <v>1185</v>
      </c>
      <c r="C12" s="1">
        <v>2230</v>
      </c>
      <c r="D12" s="1">
        <v>2230</v>
      </c>
      <c r="E12" s="1">
        <v>2230</v>
      </c>
      <c r="F12" s="1">
        <v>1185</v>
      </c>
      <c r="H12" s="1">
        <v>852</v>
      </c>
      <c r="I12" s="1">
        <v>3904</v>
      </c>
    </row>
    <row r="13" spans="1:9" x14ac:dyDescent="0.2">
      <c r="A13" s="11">
        <v>48945</v>
      </c>
      <c r="B13" s="1">
        <v>1249</v>
      </c>
      <c r="C13" s="1">
        <v>2230</v>
      </c>
      <c r="D13" s="1">
        <v>2230</v>
      </c>
      <c r="E13" s="1">
        <v>2230</v>
      </c>
      <c r="F13" s="1">
        <v>1249</v>
      </c>
      <c r="H13" s="1">
        <v>886</v>
      </c>
      <c r="I13" s="1">
        <v>4267</v>
      </c>
    </row>
    <row r="14" spans="1:9" x14ac:dyDescent="0.2">
      <c r="A14" s="11">
        <v>49310</v>
      </c>
      <c r="B14" s="1">
        <v>1318</v>
      </c>
      <c r="C14" s="1">
        <v>2230</v>
      </c>
      <c r="D14" s="1">
        <v>2230</v>
      </c>
      <c r="E14" s="1">
        <v>2230</v>
      </c>
      <c r="F14" s="1">
        <v>1318</v>
      </c>
      <c r="H14" s="1">
        <v>921</v>
      </c>
      <c r="I14" s="1">
        <v>4664</v>
      </c>
    </row>
    <row r="15" spans="1:9" x14ac:dyDescent="0.2">
      <c r="A15" s="11">
        <v>49675</v>
      </c>
      <c r="B15" s="1">
        <v>1390</v>
      </c>
      <c r="C15" s="1">
        <v>2230</v>
      </c>
      <c r="D15" s="1">
        <v>2230</v>
      </c>
      <c r="E15" s="1">
        <v>2230</v>
      </c>
      <c r="F15" s="1">
        <v>1390</v>
      </c>
      <c r="H15" s="1">
        <v>958</v>
      </c>
      <c r="I15" s="1">
        <v>5098</v>
      </c>
    </row>
    <row r="16" spans="1:9" x14ac:dyDescent="0.2">
      <c r="A16" s="11">
        <v>50041</v>
      </c>
      <c r="B16" s="1">
        <v>1466</v>
      </c>
      <c r="C16" s="1">
        <v>2230</v>
      </c>
      <c r="D16" s="1">
        <v>2230</v>
      </c>
      <c r="E16" s="1">
        <v>2230</v>
      </c>
      <c r="F16" s="1">
        <v>1466</v>
      </c>
      <c r="H16" s="1">
        <v>996</v>
      </c>
      <c r="I16" s="1">
        <v>5572</v>
      </c>
    </row>
    <row r="17" spans="1:9" x14ac:dyDescent="0.2">
      <c r="A17" s="11">
        <v>50406</v>
      </c>
      <c r="B17" s="1">
        <v>1546</v>
      </c>
      <c r="C17" s="1">
        <v>2230</v>
      </c>
      <c r="D17" s="1">
        <v>2230</v>
      </c>
      <c r="E17" s="1">
        <v>2230</v>
      </c>
      <c r="F17" s="1">
        <v>1546</v>
      </c>
      <c r="H17" s="1">
        <v>1036</v>
      </c>
      <c r="I17" s="1">
        <v>6091</v>
      </c>
    </row>
    <row r="18" spans="1:9" x14ac:dyDescent="0.2">
      <c r="A18" s="11">
        <v>50771</v>
      </c>
      <c r="B18" s="1">
        <v>1631</v>
      </c>
      <c r="C18" s="1">
        <v>2230</v>
      </c>
      <c r="D18" s="1">
        <v>2230</v>
      </c>
      <c r="E18" s="1">
        <v>2230</v>
      </c>
      <c r="F18" s="1">
        <v>1631</v>
      </c>
      <c r="H18" s="1">
        <v>1078</v>
      </c>
      <c r="I18" s="1">
        <v>6657</v>
      </c>
    </row>
    <row r="19" spans="1:9" x14ac:dyDescent="0.2">
      <c r="A19" s="11">
        <v>51136</v>
      </c>
      <c r="B19" s="1">
        <v>1720</v>
      </c>
      <c r="C19" s="1">
        <v>2230</v>
      </c>
      <c r="D19" s="1">
        <v>2230</v>
      </c>
      <c r="E19" s="1">
        <v>2230</v>
      </c>
      <c r="F19" s="1">
        <v>1720</v>
      </c>
      <c r="H19" s="1">
        <v>1121</v>
      </c>
      <c r="I19" s="12">
        <v>7277</v>
      </c>
    </row>
    <row r="20" spans="1:9" x14ac:dyDescent="0.2">
      <c r="A20" s="11">
        <v>51502</v>
      </c>
      <c r="B20" s="1">
        <v>1743</v>
      </c>
      <c r="C20" s="1">
        <v>2230</v>
      </c>
      <c r="D20" s="1">
        <v>2230</v>
      </c>
      <c r="E20" s="1">
        <v>2230</v>
      </c>
      <c r="F20" s="1">
        <v>1743</v>
      </c>
      <c r="H20" s="1">
        <v>1166</v>
      </c>
      <c r="I20" s="1">
        <v>7588</v>
      </c>
    </row>
    <row r="21" spans="1:9" x14ac:dyDescent="0.2">
      <c r="A21" s="11">
        <v>51867</v>
      </c>
      <c r="B21" s="1">
        <v>1766</v>
      </c>
      <c r="C21" s="1">
        <v>2230</v>
      </c>
      <c r="D21" s="1">
        <v>2230</v>
      </c>
      <c r="E21" s="1">
        <v>2230</v>
      </c>
      <c r="F21" s="1">
        <v>1766</v>
      </c>
      <c r="H21" s="1">
        <v>1212</v>
      </c>
      <c r="I21" s="1">
        <v>7912</v>
      </c>
    </row>
    <row r="22" spans="1:9" x14ac:dyDescent="0.2">
      <c r="A22" s="11">
        <v>52232</v>
      </c>
      <c r="B22" s="1">
        <v>1789</v>
      </c>
      <c r="C22" s="1">
        <v>2230</v>
      </c>
      <c r="D22" s="1">
        <v>2230</v>
      </c>
      <c r="E22" s="1">
        <v>2230</v>
      </c>
      <c r="F22" s="1">
        <v>1789</v>
      </c>
      <c r="H22" s="1">
        <v>1261</v>
      </c>
      <c r="I22" s="1">
        <v>8250</v>
      </c>
    </row>
    <row r="23" spans="1:9" x14ac:dyDescent="0.2">
      <c r="A23" s="11">
        <v>52597</v>
      </c>
      <c r="B23" s="1">
        <v>1812</v>
      </c>
      <c r="C23" s="1">
        <v>2230</v>
      </c>
      <c r="D23" s="1">
        <v>2230</v>
      </c>
      <c r="E23" s="1">
        <v>2230</v>
      </c>
      <c r="F23" s="1">
        <v>1812</v>
      </c>
      <c r="H23" s="1">
        <v>1311</v>
      </c>
      <c r="I23" s="1">
        <v>8603</v>
      </c>
    </row>
    <row r="24" spans="1:9" x14ac:dyDescent="0.2">
      <c r="A24" s="11">
        <v>52963</v>
      </c>
      <c r="B24" s="1">
        <v>1836</v>
      </c>
      <c r="C24" s="1">
        <v>2230</v>
      </c>
      <c r="D24" s="1">
        <v>2230</v>
      </c>
      <c r="E24" s="1">
        <v>2230</v>
      </c>
      <c r="F24" s="1">
        <v>1836</v>
      </c>
      <c r="H24" s="1">
        <v>1364</v>
      </c>
      <c r="I24" s="1">
        <v>8971</v>
      </c>
    </row>
    <row r="25" spans="1:9" x14ac:dyDescent="0.2">
      <c r="A25" s="11">
        <v>53328</v>
      </c>
      <c r="B25" s="1">
        <v>1860</v>
      </c>
      <c r="C25" s="1">
        <v>2230</v>
      </c>
      <c r="D25" s="1">
        <v>2230</v>
      </c>
      <c r="E25" s="1">
        <v>2230</v>
      </c>
      <c r="F25" s="1">
        <v>1860</v>
      </c>
      <c r="H25" s="1">
        <v>1418</v>
      </c>
      <c r="I25" s="1">
        <v>9355</v>
      </c>
    </row>
    <row r="26" spans="1:9" x14ac:dyDescent="0.2">
      <c r="A26" s="11">
        <v>53693</v>
      </c>
      <c r="B26" s="1">
        <v>1885</v>
      </c>
      <c r="C26" s="1">
        <v>2230</v>
      </c>
      <c r="D26" s="1">
        <v>2230</v>
      </c>
      <c r="E26" s="1">
        <v>2230</v>
      </c>
      <c r="F26" s="1">
        <v>1885</v>
      </c>
      <c r="H26" s="1">
        <v>1475</v>
      </c>
      <c r="I26" s="1">
        <v>9755</v>
      </c>
    </row>
    <row r="27" spans="1:9" x14ac:dyDescent="0.2">
      <c r="A27" s="11">
        <v>54058</v>
      </c>
      <c r="B27" s="1">
        <v>1909</v>
      </c>
      <c r="C27" s="1">
        <v>2230</v>
      </c>
      <c r="D27" s="1">
        <v>2230</v>
      </c>
      <c r="E27" s="1">
        <v>2230</v>
      </c>
      <c r="F27" s="1">
        <v>1909</v>
      </c>
      <c r="H27" s="1">
        <v>1534</v>
      </c>
      <c r="I27" s="1">
        <v>10172</v>
      </c>
    </row>
    <row r="28" spans="1:9" x14ac:dyDescent="0.2">
      <c r="A28" s="11">
        <v>54424</v>
      </c>
      <c r="B28" s="1">
        <v>1935</v>
      </c>
      <c r="C28" s="1">
        <v>2230</v>
      </c>
      <c r="D28" s="1">
        <v>2230</v>
      </c>
      <c r="E28" s="1">
        <v>2230</v>
      </c>
      <c r="F28" s="1">
        <v>1935</v>
      </c>
      <c r="H28" s="1">
        <v>1595</v>
      </c>
      <c r="I28" s="1">
        <v>10607</v>
      </c>
    </row>
    <row r="29" spans="1:9" x14ac:dyDescent="0.2">
      <c r="A29" s="11">
        <v>54789</v>
      </c>
      <c r="B29" s="1">
        <v>1960</v>
      </c>
      <c r="C29" s="1">
        <v>2230</v>
      </c>
      <c r="D29" s="1">
        <v>2230</v>
      </c>
      <c r="E29" s="1">
        <v>2230</v>
      </c>
      <c r="F29" s="1">
        <v>1960</v>
      </c>
      <c r="H29" s="1">
        <v>1659</v>
      </c>
      <c r="I29" s="12">
        <v>11060</v>
      </c>
    </row>
    <row r="30" spans="1:9" x14ac:dyDescent="0.2">
      <c r="A30" s="11">
        <v>55154</v>
      </c>
      <c r="B30" s="1">
        <v>2038</v>
      </c>
      <c r="C30" s="1">
        <v>2230</v>
      </c>
      <c r="D30" s="1">
        <v>2230</v>
      </c>
      <c r="E30" s="1">
        <v>2230</v>
      </c>
      <c r="F30" s="1">
        <v>2038</v>
      </c>
      <c r="H30" s="1">
        <v>1725</v>
      </c>
      <c r="I30" s="1">
        <v>11353</v>
      </c>
    </row>
    <row r="31" spans="1:9" x14ac:dyDescent="0.2">
      <c r="A31" s="11">
        <v>55519</v>
      </c>
      <c r="B31" s="1">
        <v>2120</v>
      </c>
      <c r="C31" s="1">
        <v>2230</v>
      </c>
      <c r="D31" s="1">
        <v>2230</v>
      </c>
      <c r="E31" s="1">
        <v>2230</v>
      </c>
      <c r="F31" s="1">
        <v>2120</v>
      </c>
      <c r="H31" s="1">
        <v>1794</v>
      </c>
      <c r="I31" s="1">
        <v>11654</v>
      </c>
    </row>
    <row r="32" spans="1:9" x14ac:dyDescent="0.2">
      <c r="A32" s="11">
        <v>55885</v>
      </c>
      <c r="B32" s="1">
        <v>2205</v>
      </c>
      <c r="C32" s="1">
        <v>2230</v>
      </c>
      <c r="D32" s="1">
        <v>2230</v>
      </c>
      <c r="E32" s="1">
        <v>2230</v>
      </c>
      <c r="F32" s="1">
        <v>2205</v>
      </c>
      <c r="H32" s="1">
        <v>1866</v>
      </c>
      <c r="I32" s="1">
        <v>11963</v>
      </c>
    </row>
    <row r="33" spans="1:9" x14ac:dyDescent="0.2">
      <c r="A33" s="11">
        <v>56250</v>
      </c>
      <c r="B33" s="1">
        <v>2293</v>
      </c>
      <c r="C33" s="1">
        <v>2293</v>
      </c>
      <c r="D33" s="1">
        <v>2293</v>
      </c>
      <c r="E33" s="1">
        <v>2293</v>
      </c>
      <c r="F33" s="1">
        <v>2293</v>
      </c>
      <c r="H33" s="1">
        <v>1941</v>
      </c>
      <c r="I33" s="1">
        <v>12280</v>
      </c>
    </row>
    <row r="34" spans="1:9" x14ac:dyDescent="0.2">
      <c r="A34" s="11">
        <v>56615</v>
      </c>
      <c r="B34" s="1">
        <v>2385</v>
      </c>
      <c r="C34" s="1">
        <v>2385</v>
      </c>
      <c r="D34" s="1">
        <v>2385</v>
      </c>
      <c r="E34" s="1">
        <v>2385</v>
      </c>
      <c r="F34" s="1">
        <v>2385</v>
      </c>
      <c r="H34" s="1">
        <v>2018</v>
      </c>
      <c r="I34" s="1">
        <v>12606</v>
      </c>
    </row>
    <row r="35" spans="1:9" x14ac:dyDescent="0.2">
      <c r="A35" s="11">
        <v>56980</v>
      </c>
      <c r="B35" s="1">
        <v>2480</v>
      </c>
      <c r="C35" s="1">
        <v>2480</v>
      </c>
      <c r="D35" s="1">
        <v>2480</v>
      </c>
      <c r="E35" s="1">
        <v>2480</v>
      </c>
      <c r="F35" s="1">
        <v>2480</v>
      </c>
      <c r="H35" s="1">
        <v>2099</v>
      </c>
      <c r="I35" s="1">
        <v>12940</v>
      </c>
    </row>
    <row r="36" spans="1:9" x14ac:dyDescent="0.2">
      <c r="A36" s="11">
        <v>57346</v>
      </c>
      <c r="B36" s="1">
        <v>2579</v>
      </c>
      <c r="C36" s="1">
        <v>2579</v>
      </c>
      <c r="D36" s="1">
        <v>2579</v>
      </c>
      <c r="E36" s="1">
        <v>2579</v>
      </c>
      <c r="F36" s="1">
        <v>2579</v>
      </c>
      <c r="H36" s="1">
        <v>2183</v>
      </c>
      <c r="I36" s="1">
        <v>13283</v>
      </c>
    </row>
    <row r="37" spans="1:9" x14ac:dyDescent="0.2">
      <c r="A37" s="11">
        <v>57711</v>
      </c>
      <c r="B37" s="1">
        <v>2682</v>
      </c>
      <c r="C37" s="1">
        <v>2682</v>
      </c>
      <c r="D37" s="1">
        <v>2682</v>
      </c>
      <c r="E37" s="1">
        <v>2682</v>
      </c>
      <c r="F37" s="1">
        <v>2682</v>
      </c>
      <c r="H37" s="1">
        <v>2270</v>
      </c>
      <c r="I37" s="1">
        <v>13635</v>
      </c>
    </row>
    <row r="38" spans="1:9" x14ac:dyDescent="0.2">
      <c r="A38" s="11">
        <v>58076</v>
      </c>
      <c r="B38" s="1">
        <v>2790</v>
      </c>
      <c r="C38" s="1">
        <v>2790</v>
      </c>
      <c r="D38" s="1">
        <v>2790</v>
      </c>
      <c r="E38" s="1">
        <v>2790</v>
      </c>
      <c r="F38" s="1">
        <v>2790</v>
      </c>
      <c r="H38" s="1">
        <v>2361</v>
      </c>
      <c r="I38" s="1">
        <v>13997</v>
      </c>
    </row>
    <row r="39" spans="1:9" x14ac:dyDescent="0.2">
      <c r="A39" s="11">
        <v>58441</v>
      </c>
      <c r="B39" s="1">
        <v>2901</v>
      </c>
      <c r="C39" s="1">
        <v>2901</v>
      </c>
      <c r="D39" s="1">
        <v>2901</v>
      </c>
      <c r="E39" s="1">
        <v>2901</v>
      </c>
      <c r="F39" s="1">
        <v>2901</v>
      </c>
      <c r="H39" s="1">
        <v>2456</v>
      </c>
      <c r="I39" s="1">
        <v>14368</v>
      </c>
    </row>
    <row r="40" spans="1:9" x14ac:dyDescent="0.2">
      <c r="A40" s="11">
        <v>58807</v>
      </c>
      <c r="B40" s="1">
        <v>3017</v>
      </c>
      <c r="C40" s="1">
        <v>3017</v>
      </c>
      <c r="D40" s="1">
        <v>3017</v>
      </c>
      <c r="E40" s="1">
        <v>3017</v>
      </c>
      <c r="F40" s="1">
        <v>3017</v>
      </c>
      <c r="H40" s="1">
        <v>2554</v>
      </c>
      <c r="I40" s="1">
        <v>14584</v>
      </c>
    </row>
    <row r="41" spans="1:9" x14ac:dyDescent="0.2">
      <c r="A41" s="11">
        <v>59172</v>
      </c>
      <c r="B41" s="1">
        <v>3138</v>
      </c>
      <c r="C41" s="1">
        <v>3138</v>
      </c>
      <c r="D41" s="1">
        <v>3138</v>
      </c>
      <c r="E41" s="1">
        <v>3138</v>
      </c>
      <c r="F41" s="1">
        <v>3138</v>
      </c>
      <c r="H41" s="1">
        <v>2656</v>
      </c>
      <c r="I41" s="1">
        <v>14804</v>
      </c>
    </row>
    <row r="42" spans="1:9" x14ac:dyDescent="0.2">
      <c r="A42" s="11">
        <v>59537</v>
      </c>
      <c r="B42" s="1">
        <v>3264</v>
      </c>
      <c r="C42" s="1">
        <v>3264</v>
      </c>
      <c r="D42" s="1">
        <v>3264</v>
      </c>
      <c r="E42" s="1">
        <v>3264</v>
      </c>
      <c r="F42" s="1">
        <v>3264</v>
      </c>
      <c r="H42" s="1">
        <v>2762</v>
      </c>
      <c r="I42" s="1">
        <v>15026</v>
      </c>
    </row>
    <row r="43" spans="1:9" x14ac:dyDescent="0.2">
      <c r="A43" s="11">
        <v>59902</v>
      </c>
      <c r="B43" s="1">
        <v>3361</v>
      </c>
      <c r="C43" s="1">
        <v>3361</v>
      </c>
      <c r="D43" s="1">
        <v>3361</v>
      </c>
      <c r="E43" s="1">
        <v>3361</v>
      </c>
      <c r="F43" s="1">
        <v>3361</v>
      </c>
      <c r="H43" s="1">
        <v>2845</v>
      </c>
      <c r="I43" s="1">
        <v>15253</v>
      </c>
    </row>
    <row r="44" spans="1:9" x14ac:dyDescent="0.2">
      <c r="A44" s="11">
        <v>60268</v>
      </c>
      <c r="B44" s="1">
        <v>3462</v>
      </c>
      <c r="C44" s="1">
        <v>3462</v>
      </c>
      <c r="D44" s="1">
        <v>3462</v>
      </c>
      <c r="E44" s="1">
        <v>3462</v>
      </c>
      <c r="F44" s="1">
        <v>3462</v>
      </c>
      <c r="H44" s="1">
        <v>2931</v>
      </c>
      <c r="I44" s="1">
        <v>15482</v>
      </c>
    </row>
    <row r="45" spans="1:9" x14ac:dyDescent="0.2">
      <c r="A45" s="11">
        <v>60633</v>
      </c>
      <c r="B45" s="1">
        <v>3566</v>
      </c>
      <c r="C45" s="1">
        <v>3566</v>
      </c>
      <c r="D45" s="1">
        <v>3566</v>
      </c>
      <c r="E45" s="1">
        <v>3566</v>
      </c>
      <c r="F45" s="1">
        <v>3566</v>
      </c>
      <c r="H45" s="1">
        <v>3019</v>
      </c>
      <c r="I45" s="1">
        <v>15715</v>
      </c>
    </row>
    <row r="46" spans="1:9" x14ac:dyDescent="0.2">
      <c r="A46" s="11">
        <v>60998</v>
      </c>
      <c r="B46" s="1">
        <v>3673</v>
      </c>
      <c r="C46" s="1">
        <v>3673</v>
      </c>
      <c r="D46" s="1">
        <v>3673</v>
      </c>
      <c r="E46" s="1">
        <v>3673</v>
      </c>
      <c r="F46" s="1">
        <v>3673</v>
      </c>
      <c r="H46" s="1">
        <v>3109</v>
      </c>
      <c r="I46" s="1">
        <v>15952</v>
      </c>
    </row>
    <row r="47" spans="1:9" x14ac:dyDescent="0.2">
      <c r="A47" s="11">
        <v>61363</v>
      </c>
      <c r="B47" s="1">
        <v>3783</v>
      </c>
      <c r="C47" s="1">
        <v>3783</v>
      </c>
      <c r="D47" s="1">
        <v>3783</v>
      </c>
      <c r="E47" s="1">
        <v>3783</v>
      </c>
      <c r="F47" s="1">
        <v>3783</v>
      </c>
      <c r="H47" s="1">
        <v>3202</v>
      </c>
      <c r="I47" s="1">
        <v>16192</v>
      </c>
    </row>
    <row r="48" spans="1:9" x14ac:dyDescent="0.2">
      <c r="A48" s="11">
        <v>61729</v>
      </c>
      <c r="B48" s="1">
        <v>3897</v>
      </c>
      <c r="C48" s="1">
        <v>3897</v>
      </c>
      <c r="D48" s="1">
        <v>3897</v>
      </c>
      <c r="E48" s="1">
        <v>3897</v>
      </c>
      <c r="F48" s="1">
        <v>3897</v>
      </c>
      <c r="H48" s="1">
        <v>3298</v>
      </c>
      <c r="I48" s="1">
        <v>16436</v>
      </c>
    </row>
    <row r="49" spans="1:9" x14ac:dyDescent="0.2">
      <c r="A49" s="11">
        <v>62094</v>
      </c>
      <c r="B49" s="1">
        <v>4014</v>
      </c>
      <c r="C49" s="1">
        <v>4014</v>
      </c>
      <c r="D49" s="1">
        <v>4014</v>
      </c>
      <c r="E49" s="1">
        <v>4014</v>
      </c>
      <c r="F49" s="1">
        <v>4014</v>
      </c>
      <c r="H49" s="1">
        <v>3397</v>
      </c>
      <c r="I49" s="1">
        <v>16683</v>
      </c>
    </row>
    <row r="50" spans="1:9" x14ac:dyDescent="0.2">
      <c r="A50" s="11">
        <v>62459</v>
      </c>
      <c r="B50" s="1">
        <v>4134</v>
      </c>
      <c r="C50" s="1">
        <v>4134</v>
      </c>
      <c r="D50" s="1">
        <v>4134</v>
      </c>
      <c r="E50" s="1">
        <v>4134</v>
      </c>
      <c r="F50" s="1">
        <v>4134</v>
      </c>
      <c r="H50" s="1">
        <v>3499</v>
      </c>
      <c r="I50" s="1">
        <v>17504</v>
      </c>
    </row>
    <row r="51" spans="1:9" x14ac:dyDescent="0.2">
      <c r="A51" s="11">
        <v>62824</v>
      </c>
      <c r="B51" s="1">
        <v>4258</v>
      </c>
      <c r="C51" s="1">
        <v>4258</v>
      </c>
      <c r="D51" s="1">
        <v>4258</v>
      </c>
      <c r="E51" s="1">
        <v>4258</v>
      </c>
      <c r="F51" s="1">
        <v>4258</v>
      </c>
      <c r="H51" s="1">
        <v>3604</v>
      </c>
      <c r="I51" s="1">
        <v>18366</v>
      </c>
    </row>
    <row r="52" spans="1:9" x14ac:dyDescent="0.2">
      <c r="A52" s="11">
        <v>63190</v>
      </c>
      <c r="B52" s="1">
        <v>4386</v>
      </c>
      <c r="C52" s="1">
        <v>4386</v>
      </c>
      <c r="D52" s="1">
        <v>4386</v>
      </c>
      <c r="E52" s="1">
        <v>4386</v>
      </c>
      <c r="F52" s="1">
        <v>4386</v>
      </c>
      <c r="H52" s="1">
        <v>3712</v>
      </c>
      <c r="I52" s="1">
        <v>19270</v>
      </c>
    </row>
    <row r="53" spans="1:9" x14ac:dyDescent="0.2">
      <c r="A53" s="11">
        <v>63555</v>
      </c>
      <c r="B53" s="1">
        <v>4518</v>
      </c>
      <c r="C53" s="1">
        <v>4518</v>
      </c>
      <c r="D53" s="1">
        <v>4518</v>
      </c>
      <c r="E53" s="1">
        <v>4518</v>
      </c>
      <c r="F53" s="1">
        <v>4518</v>
      </c>
      <c r="H53" s="1">
        <v>3824</v>
      </c>
      <c r="I53" s="1">
        <v>20219</v>
      </c>
    </row>
    <row r="54" spans="1:9" x14ac:dyDescent="0.2">
      <c r="A54" s="11">
        <v>63920</v>
      </c>
      <c r="B54" s="1">
        <v>4653</v>
      </c>
      <c r="C54" s="1">
        <v>4653</v>
      </c>
      <c r="D54" s="1">
        <v>4653</v>
      </c>
      <c r="E54" s="1">
        <v>4653</v>
      </c>
      <c r="F54" s="1">
        <v>4653</v>
      </c>
      <c r="H54" s="1">
        <v>3938</v>
      </c>
      <c r="I54" s="1">
        <v>21214</v>
      </c>
    </row>
    <row r="55" spans="1:9" x14ac:dyDescent="0.2">
      <c r="A55" s="11">
        <v>64285</v>
      </c>
      <c r="B55" s="1">
        <v>4793</v>
      </c>
      <c r="C55" s="1">
        <v>4793</v>
      </c>
      <c r="D55" s="1">
        <v>4793</v>
      </c>
      <c r="E55" s="1">
        <v>4793</v>
      </c>
      <c r="F55" s="1">
        <v>4793</v>
      </c>
      <c r="H55" s="1">
        <v>4057</v>
      </c>
      <c r="I55" s="1">
        <v>22259</v>
      </c>
    </row>
    <row r="56" spans="1:9" x14ac:dyDescent="0.2">
      <c r="A56" s="11">
        <v>64651</v>
      </c>
      <c r="B56" s="1">
        <v>4936</v>
      </c>
      <c r="C56" s="1">
        <v>4936</v>
      </c>
      <c r="D56" s="1">
        <v>4936</v>
      </c>
      <c r="E56" s="1">
        <v>4936</v>
      </c>
      <c r="F56" s="1">
        <v>4936</v>
      </c>
      <c r="H56" s="1">
        <v>4178</v>
      </c>
      <c r="I56" s="1">
        <v>23354</v>
      </c>
    </row>
    <row r="57" spans="1:9" x14ac:dyDescent="0.2">
      <c r="A57" s="11">
        <v>65016</v>
      </c>
      <c r="B57" s="1">
        <v>5084</v>
      </c>
      <c r="C57" s="1">
        <v>5084</v>
      </c>
      <c r="D57" s="1">
        <v>5084</v>
      </c>
      <c r="E57" s="1">
        <v>5084</v>
      </c>
      <c r="F57" s="1">
        <v>5084</v>
      </c>
      <c r="H57" s="1">
        <v>4304</v>
      </c>
      <c r="I57" s="1">
        <v>24504</v>
      </c>
    </row>
    <row r="58" spans="1:9" x14ac:dyDescent="0.2">
      <c r="A58" s="11">
        <v>65381</v>
      </c>
      <c r="B58" s="1">
        <v>5237</v>
      </c>
      <c r="C58" s="1">
        <v>5237</v>
      </c>
      <c r="D58" s="1">
        <v>5237</v>
      </c>
      <c r="E58" s="1">
        <v>5237</v>
      </c>
      <c r="F58" s="1">
        <v>5237</v>
      </c>
      <c r="H58" s="1">
        <v>4433</v>
      </c>
      <c r="I58" s="1">
        <v>25710</v>
      </c>
    </row>
    <row r="59" spans="1:9" x14ac:dyDescent="0.2">
      <c r="A59" s="11">
        <v>65746</v>
      </c>
      <c r="B59" s="1">
        <v>5394</v>
      </c>
      <c r="C59" s="1">
        <v>5394</v>
      </c>
      <c r="D59" s="1">
        <v>5394</v>
      </c>
      <c r="E59" s="1">
        <v>5394</v>
      </c>
      <c r="F59" s="1">
        <v>5394</v>
      </c>
      <c r="H59" s="1">
        <v>4566</v>
      </c>
      <c r="I59" s="1">
        <v>26976</v>
      </c>
    </row>
    <row r="60" spans="1:9" x14ac:dyDescent="0.2">
      <c r="A60" s="11">
        <v>66112</v>
      </c>
      <c r="B60" s="1">
        <v>5556</v>
      </c>
      <c r="C60" s="1">
        <v>5556</v>
      </c>
      <c r="D60" s="1">
        <v>5556</v>
      </c>
      <c r="E60" s="1">
        <v>5556</v>
      </c>
      <c r="F60" s="1">
        <v>5556</v>
      </c>
      <c r="H60" s="1">
        <v>4703</v>
      </c>
      <c r="I60" s="1">
        <v>27584</v>
      </c>
    </row>
    <row r="61" spans="1:9" x14ac:dyDescent="0.2">
      <c r="A61" s="11">
        <v>66477</v>
      </c>
      <c r="B61" s="1">
        <v>5723</v>
      </c>
      <c r="C61" s="1">
        <v>5723</v>
      </c>
      <c r="D61" s="1">
        <v>5723</v>
      </c>
      <c r="E61" s="1">
        <v>5723</v>
      </c>
      <c r="F61" s="1">
        <v>5723</v>
      </c>
      <c r="H61" s="1">
        <v>4844</v>
      </c>
      <c r="I61" s="1">
        <v>28205</v>
      </c>
    </row>
    <row r="62" spans="1:9" x14ac:dyDescent="0.2">
      <c r="A62" s="11">
        <v>66842</v>
      </c>
      <c r="B62" s="1">
        <v>5894</v>
      </c>
      <c r="C62" s="1">
        <v>5894</v>
      </c>
      <c r="D62" s="1">
        <v>5894</v>
      </c>
      <c r="E62" s="1">
        <v>5894</v>
      </c>
      <c r="F62" s="1">
        <v>5894</v>
      </c>
      <c r="H62" s="1">
        <v>4989</v>
      </c>
      <c r="I62" s="1">
        <v>28841</v>
      </c>
    </row>
    <row r="63" spans="1:9" x14ac:dyDescent="0.2">
      <c r="A63" s="11">
        <v>67207</v>
      </c>
      <c r="B63" s="1">
        <v>6071</v>
      </c>
      <c r="C63" s="1">
        <v>6071</v>
      </c>
      <c r="D63" s="1">
        <v>6071</v>
      </c>
      <c r="E63" s="1">
        <v>6071</v>
      </c>
      <c r="F63" s="1">
        <v>6071</v>
      </c>
      <c r="H63" s="1">
        <v>5139</v>
      </c>
      <c r="I63" s="1">
        <v>29491</v>
      </c>
    </row>
    <row r="64" spans="1:9" x14ac:dyDescent="0.2">
      <c r="A64" s="11">
        <v>67573</v>
      </c>
      <c r="B64" s="1">
        <v>6253</v>
      </c>
      <c r="C64" s="1">
        <v>6253</v>
      </c>
      <c r="D64" s="1">
        <v>6253</v>
      </c>
      <c r="E64" s="1">
        <v>6253</v>
      </c>
      <c r="F64" s="1">
        <v>6253</v>
      </c>
      <c r="H64" s="1">
        <v>5293</v>
      </c>
      <c r="I64" s="1">
        <v>30156</v>
      </c>
    </row>
    <row r="65" spans="1:9" x14ac:dyDescent="0.2">
      <c r="A65" s="11">
        <v>67938</v>
      </c>
      <c r="B65" s="1">
        <v>6441</v>
      </c>
      <c r="C65" s="1">
        <v>6441</v>
      </c>
      <c r="D65" s="1">
        <v>6441</v>
      </c>
      <c r="E65" s="1">
        <v>6441</v>
      </c>
      <c r="F65" s="1">
        <v>6441</v>
      </c>
      <c r="H65" s="1">
        <v>5452</v>
      </c>
      <c r="I65" s="1">
        <v>30835</v>
      </c>
    </row>
    <row r="66" spans="1:9" x14ac:dyDescent="0.2">
      <c r="A66" s="11">
        <v>68303</v>
      </c>
      <c r="B66" s="1">
        <v>6634</v>
      </c>
      <c r="C66" s="1">
        <v>6634</v>
      </c>
      <c r="D66" s="1">
        <v>6634</v>
      </c>
      <c r="E66" s="1">
        <v>6634</v>
      </c>
      <c r="F66" s="1">
        <v>6634</v>
      </c>
      <c r="H66" s="1">
        <v>5615</v>
      </c>
      <c r="I66" s="1">
        <v>31530</v>
      </c>
    </row>
    <row r="67" spans="1:9" x14ac:dyDescent="0.2">
      <c r="A67" s="11">
        <v>68668</v>
      </c>
      <c r="B67" s="1">
        <v>6833</v>
      </c>
      <c r="C67" s="1">
        <v>6833</v>
      </c>
      <c r="D67" s="1">
        <v>6833</v>
      </c>
      <c r="E67" s="1">
        <v>6833</v>
      </c>
      <c r="F67" s="1">
        <v>6833</v>
      </c>
      <c r="H67" s="1">
        <v>5784</v>
      </c>
      <c r="I67" s="1">
        <v>32241</v>
      </c>
    </row>
    <row r="68" spans="1:9" x14ac:dyDescent="0.2">
      <c r="A68" s="11">
        <v>69034</v>
      </c>
      <c r="B68" s="1">
        <v>7038</v>
      </c>
      <c r="C68" s="1">
        <v>7038</v>
      </c>
      <c r="D68" s="1">
        <v>7038</v>
      </c>
      <c r="E68" s="1">
        <v>7038</v>
      </c>
      <c r="F68" s="1">
        <v>7038</v>
      </c>
      <c r="H68" s="1">
        <v>5957</v>
      </c>
      <c r="I68" s="1">
        <v>32967</v>
      </c>
    </row>
    <row r="69" spans="1:9" x14ac:dyDescent="0.2">
      <c r="A69" s="11">
        <v>69399</v>
      </c>
      <c r="B69" s="1">
        <v>7249</v>
      </c>
      <c r="C69" s="1">
        <v>7249</v>
      </c>
      <c r="D69" s="1">
        <v>7249</v>
      </c>
      <c r="E69" s="1">
        <v>7249</v>
      </c>
      <c r="F69" s="1">
        <v>7249</v>
      </c>
      <c r="H69" s="1">
        <v>6136</v>
      </c>
      <c r="I69" s="1">
        <v>33710</v>
      </c>
    </row>
    <row r="70" spans="1:9" x14ac:dyDescent="0.2">
      <c r="A70" s="11">
        <v>69764</v>
      </c>
      <c r="B70" s="1">
        <v>7467</v>
      </c>
      <c r="C70" s="1">
        <v>7467</v>
      </c>
      <c r="D70" s="1">
        <v>7467</v>
      </c>
      <c r="E70" s="1">
        <v>7467</v>
      </c>
      <c r="F70" s="1">
        <v>7467</v>
      </c>
      <c r="H70" s="1">
        <v>6320</v>
      </c>
      <c r="I70" s="1">
        <v>34897</v>
      </c>
    </row>
    <row r="71" spans="1:9" x14ac:dyDescent="0.2">
      <c r="A71" s="11">
        <v>70129</v>
      </c>
      <c r="B71" s="1">
        <v>7691</v>
      </c>
      <c r="C71" s="1">
        <v>7691</v>
      </c>
      <c r="D71" s="1">
        <v>7691</v>
      </c>
      <c r="E71" s="1">
        <v>7691</v>
      </c>
      <c r="F71" s="1">
        <v>7691</v>
      </c>
      <c r="H71" s="1">
        <v>6510</v>
      </c>
      <c r="I71" s="1">
        <v>36127</v>
      </c>
    </row>
    <row r="72" spans="1:9" x14ac:dyDescent="0.2">
      <c r="A72" s="11">
        <v>70495</v>
      </c>
      <c r="B72" s="1">
        <v>7921</v>
      </c>
      <c r="C72" s="1">
        <v>7921</v>
      </c>
      <c r="D72" s="1">
        <v>7921</v>
      </c>
      <c r="E72" s="1">
        <v>7921</v>
      </c>
      <c r="F72" s="1">
        <v>7921</v>
      </c>
      <c r="H72" s="1">
        <v>6705</v>
      </c>
      <c r="I72" s="1">
        <v>37399</v>
      </c>
    </row>
    <row r="73" spans="1:9" x14ac:dyDescent="0.2">
      <c r="A73" s="11">
        <v>70860</v>
      </c>
      <c r="B73" s="1">
        <v>8080</v>
      </c>
      <c r="C73" s="1">
        <v>8080</v>
      </c>
      <c r="D73" s="1">
        <v>8080</v>
      </c>
      <c r="E73" s="1">
        <v>8080</v>
      </c>
      <c r="F73" s="1">
        <v>8080</v>
      </c>
      <c r="H73" s="1">
        <v>6839</v>
      </c>
      <c r="I73" s="1">
        <v>38717</v>
      </c>
    </row>
    <row r="74" spans="1:9" x14ac:dyDescent="0.2">
      <c r="A74" s="11">
        <v>71225</v>
      </c>
      <c r="B74" s="1">
        <v>8242</v>
      </c>
      <c r="C74" s="1">
        <v>8242</v>
      </c>
      <c r="D74" s="1">
        <v>8242</v>
      </c>
      <c r="E74" s="1">
        <v>8242</v>
      </c>
      <c r="F74" s="1">
        <v>8242</v>
      </c>
      <c r="H74" s="1">
        <v>6976</v>
      </c>
      <c r="I74" s="1">
        <v>40080</v>
      </c>
    </row>
    <row r="75" spans="1:9" x14ac:dyDescent="0.2">
      <c r="A75" s="11">
        <v>71590</v>
      </c>
      <c r="B75" s="1">
        <v>8406</v>
      </c>
      <c r="C75" s="1">
        <v>8406</v>
      </c>
      <c r="D75" s="1">
        <v>8406</v>
      </c>
      <c r="E75" s="1">
        <v>8406</v>
      </c>
      <c r="F75" s="1">
        <v>8406</v>
      </c>
      <c r="H75" s="1">
        <v>7115</v>
      </c>
      <c r="I75" s="1">
        <v>41492</v>
      </c>
    </row>
    <row r="76" spans="1:9" x14ac:dyDescent="0.2">
      <c r="A76" s="11">
        <v>71956</v>
      </c>
      <c r="B76" s="1">
        <v>8574</v>
      </c>
      <c r="C76" s="1">
        <v>8574</v>
      </c>
      <c r="D76" s="1">
        <v>8574</v>
      </c>
      <c r="E76" s="1">
        <v>8574</v>
      </c>
      <c r="F76" s="1">
        <v>8574</v>
      </c>
      <c r="H76" s="1">
        <v>7258</v>
      </c>
      <c r="I76" s="1">
        <v>42954</v>
      </c>
    </row>
    <row r="77" spans="1:9" x14ac:dyDescent="0.2">
      <c r="A77" s="11">
        <v>72321</v>
      </c>
      <c r="B77" s="1">
        <v>8746</v>
      </c>
      <c r="C77" s="1">
        <v>8746</v>
      </c>
      <c r="D77" s="1">
        <v>8746</v>
      </c>
      <c r="E77" s="1">
        <v>8746</v>
      </c>
      <c r="F77" s="1">
        <v>8746</v>
      </c>
      <c r="H77" s="1">
        <v>7403</v>
      </c>
      <c r="I77" s="1">
        <v>44467</v>
      </c>
    </row>
    <row r="78" spans="1:9" x14ac:dyDescent="0.2">
      <c r="A78" s="11">
        <v>72686</v>
      </c>
      <c r="B78" s="1">
        <v>8921</v>
      </c>
      <c r="C78" s="1">
        <v>8921</v>
      </c>
      <c r="D78" s="1">
        <v>8921</v>
      </c>
      <c r="E78" s="1">
        <v>8921</v>
      </c>
      <c r="F78" s="1">
        <v>8921</v>
      </c>
      <c r="H78" s="1">
        <v>7551</v>
      </c>
      <c r="I78" s="1">
        <v>46033</v>
      </c>
    </row>
    <row r="79" spans="1:9" x14ac:dyDescent="0.2">
      <c r="A79" s="11">
        <v>73051</v>
      </c>
      <c r="B79" s="1">
        <v>9099</v>
      </c>
      <c r="C79" s="1">
        <v>9099</v>
      </c>
      <c r="D79" s="1">
        <v>9099</v>
      </c>
      <c r="E79" s="1">
        <v>9099</v>
      </c>
      <c r="F79" s="1">
        <v>9099</v>
      </c>
      <c r="H79" s="1">
        <v>7702</v>
      </c>
      <c r="I79" s="1">
        <v>47654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156B4-51E7-A648-9A62-06CC740EFA85}">
  <sheetPr codeName="Ark6"/>
  <dimension ref="A1:L29"/>
  <sheetViews>
    <sheetView workbookViewId="0">
      <selection activeCell="I23" sqref="I23"/>
    </sheetView>
  </sheetViews>
  <sheetFormatPr baseColWidth="10" defaultRowHeight="16" x14ac:dyDescent="0.2"/>
  <sheetData>
    <row r="1" spans="1:12" x14ac:dyDescent="0.2">
      <c r="A1" t="s">
        <v>19</v>
      </c>
      <c r="B1" t="s">
        <v>86</v>
      </c>
      <c r="C1" t="s">
        <v>87</v>
      </c>
      <c r="D1" t="s">
        <v>88</v>
      </c>
      <c r="L1">
        <v>1</v>
      </c>
    </row>
    <row r="2" spans="1:12" x14ac:dyDescent="0.2">
      <c r="A2">
        <v>2023</v>
      </c>
      <c r="B2" s="13">
        <v>1559</v>
      </c>
      <c r="C2" s="13">
        <v>598</v>
      </c>
      <c r="D2" s="15">
        <v>1470</v>
      </c>
    </row>
    <row r="3" spans="1:12" x14ac:dyDescent="0.2">
      <c r="A3">
        <f>A2+$L$1</f>
        <v>2024</v>
      </c>
      <c r="B3" s="14">
        <v>1724</v>
      </c>
      <c r="C3" s="14">
        <v>627</v>
      </c>
      <c r="D3" s="16">
        <v>1679</v>
      </c>
    </row>
    <row r="4" spans="1:12" x14ac:dyDescent="0.2">
      <c r="A4">
        <f t="shared" ref="A4:A29" si="0">A3+$L$1</f>
        <v>2025</v>
      </c>
      <c r="B4" s="13">
        <v>1907</v>
      </c>
      <c r="C4" s="13">
        <v>654</v>
      </c>
      <c r="D4" s="17">
        <v>1918</v>
      </c>
    </row>
    <row r="5" spans="1:12" x14ac:dyDescent="0.2">
      <c r="A5">
        <f t="shared" si="0"/>
        <v>2026</v>
      </c>
      <c r="B5" s="14">
        <v>2121</v>
      </c>
      <c r="C5" s="14">
        <v>686</v>
      </c>
      <c r="D5" s="16">
        <v>2096</v>
      </c>
    </row>
    <row r="6" spans="1:12" x14ac:dyDescent="0.2">
      <c r="A6">
        <f t="shared" si="0"/>
        <v>2027</v>
      </c>
      <c r="B6" s="13">
        <v>2230</v>
      </c>
      <c r="C6" s="13">
        <v>703</v>
      </c>
      <c r="D6" s="15">
        <v>2291</v>
      </c>
    </row>
    <row r="7" spans="1:12" x14ac:dyDescent="0.2">
      <c r="A7">
        <f t="shared" si="0"/>
        <v>2028</v>
      </c>
      <c r="B7" s="14">
        <v>2230</v>
      </c>
      <c r="C7" s="14">
        <v>721</v>
      </c>
      <c r="D7" s="16">
        <v>2504</v>
      </c>
    </row>
    <row r="8" spans="1:12" x14ac:dyDescent="0.2">
      <c r="A8">
        <f t="shared" si="0"/>
        <v>2029</v>
      </c>
      <c r="B8" s="13">
        <v>2230</v>
      </c>
      <c r="C8" s="13">
        <v>739</v>
      </c>
      <c r="D8" s="15">
        <v>2736</v>
      </c>
    </row>
    <row r="9" spans="1:12" x14ac:dyDescent="0.2">
      <c r="A9">
        <f t="shared" si="0"/>
        <v>2030</v>
      </c>
      <c r="B9" s="14">
        <v>2230</v>
      </c>
      <c r="C9" s="14">
        <v>757</v>
      </c>
      <c r="D9" s="18">
        <v>2990</v>
      </c>
    </row>
    <row r="10" spans="1:12" x14ac:dyDescent="0.2">
      <c r="A10">
        <f t="shared" si="0"/>
        <v>2031</v>
      </c>
      <c r="B10" s="13">
        <v>2230</v>
      </c>
      <c r="C10" s="13">
        <v>787</v>
      </c>
      <c r="D10" s="15">
        <v>3268</v>
      </c>
    </row>
    <row r="11" spans="1:12" x14ac:dyDescent="0.2">
      <c r="A11">
        <f t="shared" si="0"/>
        <v>2032</v>
      </c>
      <c r="B11" s="14">
        <v>2230</v>
      </c>
      <c r="C11" s="14">
        <v>819</v>
      </c>
      <c r="D11" s="16">
        <v>3572</v>
      </c>
    </row>
    <row r="12" spans="1:12" x14ac:dyDescent="0.2">
      <c r="A12">
        <f t="shared" si="0"/>
        <v>2033</v>
      </c>
      <c r="B12" s="13">
        <v>2230</v>
      </c>
      <c r="C12" s="13">
        <v>852</v>
      </c>
      <c r="D12" s="15">
        <v>3904</v>
      </c>
    </row>
    <row r="13" spans="1:12" x14ac:dyDescent="0.2">
      <c r="A13">
        <f t="shared" si="0"/>
        <v>2034</v>
      </c>
      <c r="B13" s="14">
        <v>2230</v>
      </c>
      <c r="C13" s="14">
        <v>886</v>
      </c>
      <c r="D13" s="16">
        <v>4267</v>
      </c>
    </row>
    <row r="14" spans="1:12" x14ac:dyDescent="0.2">
      <c r="A14">
        <f t="shared" si="0"/>
        <v>2035</v>
      </c>
      <c r="B14" s="13">
        <v>2230</v>
      </c>
      <c r="C14" s="13">
        <v>921</v>
      </c>
      <c r="D14" s="15">
        <v>4664</v>
      </c>
    </row>
    <row r="15" spans="1:12" x14ac:dyDescent="0.2">
      <c r="A15">
        <f t="shared" si="0"/>
        <v>2036</v>
      </c>
      <c r="B15" s="14">
        <v>2230</v>
      </c>
      <c r="C15" s="14">
        <v>958</v>
      </c>
      <c r="D15" s="16">
        <v>5098</v>
      </c>
    </row>
    <row r="16" spans="1:12" x14ac:dyDescent="0.2">
      <c r="A16">
        <f t="shared" si="0"/>
        <v>2037</v>
      </c>
      <c r="B16" s="13">
        <v>2230</v>
      </c>
      <c r="C16" s="13">
        <v>996</v>
      </c>
      <c r="D16" s="15">
        <v>5572</v>
      </c>
    </row>
    <row r="17" spans="1:4" x14ac:dyDescent="0.2">
      <c r="A17">
        <f t="shared" si="0"/>
        <v>2038</v>
      </c>
      <c r="B17" s="14">
        <v>2230</v>
      </c>
      <c r="C17" s="14">
        <v>1036</v>
      </c>
      <c r="D17" s="16">
        <v>6091</v>
      </c>
    </row>
    <row r="18" spans="1:4" x14ac:dyDescent="0.2">
      <c r="A18">
        <f t="shared" si="0"/>
        <v>2039</v>
      </c>
      <c r="B18" s="13">
        <v>2230</v>
      </c>
      <c r="C18" s="13">
        <v>1078</v>
      </c>
      <c r="D18" s="15">
        <v>6657</v>
      </c>
    </row>
    <row r="19" spans="1:4" x14ac:dyDescent="0.2">
      <c r="A19">
        <f t="shared" si="0"/>
        <v>2040</v>
      </c>
      <c r="B19" s="14">
        <v>2230</v>
      </c>
      <c r="C19" s="14">
        <v>1121</v>
      </c>
      <c r="D19" s="18">
        <v>7277</v>
      </c>
    </row>
    <row r="20" spans="1:4" x14ac:dyDescent="0.2">
      <c r="A20">
        <f t="shared" si="0"/>
        <v>2041</v>
      </c>
      <c r="B20" s="13">
        <v>2230</v>
      </c>
      <c r="C20" s="13">
        <v>1166</v>
      </c>
      <c r="D20" s="15">
        <v>7588</v>
      </c>
    </row>
    <row r="21" spans="1:4" x14ac:dyDescent="0.2">
      <c r="A21">
        <f t="shared" si="0"/>
        <v>2042</v>
      </c>
      <c r="B21" s="14">
        <v>2230</v>
      </c>
      <c r="C21" s="14">
        <v>1212</v>
      </c>
      <c r="D21" s="16">
        <v>7912</v>
      </c>
    </row>
    <row r="22" spans="1:4" x14ac:dyDescent="0.2">
      <c r="A22">
        <f t="shared" si="0"/>
        <v>2043</v>
      </c>
      <c r="B22" s="13">
        <v>2230</v>
      </c>
      <c r="C22" s="13">
        <v>1261</v>
      </c>
      <c r="D22" s="15">
        <v>8250</v>
      </c>
    </row>
    <row r="23" spans="1:4" x14ac:dyDescent="0.2">
      <c r="A23">
        <f t="shared" si="0"/>
        <v>2044</v>
      </c>
      <c r="B23" s="14">
        <v>2230</v>
      </c>
      <c r="C23" s="14">
        <v>1311</v>
      </c>
      <c r="D23" s="16">
        <v>8603</v>
      </c>
    </row>
    <row r="24" spans="1:4" x14ac:dyDescent="0.2">
      <c r="A24">
        <f t="shared" si="0"/>
        <v>2045</v>
      </c>
      <c r="B24" s="13">
        <v>2230</v>
      </c>
      <c r="C24" s="13">
        <v>1364</v>
      </c>
      <c r="D24" s="15">
        <v>8971</v>
      </c>
    </row>
    <row r="25" spans="1:4" x14ac:dyDescent="0.2">
      <c r="A25">
        <f t="shared" si="0"/>
        <v>2046</v>
      </c>
      <c r="B25" s="14">
        <v>2230</v>
      </c>
      <c r="C25" s="14">
        <v>1418</v>
      </c>
      <c r="D25" s="16">
        <v>9355</v>
      </c>
    </row>
    <row r="26" spans="1:4" x14ac:dyDescent="0.2">
      <c r="A26">
        <f t="shared" si="0"/>
        <v>2047</v>
      </c>
      <c r="B26" s="13">
        <v>2230</v>
      </c>
      <c r="C26" s="13">
        <v>1475</v>
      </c>
      <c r="D26" s="15">
        <v>9755</v>
      </c>
    </row>
    <row r="27" spans="1:4" x14ac:dyDescent="0.2">
      <c r="A27">
        <f t="shared" si="0"/>
        <v>2048</v>
      </c>
      <c r="B27" s="14">
        <v>2230</v>
      </c>
      <c r="C27" s="14">
        <v>1534</v>
      </c>
      <c r="D27" s="16">
        <v>10172</v>
      </c>
    </row>
    <row r="28" spans="1:4" x14ac:dyDescent="0.2">
      <c r="A28">
        <f t="shared" si="0"/>
        <v>2049</v>
      </c>
      <c r="B28" s="13">
        <v>2230</v>
      </c>
      <c r="C28" s="13">
        <v>1595</v>
      </c>
      <c r="D28" s="15">
        <v>10607</v>
      </c>
    </row>
    <row r="29" spans="1:4" x14ac:dyDescent="0.2">
      <c r="A29">
        <f t="shared" si="0"/>
        <v>2050</v>
      </c>
      <c r="B29" s="14">
        <v>2230</v>
      </c>
      <c r="C29" s="14">
        <v>1659</v>
      </c>
      <c r="D29" s="18">
        <v>11060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Regneark</vt:lpstr>
      </vt:variant>
      <vt:variant>
        <vt:i4>18</vt:i4>
      </vt:variant>
      <vt:variant>
        <vt:lpstr>Diagrammer</vt:lpstr>
      </vt:variant>
      <vt:variant>
        <vt:i4>1</vt:i4>
      </vt:variant>
    </vt:vector>
  </HeadingPairs>
  <TitlesOfParts>
    <vt:vector size="19" baseType="lpstr">
      <vt:lpstr>kladd4</vt:lpstr>
      <vt:lpstr>kladd3</vt:lpstr>
      <vt:lpstr>kladd2</vt:lpstr>
      <vt:lpstr>Priser</vt:lpstr>
      <vt:lpstr>LNG produksjon</vt:lpstr>
      <vt:lpstr>Resultater</vt:lpstr>
      <vt:lpstr>kladd</vt:lpstr>
      <vt:lpstr>utkast1</vt:lpstr>
      <vt:lpstr>Usikkerhetsanalyse</vt:lpstr>
      <vt:lpstr>El-markedet 2</vt:lpstr>
      <vt:lpstr>Figurer1</vt:lpstr>
      <vt:lpstr>Ark2</vt:lpstr>
      <vt:lpstr>kladd5</vt:lpstr>
      <vt:lpstr>utslipp2</vt:lpstr>
      <vt:lpstr>El-markedet</vt:lpstr>
      <vt:lpstr>Utslipp</vt:lpstr>
      <vt:lpstr>Orginal karbonprisprisbane 2023</vt:lpstr>
      <vt:lpstr>Prisbane 2023</vt:lpstr>
      <vt:lpstr>Nåverdi kontantstrøm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Karlsen</dc:creator>
  <cp:lastModifiedBy>Kristina Bergum Karlsen</cp:lastModifiedBy>
  <dcterms:created xsi:type="dcterms:W3CDTF">2024-01-27T23:39:40Z</dcterms:created>
  <dcterms:modified xsi:type="dcterms:W3CDTF">2024-02-21T14:31:51Z</dcterms:modified>
</cp:coreProperties>
</file>