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ownloads\"/>
    </mc:Choice>
  </mc:AlternateContent>
  <xr:revisionPtr revIDLastSave="0" documentId="8_{40C3F3B5-A4AD-4973-BD77-431698E59E66}" xr6:coauthVersionLast="40" xr6:coauthVersionMax="40" xr10:uidLastSave="{00000000-0000-0000-0000-000000000000}"/>
  <bookViews>
    <workbookView xWindow="0" yWindow="0" windowWidth="20490" windowHeight="7695" xr2:uid="{00000000-000D-0000-FFFF-FFFF00000000}"/>
  </bookViews>
  <sheets>
    <sheet name="Billing_Tangbull_2018-12-10 (2)" sheetId="4" r:id="rId1"/>
  </sheets>
  <calcPr calcId="191029"/>
</workbook>
</file>

<file path=xl/calcChain.xml><?xml version="1.0" encoding="utf-8"?>
<calcChain xmlns="http://schemas.openxmlformats.org/spreadsheetml/2006/main">
  <c r="N425" i="4" l="1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9" i="4"/>
  <c r="L10" i="4"/>
  <c r="L11" i="4"/>
  <c r="L12" i="4"/>
  <c r="L13" i="4"/>
  <c r="L8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L428" i="4" l="1"/>
  <c r="L426" i="4"/>
  <c r="L427" i="4"/>
</calcChain>
</file>

<file path=xl/sharedStrings.xml><?xml version="1.0" encoding="utf-8"?>
<sst xmlns="http://schemas.openxmlformats.org/spreadsheetml/2006/main" count="1278" uniqueCount="27">
  <si>
    <t>Billing Report</t>
  </si>
  <si>
    <t>Client Name</t>
  </si>
  <si>
    <t>: Tangbull</t>
  </si>
  <si>
    <t>Bank Name</t>
  </si>
  <si>
    <t>: ALL</t>
  </si>
  <si>
    <t>Date</t>
  </si>
  <si>
    <t>NO.</t>
  </si>
  <si>
    <t>MERCHANT NAME</t>
  </si>
  <si>
    <t>PAYMENT CHANNEL NAME</t>
  </si>
  <si>
    <t>DATE TRX</t>
  </si>
  <si>
    <t>INVOICE</t>
  </si>
  <si>
    <t>STATUS</t>
  </si>
  <si>
    <t>CUSTOMER NAME</t>
  </si>
  <si>
    <t>PAYCODE</t>
  </si>
  <si>
    <t>AMOUNT</t>
  </si>
  <si>
    <t>APPROVAL CODE</t>
  </si>
  <si>
    <t>FEE</t>
  </si>
  <si>
    <t>PAY TO MERCHANT</t>
  </si>
  <si>
    <t>PAY OUT DATE</t>
  </si>
  <si>
    <t>PAYMENT NTB</t>
  </si>
  <si>
    <t>Tangbull</t>
  </si>
  <si>
    <t>BNI - VA</t>
  </si>
  <si>
    <t>Purchase</t>
  </si>
  <si>
    <t>TOTAL AMOUNT</t>
  </si>
  <si>
    <t>BILLING TO Tangbull</t>
  </si>
  <si>
    <t>BILLING TO MYPOUCH</t>
  </si>
  <si>
    <t>: 18 December 2018 - 18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</si>
</sst>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&quot;Rp&quot;#,##0;[Red]&quot;Rp&quot;#,##0"/>
    <numFmt numFmtId="165" formatCode="_-[$Rp-3809]* #,##0.00_-;\-[$Rp-3809]* #,##0.00_-;_-[$Rp-3809]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7AB7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8"/>
      <color rgb="FF333333"/>
      <name val="Inheri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0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5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9" fillId="33" borderId="0" xfId="0" applyFont="1" applyFill="1"/>
    <xf numFmtId="0" fontId="20" fillId="33" borderId="10" xfId="0" applyFont="1" applyFill="1" applyBorder="1" applyAlignment="1">
      <alignment horizontal="left" vertical="center" wrapText="1"/>
    </xf>
    <xf numFmtId="0" fontId="20" fillId="34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wrapText="1"/>
    </xf>
    <xf numFmtId="49" fontId="19" fillId="33" borderId="10" xfId="0" applyNumberFormat="1" applyFont="1" applyFill="1" applyBorder="1" applyAlignment="1">
      <alignment wrapText="1"/>
    </xf>
    <xf numFmtId="14" fontId="19" fillId="33" borderId="10" xfId="0" applyNumberFormat="1" applyFont="1" applyFill="1" applyBorder="1" applyAlignment="1">
      <alignment wrapText="1"/>
    </xf>
    <xf numFmtId="0" fontId="19" fillId="33" borderId="14" xfId="0" applyFont="1" applyFill="1" applyBorder="1"/>
    <xf numFmtId="0" fontId="19" fillId="33" borderId="15" xfId="0" applyFont="1" applyFill="1" applyBorder="1"/>
    <xf numFmtId="0" fontId="19" fillId="33" borderId="10" xfId="0" applyFont="1" applyFill="1" applyBorder="1" applyAlignment="1">
      <alignment horizontal="center" vertical="center" wrapText="1"/>
    </xf>
    <xf numFmtId="164" fontId="19" fillId="33" borderId="10" xfId="0" applyNumberFormat="1" applyFont="1" applyFill="1" applyBorder="1" applyAlignment="1">
      <alignment wrapText="1"/>
    </xf>
    <xf numFmtId="165" fontId="19" fillId="33" borderId="10" xfId="0" applyNumberFormat="1" applyFont="1" applyFill="1" applyBorder="1" applyAlignment="1">
      <alignment wrapText="1"/>
    </xf>
    <xf numFmtId="165" fontId="19" fillId="33" borderId="0" xfId="0" applyNumberFormat="1" applyFont="1" applyFill="1"/>
    <xf numFmtId="42" fontId="19" fillId="33" borderId="0" xfId="0" applyNumberFormat="1" applyFont="1" applyFill="1"/>
    <xf numFmtId="0" fontId="21" fillId="33" borderId="11" xfId="0" applyFont="1" applyFill="1" applyBorder="1" applyAlignment="1">
      <alignment horizontal="left" vertical="center" wrapText="1"/>
    </xf>
    <xf numFmtId="0" fontId="21" fillId="33" borderId="12" xfId="0" applyFont="1" applyFill="1" applyBorder="1" applyAlignment="1">
      <alignment horizontal="left" vertical="center" wrapText="1"/>
    </xf>
    <xf numFmtId="0" fontId="21" fillId="33" borderId="13" xfId="0" applyFont="1" applyFill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left" vertical="center" wrapText="1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 wrapText="1"/>
    </xf>
    <xf numFmtId="42" fontId="20" fillId="35" borderId="11" xfId="0" applyNumberFormat="1" applyFont="1" applyFill="1" applyBorder="1" applyAlignment="1">
      <alignment wrapText="1"/>
    </xf>
    <xf numFmtId="42" fontId="20" fillId="35" borderId="13" xfId="0" applyNumberFormat="1" applyFont="1" applyFill="1" applyBorder="1" applyAlignment="1">
      <alignment wrapText="1"/>
    </xf>
    <xf numFmtId="42" fontId="20" fillId="35" borderId="11" xfId="1" applyFont="1" applyFill="1" applyBorder="1" applyAlignment="1">
      <alignment wrapText="1"/>
    </xf>
    <xf numFmtId="42" fontId="20" fillId="35" borderId="13" xfId="1" applyFont="1" applyFill="1" applyBorder="1" applyAlignment="1">
      <alignment wrapText="1"/>
    </xf>
    <xf numFmtId="0" fontId="20" fillId="35" borderId="11" xfId="0" applyFont="1" applyFill="1" applyBorder="1" applyAlignment="1">
      <alignment horizontal="center" wrapText="1"/>
    </xf>
    <xf numFmtId="0" fontId="20" fillId="35" borderId="12" xfId="0" applyFont="1" applyFill="1" applyBorder="1" applyAlignment="1">
      <alignment horizontal="center" wrapText="1"/>
    </xf>
    <xf numFmtId="0" fontId="20" fillId="35" borderId="13" xfId="0" applyFont="1" applyFill="1" applyBorder="1" applyAlignment="1">
      <alignment horizontal="center" wrapText="1"/>
    </xf>
    <xf numFmtId="0" fontId="0" fillId="0" borderId="10" xfId="0" applyBorder="1"/>
    <xf numFmtId="42" fontId="0" fillId="0" borderId="10" xfId="1" applyFon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[0]" xfId="1" builtinId="7"/>
    <cellStyle name="Explanatory Text" xfId="17" builtinId="53" customBuiltin="1"/>
    <cellStyle name="Followed Hyperlink" xfId="44" builtinId="9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73C2-AABD-49E5-B509-5A07E4CE5A52}">
  <dimension ref="A1:N430"/>
  <sheetViews>
    <sheetView showGridLines="0" tabSelected="1" topLeftCell="F414" workbookViewId="0">
      <selection activeCell="M424" sqref="M424"/>
    </sheetView>
  </sheetViews>
  <sheetFormatPr defaultRowHeight="14.25"/>
  <cols>
    <col min="1" max="1" width="13.42578125" style="1" bestFit="1" customWidth="1"/>
    <col min="2" max="2" width="20.28515625" style="1" bestFit="1" customWidth="1"/>
    <col min="3" max="3" width="29.7109375" style="1" bestFit="1" customWidth="1"/>
    <col min="4" max="4" width="18.28515625" style="1" bestFit="1" customWidth="1"/>
    <col min="5" max="5" width="24.28515625" style="1" bestFit="1" customWidth="1"/>
    <col min="6" max="6" width="10" style="1" bestFit="1" customWidth="1"/>
    <col min="7" max="7" width="35" style="1" bestFit="1" customWidth="1"/>
    <col min="8" max="8" width="17.28515625" style="1" bestFit="1" customWidth="1"/>
    <col min="9" max="9" width="17" style="1" bestFit="1" customWidth="1"/>
    <col min="10" max="10" width="19.42578125" style="1" bestFit="1" customWidth="1"/>
    <col min="11" max="11" width="10" style="1" bestFit="1" customWidth="1"/>
    <col min="12" max="12" width="22.140625" style="1" bestFit="1" customWidth="1"/>
    <col min="13" max="13" width="16.85546875" style="1" bestFit="1" customWidth="1"/>
    <col min="14" max="14" width="16.7109375" style="1" bestFit="1" customWidth="1"/>
    <col min="15" max="16384" width="9.140625" style="1"/>
  </cols>
  <sheetData>
    <row r="1" spans="1:14" ht="23.25" customHeight="1">
      <c r="A1" s="14" t="s">
        <v>0</v>
      </c>
      <c r="B1" s="15"/>
      <c r="C1" s="15"/>
      <c r="D1" s="15"/>
      <c r="E1" s="15"/>
      <c r="F1" s="15"/>
      <c r="G1" s="16"/>
    </row>
    <row r="3" spans="1:14" ht="15" customHeight="1">
      <c r="A3" s="2" t="s">
        <v>1</v>
      </c>
      <c r="B3" s="17" t="s">
        <v>2</v>
      </c>
      <c r="C3" s="18"/>
      <c r="D3" s="18"/>
      <c r="E3" s="18"/>
      <c r="F3" s="18"/>
      <c r="G3" s="19"/>
    </row>
    <row r="4" spans="1:14" ht="15" customHeight="1">
      <c r="A4" s="2" t="s">
        <v>3</v>
      </c>
      <c r="B4" s="17" t="s">
        <v>4</v>
      </c>
      <c r="C4" s="18"/>
      <c r="D4" s="18"/>
      <c r="E4" s="18"/>
      <c r="F4" s="18"/>
      <c r="G4" s="19"/>
    </row>
    <row r="5" spans="1:14" ht="15" customHeight="1">
      <c r="A5" s="2" t="s">
        <v>5</v>
      </c>
      <c r="B5" s="17" t="s">
        <v>26</v>
      </c>
      <c r="C5" s="18"/>
      <c r="D5" s="18"/>
      <c r="E5" s="18"/>
      <c r="F5" s="18"/>
      <c r="G5" s="19"/>
    </row>
    <row r="7" spans="1:14" ht="1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</row>
    <row r="8" spans="1:14" ht="15">
      <c r="A8" s="9">
        <v>1</v>
      </c>
      <c r="B8" s="4" t="s">
        <v>20</v>
      </c>
      <c r="C8" s="5" t="s">
        <v>21</v>
      </c>
      <c r="D8" s="27" t="str">
        <f>"2018-12-18 23:45:08"</f>
        <v>2018-12-18 23:45:08</v>
      </c>
      <c r="E8" s="27" t="str">
        <f>"15414696037117275145"</f>
        <v>15414696037117275145</v>
      </c>
      <c r="F8" s="4" t="s">
        <v>22</v>
      </c>
      <c r="G8" s="27" t="str">
        <f>"mohamad januri"</f>
        <v>mohamad januri</v>
      </c>
      <c r="H8" s="27" t="str">
        <f>"8827181106090003"</f>
        <v>8827181106090003</v>
      </c>
      <c r="I8" s="28">
        <v>768600</v>
      </c>
      <c r="J8" s="4"/>
      <c r="K8" s="10">
        <v>3900</v>
      </c>
      <c r="L8" s="11">
        <f>(I8-K8)</f>
        <v>764700</v>
      </c>
      <c r="M8" s="6">
        <v>43453</v>
      </c>
      <c r="N8" s="27" t="str">
        <f>"942076"</f>
        <v>942076</v>
      </c>
    </row>
    <row r="9" spans="1:14" ht="15">
      <c r="A9" s="9">
        <v>2</v>
      </c>
      <c r="B9" s="4" t="s">
        <v>20</v>
      </c>
      <c r="C9" s="5" t="s">
        <v>21</v>
      </c>
      <c r="D9" s="27" t="str">
        <f>"2018-12-18 23:17:40"</f>
        <v>2018-12-18 23:17:40</v>
      </c>
      <c r="E9" s="27" t="str">
        <f>"15415159503344356456"</f>
        <v>15415159503344356456</v>
      </c>
      <c r="F9" s="4" t="s">
        <v>22</v>
      </c>
      <c r="G9" s="27" t="str">
        <f>"ROOS DANDUNG WIDIANTO"</f>
        <v>ROOS DANDUNG WIDIANTO</v>
      </c>
      <c r="H9" s="27" t="str">
        <f>"8827181106215201"</f>
        <v>8827181106215201</v>
      </c>
      <c r="I9" s="28">
        <v>1552500</v>
      </c>
      <c r="J9" s="4"/>
      <c r="K9" s="10">
        <v>3900</v>
      </c>
      <c r="L9" s="11">
        <f t="shared" ref="L9:L72" si="0">(I9-K9)</f>
        <v>1548600</v>
      </c>
      <c r="M9" s="6">
        <v>43453</v>
      </c>
      <c r="N9" s="27" t="str">
        <f>"936007"</f>
        <v>936007</v>
      </c>
    </row>
    <row r="10" spans="1:14" ht="15">
      <c r="A10" s="9">
        <v>3</v>
      </c>
      <c r="B10" s="4" t="s">
        <v>20</v>
      </c>
      <c r="C10" s="5" t="s">
        <v>21</v>
      </c>
      <c r="D10" s="27" t="str">
        <f>"2018-12-18 23:10:48"</f>
        <v>2018-12-18 23:10:48</v>
      </c>
      <c r="E10" s="27" t="str">
        <f>"15420149241068356021"</f>
        <v>15420149241068356021</v>
      </c>
      <c r="F10" s="4" t="s">
        <v>22</v>
      </c>
      <c r="G10" s="27" t="str">
        <f>"Rezki Diraja Ramadhan"</f>
        <v>Rezki Diraja Ramadhan</v>
      </c>
      <c r="H10" s="27" t="str">
        <f>"8827181112162804"</f>
        <v>8827181112162804</v>
      </c>
      <c r="I10" s="28">
        <v>1318800</v>
      </c>
      <c r="J10" s="4"/>
      <c r="K10" s="10">
        <v>3900</v>
      </c>
      <c r="L10" s="11">
        <f t="shared" si="0"/>
        <v>1314900</v>
      </c>
      <c r="M10" s="6">
        <v>43453</v>
      </c>
      <c r="N10" s="27" t="str">
        <f>"902132"</f>
        <v>902132</v>
      </c>
    </row>
    <row r="11" spans="1:14" ht="15">
      <c r="A11" s="9">
        <v>4</v>
      </c>
      <c r="B11" s="4" t="s">
        <v>20</v>
      </c>
      <c r="C11" s="5" t="s">
        <v>21</v>
      </c>
      <c r="D11" s="27" t="str">
        <f>"2018-12-18 23:06:36"</f>
        <v>2018-12-18 23:06:36</v>
      </c>
      <c r="E11" s="27" t="str">
        <f>"15412531931507978110"</f>
        <v>15412531931507978110</v>
      </c>
      <c r="F11" s="4" t="s">
        <v>22</v>
      </c>
      <c r="G11" s="27" t="str">
        <f>"Septian adi nugraha"</f>
        <v>Septian adi nugraha</v>
      </c>
      <c r="H11" s="27" t="str">
        <f>"8827181103205301"</f>
        <v>8827181103205301</v>
      </c>
      <c r="I11" s="28">
        <v>1160000</v>
      </c>
      <c r="J11" s="4"/>
      <c r="K11" s="10">
        <v>3900</v>
      </c>
      <c r="L11" s="11">
        <f t="shared" si="0"/>
        <v>1156100</v>
      </c>
      <c r="M11" s="6">
        <v>43453</v>
      </c>
      <c r="N11" s="27" t="str">
        <f>"933531"</f>
        <v>933531</v>
      </c>
    </row>
    <row r="12" spans="1:14" ht="15">
      <c r="A12" s="9">
        <v>5</v>
      </c>
      <c r="B12" s="4" t="s">
        <v>20</v>
      </c>
      <c r="C12" s="5" t="s">
        <v>21</v>
      </c>
      <c r="D12" s="27" t="str">
        <f>"2018-12-18 22:49:25"</f>
        <v>2018-12-18 22:49:25</v>
      </c>
      <c r="E12" s="27" t="str">
        <f>"15409111688033565606"</f>
        <v>15409111688033565606</v>
      </c>
      <c r="F12" s="4" t="s">
        <v>22</v>
      </c>
      <c r="G12" s="27" t="str">
        <f>"markus sihombing"</f>
        <v>markus sihombing</v>
      </c>
      <c r="H12" s="27" t="str">
        <f>"8827181030215203"</f>
        <v>8827181030215203</v>
      </c>
      <c r="I12" s="28">
        <v>1969500</v>
      </c>
      <c r="J12" s="4"/>
      <c r="K12" s="10">
        <v>3900</v>
      </c>
      <c r="L12" s="11">
        <f t="shared" si="0"/>
        <v>1965600</v>
      </c>
      <c r="M12" s="6">
        <v>43453</v>
      </c>
      <c r="N12" s="27" t="str">
        <f>"010641"</f>
        <v>010641</v>
      </c>
    </row>
    <row r="13" spans="1:14" ht="15">
      <c r="A13" s="9">
        <v>6</v>
      </c>
      <c r="B13" s="4" t="s">
        <v>20</v>
      </c>
      <c r="C13" s="5" t="s">
        <v>21</v>
      </c>
      <c r="D13" s="27" t="str">
        <f>"2018-12-18 22:49:21"</f>
        <v>2018-12-18 22:49:21</v>
      </c>
      <c r="E13" s="27" t="str">
        <f>"15416734967687313778"</f>
        <v>15416734967687313778</v>
      </c>
      <c r="F13" s="4" t="s">
        <v>22</v>
      </c>
      <c r="G13" s="27" t="str">
        <f>"puspa kumala dewi"</f>
        <v>puspa kumala dewi</v>
      </c>
      <c r="H13" s="27" t="str">
        <f>"8827181108173802"</f>
        <v>8827181108173802</v>
      </c>
      <c r="I13" s="28">
        <v>1752000</v>
      </c>
      <c r="J13" s="4"/>
      <c r="K13" s="10">
        <v>3900</v>
      </c>
      <c r="L13" s="11">
        <f t="shared" si="0"/>
        <v>1748100</v>
      </c>
      <c r="M13" s="6">
        <v>43453</v>
      </c>
      <c r="N13" s="27" t="str">
        <f>"010367"</f>
        <v>010367</v>
      </c>
    </row>
    <row r="14" spans="1:14" ht="15">
      <c r="A14" s="9">
        <v>7</v>
      </c>
      <c r="B14" s="4" t="s">
        <v>20</v>
      </c>
      <c r="C14" s="5" t="s">
        <v>21</v>
      </c>
      <c r="D14" s="27" t="str">
        <f>"2018-12-18 22:33:15"</f>
        <v>2018-12-18 22:33:15</v>
      </c>
      <c r="E14" s="27" t="str">
        <f>"15427849800509137340"</f>
        <v>15427849800509137340</v>
      </c>
      <c r="F14" s="4" t="s">
        <v>22</v>
      </c>
      <c r="G14" s="27" t="str">
        <f>"henni kurniasih sihotang"</f>
        <v>henni kurniasih sihotang</v>
      </c>
      <c r="H14" s="27" t="str">
        <f>"8827181121142301"</f>
        <v>8827181121142301</v>
      </c>
      <c r="I14" s="28">
        <v>867200</v>
      </c>
      <c r="J14" s="4"/>
      <c r="K14" s="10">
        <v>3900</v>
      </c>
      <c r="L14" s="11">
        <f t="shared" si="0"/>
        <v>863300</v>
      </c>
      <c r="M14" s="6">
        <v>43453</v>
      </c>
      <c r="N14" s="27" t="str">
        <f>"743050"</f>
        <v>743050</v>
      </c>
    </row>
    <row r="15" spans="1:14" ht="15">
      <c r="A15" s="9">
        <v>8</v>
      </c>
      <c r="B15" s="4" t="s">
        <v>20</v>
      </c>
      <c r="C15" s="5" t="s">
        <v>21</v>
      </c>
      <c r="D15" s="27" t="str">
        <f>"2018-12-18 22:33:07"</f>
        <v>2018-12-18 22:33:07</v>
      </c>
      <c r="E15" s="27" t="str">
        <f>"15414799221314235823"</f>
        <v>15414799221314235823</v>
      </c>
      <c r="F15" s="4" t="s">
        <v>22</v>
      </c>
      <c r="G15" s="27" t="str">
        <f>"ernawati"</f>
        <v>ernawati</v>
      </c>
      <c r="H15" s="27" t="str">
        <f>"8827181106115202"</f>
        <v>8827181106115202</v>
      </c>
      <c r="I15" s="28">
        <v>1647000</v>
      </c>
      <c r="J15" s="4"/>
      <c r="K15" s="10">
        <v>3900</v>
      </c>
      <c r="L15" s="11">
        <f t="shared" si="0"/>
        <v>1643100</v>
      </c>
      <c r="M15" s="6">
        <v>43453</v>
      </c>
      <c r="N15" s="27" t="str">
        <f>"742436"</f>
        <v>742436</v>
      </c>
    </row>
    <row r="16" spans="1:14" ht="15">
      <c r="A16" s="9">
        <v>9</v>
      </c>
      <c r="B16" s="4" t="s">
        <v>20</v>
      </c>
      <c r="C16" s="5" t="s">
        <v>21</v>
      </c>
      <c r="D16" s="27" t="str">
        <f>"2018-12-18 22:31:26"</f>
        <v>2018-12-18 22:31:26</v>
      </c>
      <c r="E16" s="27" t="str">
        <f>"15415643774804308443"</f>
        <v>15415643774804308443</v>
      </c>
      <c r="F16" s="4" t="s">
        <v>22</v>
      </c>
      <c r="G16" s="27" t="str">
        <f>"ade saputra"</f>
        <v>ade saputra</v>
      </c>
      <c r="H16" s="27" t="str">
        <f>"8827181107111902"</f>
        <v>8827181107111902</v>
      </c>
      <c r="I16" s="28">
        <v>1401600</v>
      </c>
      <c r="J16" s="4"/>
      <c r="K16" s="10">
        <v>3900</v>
      </c>
      <c r="L16" s="11">
        <f t="shared" si="0"/>
        <v>1397700</v>
      </c>
      <c r="M16" s="6">
        <v>43453</v>
      </c>
      <c r="N16" s="27" t="str">
        <f>"734909"</f>
        <v>734909</v>
      </c>
    </row>
    <row r="17" spans="1:14" ht="15">
      <c r="A17" s="9">
        <v>10</v>
      </c>
      <c r="B17" s="4" t="s">
        <v>20</v>
      </c>
      <c r="C17" s="5" t="s">
        <v>21</v>
      </c>
      <c r="D17" s="27" t="str">
        <f>"2018-12-18 22:27:57"</f>
        <v>2018-12-18 22:27:57</v>
      </c>
      <c r="E17" s="27" t="str">
        <f>"15417594274589827202"</f>
        <v>15417594274589827202</v>
      </c>
      <c r="F17" s="4" t="s">
        <v>22</v>
      </c>
      <c r="G17" s="27" t="str">
        <f>"windi lestari putri"</f>
        <v>windi lestari putri</v>
      </c>
      <c r="H17" s="27" t="str">
        <f>"8827181109173004"</f>
        <v>8827181109173004</v>
      </c>
      <c r="I17" s="28">
        <v>1740000</v>
      </c>
      <c r="J17" s="4"/>
      <c r="K17" s="10">
        <v>3900</v>
      </c>
      <c r="L17" s="11">
        <f t="shared" si="0"/>
        <v>1736100</v>
      </c>
      <c r="M17" s="6">
        <v>43453</v>
      </c>
      <c r="N17" s="27" t="str">
        <f>"718979"</f>
        <v>718979</v>
      </c>
    </row>
    <row r="18" spans="1:14" ht="15">
      <c r="A18" s="9">
        <v>11</v>
      </c>
      <c r="B18" s="4" t="s">
        <v>20</v>
      </c>
      <c r="C18" s="5" t="s">
        <v>21</v>
      </c>
      <c r="D18" s="27" t="str">
        <f>"2018-12-18 22:25:13"</f>
        <v>2018-12-18 22:25:13</v>
      </c>
      <c r="E18" s="27" t="str">
        <f>"15420776959715154481"</f>
        <v>15420776959715154481</v>
      </c>
      <c r="F18" s="4" t="s">
        <v>22</v>
      </c>
      <c r="G18" s="27" t="str">
        <f>"Eva Mulyani"</f>
        <v>Eva Mulyani</v>
      </c>
      <c r="H18" s="27" t="str">
        <f>"8827181113095409"</f>
        <v>8827181113095409</v>
      </c>
      <c r="I18" s="28">
        <v>1752000</v>
      </c>
      <c r="J18" s="4"/>
      <c r="K18" s="10">
        <v>3900</v>
      </c>
      <c r="L18" s="11">
        <f t="shared" si="0"/>
        <v>1748100</v>
      </c>
      <c r="M18" s="6">
        <v>43453</v>
      </c>
      <c r="N18" s="27" t="str">
        <f>"706801"</f>
        <v>706801</v>
      </c>
    </row>
    <row r="19" spans="1:14" ht="15">
      <c r="A19" s="9">
        <v>12</v>
      </c>
      <c r="B19" s="4" t="s">
        <v>20</v>
      </c>
      <c r="C19" s="5" t="s">
        <v>21</v>
      </c>
      <c r="D19" s="27" t="str">
        <f>"2018-12-18 22:08:32"</f>
        <v>2018-12-18 22:08:32</v>
      </c>
      <c r="E19" s="27" t="str">
        <f>"15407907057187869658"</f>
        <v>15407907057187869658</v>
      </c>
      <c r="F19" s="4" t="s">
        <v>22</v>
      </c>
      <c r="G19" s="27" t="str">
        <f>"Khusna Mulya Putra"</f>
        <v>Khusna Mulya Putra</v>
      </c>
      <c r="H19" s="27" t="str">
        <f>"8827181029122502"</f>
        <v>8827181029122502</v>
      </c>
      <c r="I19" s="28">
        <v>1636500</v>
      </c>
      <c r="J19" s="4"/>
      <c r="K19" s="10">
        <v>3900</v>
      </c>
      <c r="L19" s="11">
        <f t="shared" si="0"/>
        <v>1632600</v>
      </c>
      <c r="M19" s="6">
        <v>43453</v>
      </c>
      <c r="N19" s="27" t="str">
        <f>"627989"</f>
        <v>627989</v>
      </c>
    </row>
    <row r="20" spans="1:14" ht="15">
      <c r="A20" s="9">
        <v>13</v>
      </c>
      <c r="B20" s="4" t="s">
        <v>20</v>
      </c>
      <c r="C20" s="5" t="s">
        <v>21</v>
      </c>
      <c r="D20" s="27" t="str">
        <f>"2018-12-18 22:05:01"</f>
        <v>2018-12-18 22:05:01</v>
      </c>
      <c r="E20" s="27" t="str">
        <f>"15412962696689337826"</f>
        <v>15412962696689337826</v>
      </c>
      <c r="F20" s="4" t="s">
        <v>22</v>
      </c>
      <c r="G20" s="27" t="str">
        <f>"lucky retno sari"</f>
        <v>lucky retno sari</v>
      </c>
      <c r="H20" s="27" t="str">
        <f>"8827181104085102"</f>
        <v>8827181104085102</v>
      </c>
      <c r="I20" s="28">
        <v>1656000</v>
      </c>
      <c r="J20" s="4"/>
      <c r="K20" s="10">
        <v>3900</v>
      </c>
      <c r="L20" s="11">
        <f t="shared" si="0"/>
        <v>1652100</v>
      </c>
      <c r="M20" s="6">
        <v>43453</v>
      </c>
      <c r="N20" s="27" t="str">
        <f>"610787"</f>
        <v>610787</v>
      </c>
    </row>
    <row r="21" spans="1:14" ht="15">
      <c r="A21" s="9">
        <v>14</v>
      </c>
      <c r="B21" s="4" t="s">
        <v>20</v>
      </c>
      <c r="C21" s="5" t="s">
        <v>21</v>
      </c>
      <c r="D21" s="27" t="str">
        <f>"2018-12-18 22:01:10"</f>
        <v>2018-12-18 22:01:10</v>
      </c>
      <c r="E21" s="27" t="str">
        <f>"15433339329934123421"</f>
        <v>15433339329934123421</v>
      </c>
      <c r="F21" s="4" t="s">
        <v>22</v>
      </c>
      <c r="G21" s="27" t="str">
        <f>"Anton yusadi"</f>
        <v>Anton yusadi</v>
      </c>
      <c r="H21" s="27" t="str">
        <f>"8827181127225201"</f>
        <v>8827181127225201</v>
      </c>
      <c r="I21" s="28">
        <v>1767000</v>
      </c>
      <c r="J21" s="4"/>
      <c r="K21" s="10">
        <v>3900</v>
      </c>
      <c r="L21" s="11">
        <f t="shared" si="0"/>
        <v>1763100</v>
      </c>
      <c r="M21" s="6">
        <v>43453</v>
      </c>
      <c r="N21" s="27" t="str">
        <f>"591392"</f>
        <v>591392</v>
      </c>
    </row>
    <row r="22" spans="1:14" ht="15">
      <c r="A22" s="9">
        <v>15</v>
      </c>
      <c r="B22" s="4" t="s">
        <v>20</v>
      </c>
      <c r="C22" s="5" t="s">
        <v>21</v>
      </c>
      <c r="D22" s="27" t="str">
        <f>"2018-12-18 21:59:05"</f>
        <v>2018-12-18 21:59:05</v>
      </c>
      <c r="E22" s="27" t="str">
        <f>"15416518915534695435"</f>
        <v>15416518915534695435</v>
      </c>
      <c r="F22" s="4" t="s">
        <v>22</v>
      </c>
      <c r="G22" s="27" t="str">
        <f>"agung rustanto"</f>
        <v>agung rustanto</v>
      </c>
      <c r="H22" s="27" t="str">
        <f>"8827181108113802"</f>
        <v>8827181108113802</v>
      </c>
      <c r="I22" s="28">
        <v>1752000</v>
      </c>
      <c r="J22" s="4"/>
      <c r="K22" s="10">
        <v>3900</v>
      </c>
      <c r="L22" s="11">
        <f t="shared" si="0"/>
        <v>1748100</v>
      </c>
      <c r="M22" s="6">
        <v>43453</v>
      </c>
      <c r="N22" s="27" t="str">
        <f>"580264"</f>
        <v>580264</v>
      </c>
    </row>
    <row r="23" spans="1:14" ht="15">
      <c r="A23" s="9">
        <v>16</v>
      </c>
      <c r="B23" s="4" t="s">
        <v>20</v>
      </c>
      <c r="C23" s="5" t="s">
        <v>21</v>
      </c>
      <c r="D23" s="27" t="str">
        <f>"2018-12-18 21:55:41"</f>
        <v>2018-12-18 21:55:41</v>
      </c>
      <c r="E23" s="27" t="str">
        <f>"15428655262112997909"</f>
        <v>15428655262112997909</v>
      </c>
      <c r="F23" s="4" t="s">
        <v>22</v>
      </c>
      <c r="G23" s="27" t="str">
        <f>"nining dina kurnia"</f>
        <v>nining dina kurnia</v>
      </c>
      <c r="H23" s="27" t="str">
        <f>"8827181122124502"</f>
        <v>8827181122124502</v>
      </c>
      <c r="I23" s="28">
        <v>1902000</v>
      </c>
      <c r="J23" s="4"/>
      <c r="K23" s="10">
        <v>3900</v>
      </c>
      <c r="L23" s="11">
        <f t="shared" si="0"/>
        <v>1898100</v>
      </c>
      <c r="M23" s="6">
        <v>43453</v>
      </c>
      <c r="N23" s="27" t="str">
        <f>"562098"</f>
        <v>562098</v>
      </c>
    </row>
    <row r="24" spans="1:14" ht="15">
      <c r="A24" s="9">
        <v>17</v>
      </c>
      <c r="B24" s="4" t="s">
        <v>20</v>
      </c>
      <c r="C24" s="5" t="s">
        <v>21</v>
      </c>
      <c r="D24" s="27" t="str">
        <f>"2018-12-18 21:43:47"</f>
        <v>2018-12-18 21:43:47</v>
      </c>
      <c r="E24" s="27" t="str">
        <f>"15408603149807374735"</f>
        <v>15408603149807374735</v>
      </c>
      <c r="F24" s="4" t="s">
        <v>22</v>
      </c>
      <c r="G24" s="27" t="str">
        <f>"yul fitri hadi"</f>
        <v>yul fitri hadi</v>
      </c>
      <c r="H24" s="27" t="str">
        <f>"8827181030074504"</f>
        <v>8827181030074504</v>
      </c>
      <c r="I24" s="28">
        <v>1343200</v>
      </c>
      <c r="J24" s="4"/>
      <c r="K24" s="10">
        <v>3900</v>
      </c>
      <c r="L24" s="11">
        <f t="shared" si="0"/>
        <v>1339300</v>
      </c>
      <c r="M24" s="6">
        <v>43453</v>
      </c>
      <c r="N24" s="27" t="str">
        <f>"492770"</f>
        <v>492770</v>
      </c>
    </row>
    <row r="25" spans="1:14" ht="15">
      <c r="A25" s="9">
        <v>18</v>
      </c>
      <c r="B25" s="4" t="s">
        <v>20</v>
      </c>
      <c r="C25" s="5" t="s">
        <v>21</v>
      </c>
      <c r="D25" s="27" t="str">
        <f>"2018-12-18 21:43:38"</f>
        <v>2018-12-18 21:43:38</v>
      </c>
      <c r="E25" s="27" t="str">
        <f>"15433314357963088413"</f>
        <v>15433314357963088413</v>
      </c>
      <c r="F25" s="4" t="s">
        <v>22</v>
      </c>
      <c r="G25" s="27" t="str">
        <f>"Indah permatasari"</f>
        <v>Indah permatasari</v>
      </c>
      <c r="H25" s="27" t="str">
        <f>"8827181127221001"</f>
        <v>8827181127221001</v>
      </c>
      <c r="I25" s="28">
        <v>1368000</v>
      </c>
      <c r="J25" s="4"/>
      <c r="K25" s="10">
        <v>3900</v>
      </c>
      <c r="L25" s="11">
        <f t="shared" si="0"/>
        <v>1364100</v>
      </c>
      <c r="M25" s="6">
        <v>43453</v>
      </c>
      <c r="N25" s="27" t="str">
        <f>"491802"</f>
        <v>491802</v>
      </c>
    </row>
    <row r="26" spans="1:14" ht="15">
      <c r="A26" s="9">
        <v>19</v>
      </c>
      <c r="B26" s="4" t="s">
        <v>20</v>
      </c>
      <c r="C26" s="5" t="s">
        <v>21</v>
      </c>
      <c r="D26" s="27" t="str">
        <f>"2018-12-18 21:43:12"</f>
        <v>2018-12-18 21:43:12</v>
      </c>
      <c r="E26" s="27" t="str">
        <f>"15414030937466811466"</f>
        <v>15414030937466811466</v>
      </c>
      <c r="F26" s="4" t="s">
        <v>22</v>
      </c>
      <c r="G26" s="27" t="str">
        <f>"Indah Roshinta"</f>
        <v>Indah Roshinta</v>
      </c>
      <c r="H26" s="27" t="str">
        <f>"8827181105143104"</f>
        <v>8827181105143104</v>
      </c>
      <c r="I26" s="28">
        <v>1592100</v>
      </c>
      <c r="J26" s="4"/>
      <c r="K26" s="10">
        <v>3900</v>
      </c>
      <c r="L26" s="11">
        <f t="shared" si="0"/>
        <v>1588200</v>
      </c>
      <c r="M26" s="6">
        <v>43453</v>
      </c>
      <c r="N26" s="27" t="str">
        <f>"913213"</f>
        <v>913213</v>
      </c>
    </row>
    <row r="27" spans="1:14" ht="15">
      <c r="A27" s="9">
        <v>20</v>
      </c>
      <c r="B27" s="4" t="s">
        <v>20</v>
      </c>
      <c r="C27" s="5" t="s">
        <v>21</v>
      </c>
      <c r="D27" s="27" t="str">
        <f>"2018-12-18 21:34:49"</f>
        <v>2018-12-18 21:34:49</v>
      </c>
      <c r="E27" s="27" t="str">
        <f>"15434781719019964759"</f>
        <v>15434781719019964759</v>
      </c>
      <c r="F27" s="4" t="s">
        <v>22</v>
      </c>
      <c r="G27" s="27" t="str">
        <f>"achmad fitri"</f>
        <v>achmad fitri</v>
      </c>
      <c r="H27" s="27" t="str">
        <f>"8827181129145601"</f>
        <v>8827181129145601</v>
      </c>
      <c r="I27" s="28">
        <v>579000</v>
      </c>
      <c r="J27" s="4"/>
      <c r="K27" s="10">
        <v>3900</v>
      </c>
      <c r="L27" s="11">
        <f t="shared" si="0"/>
        <v>575100</v>
      </c>
      <c r="M27" s="6">
        <v>43453</v>
      </c>
      <c r="N27" s="27" t="str">
        <f>"434504"</f>
        <v>434504</v>
      </c>
    </row>
    <row r="28" spans="1:14" ht="15">
      <c r="A28" s="9">
        <v>21</v>
      </c>
      <c r="B28" s="4" t="s">
        <v>20</v>
      </c>
      <c r="C28" s="5" t="s">
        <v>21</v>
      </c>
      <c r="D28" s="27" t="str">
        <f>"2018-12-18 21:29:55"</f>
        <v>2018-12-18 21:29:55</v>
      </c>
      <c r="E28" s="27" t="str">
        <f>"15440945083976800708"</f>
        <v>15440945083976800708</v>
      </c>
      <c r="F28" s="4" t="s">
        <v>22</v>
      </c>
      <c r="G28" s="27" t="str">
        <f>"muhammad iqbal pratama"</f>
        <v>muhammad iqbal pratama</v>
      </c>
      <c r="H28" s="27" t="str">
        <f>"8827181206180801"</f>
        <v>8827181206180801</v>
      </c>
      <c r="I28" s="28">
        <v>1626000</v>
      </c>
      <c r="J28" s="4"/>
      <c r="K28" s="10">
        <v>3900</v>
      </c>
      <c r="L28" s="11">
        <f t="shared" si="0"/>
        <v>1622100</v>
      </c>
      <c r="M28" s="6">
        <v>43453</v>
      </c>
      <c r="N28" s="27" t="str">
        <f>"402311"</f>
        <v>402311</v>
      </c>
    </row>
    <row r="29" spans="1:14" ht="15">
      <c r="A29" s="9">
        <v>22</v>
      </c>
      <c r="B29" s="4" t="s">
        <v>20</v>
      </c>
      <c r="C29" s="5" t="s">
        <v>21</v>
      </c>
      <c r="D29" s="27" t="str">
        <f>"2018-12-18 21:28:15"</f>
        <v>2018-12-18 21:28:15</v>
      </c>
      <c r="E29" s="27" t="str">
        <f>"15417333119411483302"</f>
        <v>15417333119411483302</v>
      </c>
      <c r="F29" s="4" t="s">
        <v>22</v>
      </c>
      <c r="G29" s="27" t="str">
        <f>"adi arianto s"</f>
        <v>adi arianto s</v>
      </c>
      <c r="H29" s="27" t="str">
        <f>"8827181109101503"</f>
        <v>8827181109101503</v>
      </c>
      <c r="I29" s="28">
        <v>1518400</v>
      </c>
      <c r="J29" s="4"/>
      <c r="K29" s="10">
        <v>3900</v>
      </c>
      <c r="L29" s="11">
        <f t="shared" si="0"/>
        <v>1514500</v>
      </c>
      <c r="M29" s="6">
        <v>43453</v>
      </c>
      <c r="N29" s="27" t="str">
        <f>"908352"</f>
        <v>908352</v>
      </c>
    </row>
    <row r="30" spans="1:14" ht="15">
      <c r="A30" s="9">
        <v>23</v>
      </c>
      <c r="B30" s="4" t="s">
        <v>20</v>
      </c>
      <c r="C30" s="5" t="s">
        <v>21</v>
      </c>
      <c r="D30" s="27" t="str">
        <f>"2018-12-18 21:27:22"</f>
        <v>2018-12-18 21:27:22</v>
      </c>
      <c r="E30" s="27" t="str">
        <f>"15408674216934455958"</f>
        <v>15408674216934455958</v>
      </c>
      <c r="F30" s="4" t="s">
        <v>22</v>
      </c>
      <c r="G30" s="27" t="str">
        <f>"Lana Wira Sambodo"</f>
        <v>Lana Wira Sambodo</v>
      </c>
      <c r="H30" s="27" t="str">
        <f>"8827181030094302"</f>
        <v>8827181030094302</v>
      </c>
      <c r="I30" s="28">
        <v>1752000</v>
      </c>
      <c r="J30" s="4"/>
      <c r="K30" s="10">
        <v>3900</v>
      </c>
      <c r="L30" s="11">
        <f t="shared" si="0"/>
        <v>1748100</v>
      </c>
      <c r="M30" s="6">
        <v>43453</v>
      </c>
      <c r="N30" s="27" t="str">
        <f>"385141"</f>
        <v>385141</v>
      </c>
    </row>
    <row r="31" spans="1:14" ht="15">
      <c r="A31" s="9">
        <v>24</v>
      </c>
      <c r="B31" s="4" t="s">
        <v>20</v>
      </c>
      <c r="C31" s="5" t="s">
        <v>21</v>
      </c>
      <c r="D31" s="27" t="str">
        <f>"2018-12-18 21:27:22"</f>
        <v>2018-12-18 21:27:22</v>
      </c>
      <c r="E31" s="27" t="str">
        <f>"15410615086214509959"</f>
        <v>15410615086214509959</v>
      </c>
      <c r="F31" s="4" t="s">
        <v>22</v>
      </c>
      <c r="G31" s="27" t="str">
        <f>"surni"</f>
        <v>surni</v>
      </c>
      <c r="H31" s="27" t="str">
        <f>"8827181101153805"</f>
        <v>8827181101153805</v>
      </c>
      <c r="I31" s="28">
        <v>1812000</v>
      </c>
      <c r="J31" s="4"/>
      <c r="K31" s="10">
        <v>3900</v>
      </c>
      <c r="L31" s="11">
        <f t="shared" si="0"/>
        <v>1808100</v>
      </c>
      <c r="M31" s="6">
        <v>43453</v>
      </c>
      <c r="N31" s="27" t="str">
        <f>"385133"</f>
        <v>385133</v>
      </c>
    </row>
    <row r="32" spans="1:14" ht="15">
      <c r="A32" s="9">
        <v>25</v>
      </c>
      <c r="B32" s="4" t="s">
        <v>20</v>
      </c>
      <c r="C32" s="5" t="s">
        <v>21</v>
      </c>
      <c r="D32" s="27" t="str">
        <f>"2018-12-18 21:26:47"</f>
        <v>2018-12-18 21:26:47</v>
      </c>
      <c r="E32" s="27" t="str">
        <f>"15413727522243464494"</f>
        <v>15413727522243464494</v>
      </c>
      <c r="F32" s="4" t="s">
        <v>22</v>
      </c>
      <c r="G32" s="27" t="str">
        <f>"nia kusniati"</f>
        <v>nia kusniati</v>
      </c>
      <c r="H32" s="27" t="str">
        <f>"8827181105060501"</f>
        <v>8827181105060501</v>
      </c>
      <c r="I32" s="28">
        <v>1752000</v>
      </c>
      <c r="J32" s="4"/>
      <c r="K32" s="10">
        <v>3900</v>
      </c>
      <c r="L32" s="11">
        <f t="shared" si="0"/>
        <v>1748100</v>
      </c>
      <c r="M32" s="6">
        <v>43453</v>
      </c>
      <c r="N32" s="27" t="str">
        <f>"907804"</f>
        <v>907804</v>
      </c>
    </row>
    <row r="33" spans="1:14" ht="15">
      <c r="A33" s="9">
        <v>26</v>
      </c>
      <c r="B33" s="4" t="s">
        <v>20</v>
      </c>
      <c r="C33" s="5" t="s">
        <v>21</v>
      </c>
      <c r="D33" s="27" t="str">
        <f>"2018-12-18 21:25:32"</f>
        <v>2018-12-18 21:25:32</v>
      </c>
      <c r="E33" s="27" t="str">
        <f>"15433181617683236518"</f>
        <v>15433181617683236518</v>
      </c>
      <c r="F33" s="4" t="s">
        <v>22</v>
      </c>
      <c r="G33" s="27" t="str">
        <f>"Dego Wiyawan"</f>
        <v>Dego Wiyawan</v>
      </c>
      <c r="H33" s="27" t="str">
        <f>"8827181127182901"</f>
        <v>8827181127182901</v>
      </c>
      <c r="I33" s="28">
        <v>1767000</v>
      </c>
      <c r="J33" s="4"/>
      <c r="K33" s="10">
        <v>3900</v>
      </c>
      <c r="L33" s="11">
        <f t="shared" si="0"/>
        <v>1763100</v>
      </c>
      <c r="M33" s="6">
        <v>43453</v>
      </c>
      <c r="N33" s="27" t="str">
        <f>"371337"</f>
        <v>371337</v>
      </c>
    </row>
    <row r="34" spans="1:14" ht="15">
      <c r="A34" s="9">
        <v>27</v>
      </c>
      <c r="B34" s="4" t="s">
        <v>20</v>
      </c>
      <c r="C34" s="5" t="s">
        <v>21</v>
      </c>
      <c r="D34" s="27" t="str">
        <f>"2018-12-18 21:24:11"</f>
        <v>2018-12-18 21:24:11</v>
      </c>
      <c r="E34" s="27" t="str">
        <f>"15412963486106236528"</f>
        <v>15412963486106236528</v>
      </c>
      <c r="F34" s="4" t="s">
        <v>22</v>
      </c>
      <c r="G34" s="27" t="str">
        <f>"Novita theresia nganduh"</f>
        <v>Novita theresia nganduh</v>
      </c>
      <c r="H34" s="27" t="str">
        <f>"8827181104085202"</f>
        <v>8827181104085202</v>
      </c>
      <c r="I34" s="28">
        <v>1615500</v>
      </c>
      <c r="J34" s="4"/>
      <c r="K34" s="10">
        <v>3900</v>
      </c>
      <c r="L34" s="11">
        <f t="shared" si="0"/>
        <v>1611600</v>
      </c>
      <c r="M34" s="6">
        <v>43453</v>
      </c>
      <c r="N34" s="27" t="str">
        <f>"906847"</f>
        <v>906847</v>
      </c>
    </row>
    <row r="35" spans="1:14" ht="15">
      <c r="A35" s="9">
        <v>28</v>
      </c>
      <c r="B35" s="4" t="s">
        <v>20</v>
      </c>
      <c r="C35" s="5" t="s">
        <v>21</v>
      </c>
      <c r="D35" s="27" t="str">
        <f>"2018-12-18 21:19:46"</f>
        <v>2018-12-18 21:19:46</v>
      </c>
      <c r="E35" s="27" t="str">
        <f>"15406861225418384562"</f>
        <v>15406861225418384562</v>
      </c>
      <c r="F35" s="4" t="s">
        <v>22</v>
      </c>
      <c r="G35" s="27" t="str">
        <f>"Apriansyah"</f>
        <v>Apriansyah</v>
      </c>
      <c r="H35" s="27" t="str">
        <f>"8827181028072201"</f>
        <v>8827181028072201</v>
      </c>
      <c r="I35" s="28">
        <v>1000000</v>
      </c>
      <c r="J35" s="4"/>
      <c r="K35" s="10">
        <v>3900</v>
      </c>
      <c r="L35" s="11">
        <f t="shared" si="0"/>
        <v>996100</v>
      </c>
      <c r="M35" s="6">
        <v>43453</v>
      </c>
      <c r="N35" s="27" t="str">
        <f>"330658"</f>
        <v>330658</v>
      </c>
    </row>
    <row r="36" spans="1:14" ht="15">
      <c r="A36" s="9">
        <v>29</v>
      </c>
      <c r="B36" s="4" t="s">
        <v>20</v>
      </c>
      <c r="C36" s="5" t="s">
        <v>21</v>
      </c>
      <c r="D36" s="27" t="str">
        <f>"2018-12-18 21:19:46"</f>
        <v>2018-12-18 21:19:46</v>
      </c>
      <c r="E36" s="27" t="str">
        <f>"15414910455201214827"</f>
        <v>15414910455201214827</v>
      </c>
      <c r="F36" s="4" t="s">
        <v>22</v>
      </c>
      <c r="G36" s="27" t="str">
        <f>"vicky datunsolang"</f>
        <v>vicky datunsolang</v>
      </c>
      <c r="H36" s="27" t="str">
        <f>"8827181106145702"</f>
        <v>8827181106145702</v>
      </c>
      <c r="I36" s="28">
        <v>1450000</v>
      </c>
      <c r="J36" s="4"/>
      <c r="K36" s="10">
        <v>3900</v>
      </c>
      <c r="L36" s="11">
        <f t="shared" si="0"/>
        <v>1446100</v>
      </c>
      <c r="M36" s="6">
        <v>43453</v>
      </c>
      <c r="N36" s="27" t="str">
        <f>"330680"</f>
        <v>330680</v>
      </c>
    </row>
    <row r="37" spans="1:14" ht="15">
      <c r="A37" s="9">
        <v>30</v>
      </c>
      <c r="B37" s="4" t="s">
        <v>20</v>
      </c>
      <c r="C37" s="5" t="s">
        <v>21</v>
      </c>
      <c r="D37" s="27" t="str">
        <f>"2018-12-18 21:16:37"</f>
        <v>2018-12-18 21:16:37</v>
      </c>
      <c r="E37" s="27" t="str">
        <f>"15407387503573799701"</f>
        <v>15407387503573799701</v>
      </c>
      <c r="F37" s="4" t="s">
        <v>22</v>
      </c>
      <c r="G37" s="27" t="str">
        <f>"betti uli katarina"</f>
        <v>betti uli katarina</v>
      </c>
      <c r="H37" s="27" t="str">
        <f>"8827181028215901"</f>
        <v>8827181028215901</v>
      </c>
      <c r="I37" s="28">
        <v>1636500</v>
      </c>
      <c r="J37" s="4"/>
      <c r="K37" s="10">
        <v>3900</v>
      </c>
      <c r="L37" s="11">
        <f t="shared" si="0"/>
        <v>1632600</v>
      </c>
      <c r="M37" s="6">
        <v>43453</v>
      </c>
      <c r="N37" s="27" t="str">
        <f>"308357"</f>
        <v>308357</v>
      </c>
    </row>
    <row r="38" spans="1:14" ht="15">
      <c r="A38" s="9">
        <v>31</v>
      </c>
      <c r="B38" s="4" t="s">
        <v>20</v>
      </c>
      <c r="C38" s="5" t="s">
        <v>21</v>
      </c>
      <c r="D38" s="27" t="str">
        <f>"2018-12-18 21:14:45"</f>
        <v>2018-12-18 21:14:45</v>
      </c>
      <c r="E38" s="27" t="str">
        <f>"15426058841933079061"</f>
        <v>15426058841933079061</v>
      </c>
      <c r="F38" s="4" t="s">
        <v>22</v>
      </c>
      <c r="G38" s="27" t="str">
        <f>"Handoko Syahputra Salim"</f>
        <v>Handoko Syahputra Salim</v>
      </c>
      <c r="H38" s="27" t="str">
        <f>"8827181119123802"</f>
        <v>8827181119123802</v>
      </c>
      <c r="I38" s="28">
        <v>1677000</v>
      </c>
      <c r="J38" s="4"/>
      <c r="K38" s="10">
        <v>3900</v>
      </c>
      <c r="L38" s="11">
        <f t="shared" si="0"/>
        <v>1673100</v>
      </c>
      <c r="M38" s="6">
        <v>43453</v>
      </c>
      <c r="N38" s="27" t="str">
        <f>"295013"</f>
        <v>295013</v>
      </c>
    </row>
    <row r="39" spans="1:14" ht="15">
      <c r="A39" s="9">
        <v>32</v>
      </c>
      <c r="B39" s="4" t="s">
        <v>20</v>
      </c>
      <c r="C39" s="5" t="s">
        <v>21</v>
      </c>
      <c r="D39" s="27" t="str">
        <f>"2018-12-18 21:12:07"</f>
        <v>2018-12-18 21:12:07</v>
      </c>
      <c r="E39" s="27" t="str">
        <f>"15414989595517769200"</f>
        <v>15414989595517769200</v>
      </c>
      <c r="F39" s="4" t="s">
        <v>22</v>
      </c>
      <c r="G39" s="27" t="str">
        <f>"Deasy Maria Christiani"</f>
        <v>Deasy Maria Christiani</v>
      </c>
      <c r="H39" s="27" t="str">
        <f>"8827181106170903"</f>
        <v>8827181106170903</v>
      </c>
      <c r="I39" s="28">
        <v>1752000</v>
      </c>
      <c r="J39" s="4"/>
      <c r="K39" s="10">
        <v>3900</v>
      </c>
      <c r="L39" s="11">
        <f t="shared" si="0"/>
        <v>1748100</v>
      </c>
      <c r="M39" s="6">
        <v>43453</v>
      </c>
      <c r="N39" s="27" t="str">
        <f>"276785"</f>
        <v>276785</v>
      </c>
    </row>
    <row r="40" spans="1:14" ht="15">
      <c r="A40" s="9">
        <v>33</v>
      </c>
      <c r="B40" s="4" t="s">
        <v>20</v>
      </c>
      <c r="C40" s="5" t="s">
        <v>21</v>
      </c>
      <c r="D40" s="27" t="str">
        <f>"2018-12-18 21:10:13"</f>
        <v>2018-12-18 21:10:13</v>
      </c>
      <c r="E40" s="27" t="str">
        <f>"15411225910573665878"</f>
        <v>15411225910573665878</v>
      </c>
      <c r="F40" s="4" t="s">
        <v>22</v>
      </c>
      <c r="G40" s="27" t="str">
        <f>"eska purwanto"</f>
        <v>eska purwanto</v>
      </c>
      <c r="H40" s="27" t="str">
        <f>"8827181102083603"</f>
        <v>8827181102083603</v>
      </c>
      <c r="I40" s="28">
        <v>1797000</v>
      </c>
      <c r="J40" s="4"/>
      <c r="K40" s="10">
        <v>3900</v>
      </c>
      <c r="L40" s="11">
        <f t="shared" si="0"/>
        <v>1793100</v>
      </c>
      <c r="M40" s="6">
        <v>43453</v>
      </c>
      <c r="N40" s="27" t="str">
        <f>"262798"</f>
        <v>262798</v>
      </c>
    </row>
    <row r="41" spans="1:14" ht="15">
      <c r="A41" s="9">
        <v>34</v>
      </c>
      <c r="B41" s="4" t="s">
        <v>20</v>
      </c>
      <c r="C41" s="5" t="s">
        <v>21</v>
      </c>
      <c r="D41" s="27" t="str">
        <f>"2018-12-18 21:09:57"</f>
        <v>2018-12-18 21:09:57</v>
      </c>
      <c r="E41" s="27" t="str">
        <f>"15433758048591371809"</f>
        <v>15433758048591371809</v>
      </c>
      <c r="F41" s="4" t="s">
        <v>22</v>
      </c>
      <c r="G41" s="27" t="str">
        <f>"dania rahmi"</f>
        <v>dania rahmi</v>
      </c>
      <c r="H41" s="27" t="str">
        <f>"8827181128103001"</f>
        <v>8827181128103001</v>
      </c>
      <c r="I41" s="28">
        <v>1269000</v>
      </c>
      <c r="J41" s="4"/>
      <c r="K41" s="10">
        <v>3900</v>
      </c>
      <c r="L41" s="11">
        <f t="shared" si="0"/>
        <v>1265100</v>
      </c>
      <c r="M41" s="6">
        <v>43453</v>
      </c>
      <c r="N41" s="27" t="str">
        <f>"260694"</f>
        <v>260694</v>
      </c>
    </row>
    <row r="42" spans="1:14" ht="15">
      <c r="A42" s="9">
        <v>35</v>
      </c>
      <c r="B42" s="4" t="s">
        <v>20</v>
      </c>
      <c r="C42" s="5" t="s">
        <v>21</v>
      </c>
      <c r="D42" s="27" t="str">
        <f>"2018-12-18 21:07:41"</f>
        <v>2018-12-18 21:07:41</v>
      </c>
      <c r="E42" s="27" t="str">
        <f>"15417414895792123874"</f>
        <v>15417414895792123874</v>
      </c>
      <c r="F42" s="4" t="s">
        <v>22</v>
      </c>
      <c r="G42" s="27" t="str">
        <f>"fitrini gemiati rusli"</f>
        <v>fitrini gemiati rusli</v>
      </c>
      <c r="H42" s="27" t="str">
        <f>"8827181109123102"</f>
        <v>8827181109123102</v>
      </c>
      <c r="I42" s="28">
        <v>1692000</v>
      </c>
      <c r="J42" s="4"/>
      <c r="K42" s="10">
        <v>3900</v>
      </c>
      <c r="L42" s="11">
        <f t="shared" si="0"/>
        <v>1688100</v>
      </c>
      <c r="M42" s="6">
        <v>43453</v>
      </c>
      <c r="N42" s="27" t="str">
        <f>"901173"</f>
        <v>901173</v>
      </c>
    </row>
    <row r="43" spans="1:14" ht="15">
      <c r="A43" s="9">
        <v>36</v>
      </c>
      <c r="B43" s="4" t="s">
        <v>20</v>
      </c>
      <c r="C43" s="5" t="s">
        <v>21</v>
      </c>
      <c r="D43" s="27" t="str">
        <f>"2018-12-18 21:06:02"</f>
        <v>2018-12-18 21:06:02</v>
      </c>
      <c r="E43" s="27" t="str">
        <f>"15407751396205167547"</f>
        <v>15407751396205167547</v>
      </c>
      <c r="F43" s="4" t="s">
        <v>22</v>
      </c>
      <c r="G43" s="27" t="str">
        <f>"Eneng khusnul khotimah"</f>
        <v>Eneng khusnul khotimah</v>
      </c>
      <c r="H43" s="27" t="str">
        <f>"8827181029080505"</f>
        <v>8827181029080505</v>
      </c>
      <c r="I43" s="28">
        <v>1343200</v>
      </c>
      <c r="J43" s="4"/>
      <c r="K43" s="10">
        <v>3900</v>
      </c>
      <c r="L43" s="11">
        <f t="shared" si="0"/>
        <v>1339300</v>
      </c>
      <c r="M43" s="6">
        <v>43453</v>
      </c>
      <c r="N43" s="27" t="str">
        <f>"230383"</f>
        <v>230383</v>
      </c>
    </row>
    <row r="44" spans="1:14" ht="15">
      <c r="A44" s="9">
        <v>37</v>
      </c>
      <c r="B44" s="4" t="s">
        <v>20</v>
      </c>
      <c r="C44" s="5" t="s">
        <v>21</v>
      </c>
      <c r="D44" s="27" t="str">
        <f>"2018-12-18 21:03:45"</f>
        <v>2018-12-18 21:03:45</v>
      </c>
      <c r="E44" s="27" t="str">
        <f>"15434678300354929765"</f>
        <v>15434678300354929765</v>
      </c>
      <c r="F44" s="4" t="s">
        <v>22</v>
      </c>
      <c r="G44" s="27" t="str">
        <f>"Yuli Yanti"</f>
        <v>Yuli Yanti</v>
      </c>
      <c r="H44" s="27" t="str">
        <f>"8827181129120301"</f>
        <v>8827181129120301</v>
      </c>
      <c r="I44" s="28">
        <v>1740000</v>
      </c>
      <c r="J44" s="4"/>
      <c r="K44" s="10">
        <v>3900</v>
      </c>
      <c r="L44" s="11">
        <f t="shared" si="0"/>
        <v>1736100</v>
      </c>
      <c r="M44" s="6">
        <v>43453</v>
      </c>
      <c r="N44" s="27" t="str">
        <f>"210494"</f>
        <v>210494</v>
      </c>
    </row>
    <row r="45" spans="1:14" ht="15">
      <c r="A45" s="9">
        <v>38</v>
      </c>
      <c r="B45" s="4" t="s">
        <v>20</v>
      </c>
      <c r="C45" s="5" t="s">
        <v>21</v>
      </c>
      <c r="D45" s="27" t="str">
        <f>"2018-12-18 20:58:26"</f>
        <v>2018-12-18 20:58:26</v>
      </c>
      <c r="E45" s="27" t="str">
        <f>"15407791521852203489"</f>
        <v>15407791521852203489</v>
      </c>
      <c r="F45" s="4" t="s">
        <v>22</v>
      </c>
      <c r="G45" s="27" t="str">
        <f>"RYAN BIMA SEPTYANDA"</f>
        <v>RYAN BIMA SEPTYANDA</v>
      </c>
      <c r="H45" s="27" t="str">
        <f>"8827181029091204"</f>
        <v>8827181029091204</v>
      </c>
      <c r="I45" s="28">
        <v>264615</v>
      </c>
      <c r="J45" s="4"/>
      <c r="K45" s="10">
        <v>3900</v>
      </c>
      <c r="L45" s="11">
        <f t="shared" si="0"/>
        <v>260715</v>
      </c>
      <c r="M45" s="6">
        <v>43453</v>
      </c>
      <c r="N45" s="27" t="str">
        <f>"997646"</f>
        <v>997646</v>
      </c>
    </row>
    <row r="46" spans="1:14" ht="15">
      <c r="A46" s="9">
        <v>39</v>
      </c>
      <c r="B46" s="4" t="s">
        <v>20</v>
      </c>
      <c r="C46" s="5" t="s">
        <v>21</v>
      </c>
      <c r="D46" s="27" t="str">
        <f>"2018-12-18 20:57:17"</f>
        <v>2018-12-18 20:57:17</v>
      </c>
      <c r="E46" s="27" t="str">
        <f>"15413514649886108801"</f>
        <v>15413514649886108801</v>
      </c>
      <c r="F46" s="4" t="s">
        <v>22</v>
      </c>
      <c r="G46" s="27" t="str">
        <f>"dwi wahyu wulansuci"</f>
        <v>dwi wahyu wulansuci</v>
      </c>
      <c r="H46" s="27" t="str">
        <f>"8827181105001101"</f>
        <v>8827181105001101</v>
      </c>
      <c r="I46" s="28">
        <v>1704000</v>
      </c>
      <c r="J46" s="4"/>
      <c r="K46" s="10">
        <v>3900</v>
      </c>
      <c r="L46" s="11">
        <f t="shared" si="0"/>
        <v>1700100</v>
      </c>
      <c r="M46" s="6">
        <v>43453</v>
      </c>
      <c r="N46" s="27" t="str">
        <f>"160726"</f>
        <v>160726</v>
      </c>
    </row>
    <row r="47" spans="1:14" ht="15">
      <c r="A47" s="9">
        <v>40</v>
      </c>
      <c r="B47" s="4" t="s">
        <v>20</v>
      </c>
      <c r="C47" s="5" t="s">
        <v>21</v>
      </c>
      <c r="D47" s="27" t="str">
        <f>"2018-12-18 20:55:15"</f>
        <v>2018-12-18 20:55:15</v>
      </c>
      <c r="E47" s="27" t="str">
        <f>"15418554916538093488"</f>
        <v>15418554916538093488</v>
      </c>
      <c r="F47" s="4" t="s">
        <v>22</v>
      </c>
      <c r="G47" s="27" t="str">
        <f>"wilda melia"</f>
        <v>wilda melia</v>
      </c>
      <c r="H47" s="27" t="str">
        <f>"8827181110201101"</f>
        <v>8827181110201101</v>
      </c>
      <c r="I47" s="28">
        <v>1752000</v>
      </c>
      <c r="J47" s="4"/>
      <c r="K47" s="10">
        <v>3900</v>
      </c>
      <c r="L47" s="11">
        <f t="shared" si="0"/>
        <v>1748100</v>
      </c>
      <c r="M47" s="6">
        <v>43453</v>
      </c>
      <c r="N47" s="27" t="str">
        <f>"996127"</f>
        <v>996127</v>
      </c>
    </row>
    <row r="48" spans="1:14" ht="15">
      <c r="A48" s="9">
        <v>41</v>
      </c>
      <c r="B48" s="4" t="s">
        <v>20</v>
      </c>
      <c r="C48" s="5" t="s">
        <v>21</v>
      </c>
      <c r="D48" s="27" t="str">
        <f>"2018-12-18 20:54:44"</f>
        <v>2018-12-18 20:54:44</v>
      </c>
      <c r="E48" s="27" t="str">
        <f>"15429581904569802213"</f>
        <v>15429581904569802213</v>
      </c>
      <c r="F48" s="4" t="s">
        <v>22</v>
      </c>
      <c r="G48" s="27" t="str">
        <f>"MAYA SEPTA LINDARSARI"</f>
        <v>MAYA SEPTA LINDARSARI</v>
      </c>
      <c r="H48" s="27" t="str">
        <f>"8827181123142923"</f>
        <v>8827181123142923</v>
      </c>
      <c r="I48" s="28">
        <v>1200100</v>
      </c>
      <c r="J48" s="4"/>
      <c r="K48" s="10">
        <v>3900</v>
      </c>
      <c r="L48" s="11">
        <f t="shared" si="0"/>
        <v>1196200</v>
      </c>
      <c r="M48" s="6">
        <v>43453</v>
      </c>
      <c r="N48" s="27" t="str">
        <f>"995896"</f>
        <v>995896</v>
      </c>
    </row>
    <row r="49" spans="1:14" ht="15">
      <c r="A49" s="9">
        <v>42</v>
      </c>
      <c r="B49" s="4" t="s">
        <v>20</v>
      </c>
      <c r="C49" s="5" t="s">
        <v>21</v>
      </c>
      <c r="D49" s="27" t="str">
        <f>"2018-12-18 20:53:18"</f>
        <v>2018-12-18 20:53:18</v>
      </c>
      <c r="E49" s="27" t="str">
        <f>"15434670152826851624"</f>
        <v>15434670152826851624</v>
      </c>
      <c r="F49" s="4" t="s">
        <v>22</v>
      </c>
      <c r="G49" s="27" t="str">
        <f>"Lestanto"</f>
        <v>Lestanto</v>
      </c>
      <c r="H49" s="27" t="str">
        <f>"8827181129115001"</f>
        <v>8827181129115001</v>
      </c>
      <c r="I49" s="28">
        <v>1740000</v>
      </c>
      <c r="J49" s="4"/>
      <c r="K49" s="10">
        <v>3900</v>
      </c>
      <c r="L49" s="11">
        <f t="shared" si="0"/>
        <v>1736100</v>
      </c>
      <c r="M49" s="6">
        <v>43453</v>
      </c>
      <c r="N49" s="27" t="str">
        <f>"130011"</f>
        <v>130011</v>
      </c>
    </row>
    <row r="50" spans="1:14" ht="15">
      <c r="A50" s="9">
        <v>43</v>
      </c>
      <c r="B50" s="4" t="s">
        <v>20</v>
      </c>
      <c r="C50" s="5" t="s">
        <v>21</v>
      </c>
      <c r="D50" s="27" t="str">
        <f>"2018-12-18 20:52:56"</f>
        <v>2018-12-18 20:52:56</v>
      </c>
      <c r="E50" s="27" t="str">
        <f>"15418638709911436459"</f>
        <v>15418638709911436459</v>
      </c>
      <c r="F50" s="4" t="s">
        <v>22</v>
      </c>
      <c r="G50" s="27" t="str">
        <f>"riska nopiyanti"</f>
        <v>riska nopiyanti</v>
      </c>
      <c r="H50" s="27" t="str">
        <f>"8827181110223101"</f>
        <v>8827181110223101</v>
      </c>
      <c r="I50" s="28">
        <v>1206350</v>
      </c>
      <c r="J50" s="4"/>
      <c r="K50" s="10">
        <v>3900</v>
      </c>
      <c r="L50" s="11">
        <f t="shared" si="0"/>
        <v>1202450</v>
      </c>
      <c r="M50" s="6">
        <v>43453</v>
      </c>
      <c r="N50" s="27" t="str">
        <f>"127136"</f>
        <v>127136</v>
      </c>
    </row>
    <row r="51" spans="1:14" ht="15">
      <c r="A51" s="9">
        <v>44</v>
      </c>
      <c r="B51" s="4" t="s">
        <v>20</v>
      </c>
      <c r="C51" s="5" t="s">
        <v>21</v>
      </c>
      <c r="D51" s="27" t="str">
        <f>"2018-12-18 20:51:57"</f>
        <v>2018-12-18 20:51:57</v>
      </c>
      <c r="E51" s="27" t="str">
        <f>"15430111142094885768"</f>
        <v>15430111142094885768</v>
      </c>
      <c r="F51" s="4" t="s">
        <v>22</v>
      </c>
      <c r="G51" s="27" t="str">
        <f>"rizky rachamadi jaya"</f>
        <v>rizky rachamadi jaya</v>
      </c>
      <c r="H51" s="27" t="str">
        <f>"8827181124051101"</f>
        <v>8827181124051101</v>
      </c>
      <c r="I51" s="28">
        <v>524500</v>
      </c>
      <c r="J51" s="4"/>
      <c r="K51" s="10">
        <v>3900</v>
      </c>
      <c r="L51" s="11">
        <f t="shared" si="0"/>
        <v>520600</v>
      </c>
      <c r="M51" s="6">
        <v>43453</v>
      </c>
      <c r="N51" s="27" t="str">
        <f>"119440"</f>
        <v>119440</v>
      </c>
    </row>
    <row r="52" spans="1:14" ht="15">
      <c r="A52" s="9">
        <v>45</v>
      </c>
      <c r="B52" s="4" t="s">
        <v>20</v>
      </c>
      <c r="C52" s="5" t="s">
        <v>21</v>
      </c>
      <c r="D52" s="27" t="str">
        <f>"2018-12-18 20:47:36"</f>
        <v>2018-12-18 20:47:36</v>
      </c>
      <c r="E52" s="27" t="str">
        <f>"15416668735271439847"</f>
        <v>15416668735271439847</v>
      </c>
      <c r="F52" s="4" t="s">
        <v>22</v>
      </c>
      <c r="G52" s="27" t="str">
        <f>"citra faramita"</f>
        <v>citra faramita</v>
      </c>
      <c r="H52" s="27" t="str">
        <f>"8827181108154704"</f>
        <v>8827181108154704</v>
      </c>
      <c r="I52" s="28">
        <v>1752000</v>
      </c>
      <c r="J52" s="4"/>
      <c r="K52" s="10">
        <v>3900</v>
      </c>
      <c r="L52" s="11">
        <f t="shared" si="0"/>
        <v>1748100</v>
      </c>
      <c r="M52" s="6">
        <v>43453</v>
      </c>
      <c r="N52" s="27" t="str">
        <f>"083646"</f>
        <v>083646</v>
      </c>
    </row>
    <row r="53" spans="1:14" ht="15">
      <c r="A53" s="9">
        <v>46</v>
      </c>
      <c r="B53" s="4" t="s">
        <v>20</v>
      </c>
      <c r="C53" s="5" t="s">
        <v>21</v>
      </c>
      <c r="D53" s="27" t="str">
        <f>"2018-12-18 20:47:30"</f>
        <v>2018-12-18 20:47:30</v>
      </c>
      <c r="E53" s="27" t="str">
        <f>"15415637914854322670"</f>
        <v>15415637914854322670</v>
      </c>
      <c r="F53" s="4" t="s">
        <v>22</v>
      </c>
      <c r="G53" s="27" t="str">
        <f>"ADITYA RIZKY KURNIAWAN"</f>
        <v>ADITYA RIZKY KURNIAWAN</v>
      </c>
      <c r="H53" s="27" t="str">
        <f>"8827181107110910"</f>
        <v>8827181107110910</v>
      </c>
      <c r="I53" s="28">
        <v>1190432</v>
      </c>
      <c r="J53" s="4"/>
      <c r="K53" s="10">
        <v>3900</v>
      </c>
      <c r="L53" s="11">
        <f t="shared" si="0"/>
        <v>1186532</v>
      </c>
      <c r="M53" s="6">
        <v>43453</v>
      </c>
      <c r="N53" s="27" t="str">
        <f>"082893"</f>
        <v>082893</v>
      </c>
    </row>
    <row r="54" spans="1:14" ht="15">
      <c r="A54" s="9">
        <v>47</v>
      </c>
      <c r="B54" s="4" t="s">
        <v>20</v>
      </c>
      <c r="C54" s="5" t="s">
        <v>21</v>
      </c>
      <c r="D54" s="27" t="str">
        <f>"2018-12-18 20:42:10"</f>
        <v>2018-12-18 20:42:10</v>
      </c>
      <c r="E54" s="27" t="str">
        <f>"15407019582551047150"</f>
        <v>15407019582551047150</v>
      </c>
      <c r="F54" s="4" t="s">
        <v>22</v>
      </c>
      <c r="G54" s="27" t="str">
        <f>"Rudi taslim"</f>
        <v>Rudi taslim</v>
      </c>
      <c r="H54" s="27" t="str">
        <f>"8827181028114503"</f>
        <v>8827181028114503</v>
      </c>
      <c r="I54" s="28">
        <v>1626000</v>
      </c>
      <c r="J54" s="4"/>
      <c r="K54" s="10">
        <v>3900</v>
      </c>
      <c r="L54" s="11">
        <f t="shared" si="0"/>
        <v>1622100</v>
      </c>
      <c r="M54" s="6">
        <v>43453</v>
      </c>
      <c r="N54" s="27" t="str">
        <f>"039240"</f>
        <v>039240</v>
      </c>
    </row>
    <row r="55" spans="1:14" ht="15">
      <c r="A55" s="9">
        <v>48</v>
      </c>
      <c r="B55" s="4" t="s">
        <v>20</v>
      </c>
      <c r="C55" s="5" t="s">
        <v>21</v>
      </c>
      <c r="D55" s="27" t="str">
        <f>"2018-12-18 20:41:39"</f>
        <v>2018-12-18 20:41:39</v>
      </c>
      <c r="E55" s="27" t="str">
        <f>"15421014008476264659"</f>
        <v>15421014008476264659</v>
      </c>
      <c r="F55" s="4" t="s">
        <v>22</v>
      </c>
      <c r="G55" s="27" t="str">
        <f>"Gunanta Ginting"</f>
        <v>Gunanta Ginting</v>
      </c>
      <c r="H55" s="27" t="str">
        <f>"8827181113163001"</f>
        <v>8827181113163001</v>
      </c>
      <c r="I55" s="28">
        <v>1178000</v>
      </c>
      <c r="J55" s="4"/>
      <c r="K55" s="10">
        <v>3900</v>
      </c>
      <c r="L55" s="11">
        <f t="shared" si="0"/>
        <v>1174100</v>
      </c>
      <c r="M55" s="6">
        <v>43453</v>
      </c>
      <c r="N55" s="27" t="str">
        <f>"034912"</f>
        <v>034912</v>
      </c>
    </row>
    <row r="56" spans="1:14" ht="15">
      <c r="A56" s="9">
        <v>49</v>
      </c>
      <c r="B56" s="4" t="s">
        <v>20</v>
      </c>
      <c r="C56" s="5" t="s">
        <v>21</v>
      </c>
      <c r="D56" s="27" t="str">
        <f>"2018-12-18 20:40:29"</f>
        <v>2018-12-18 20:40:29</v>
      </c>
      <c r="E56" s="27" t="str">
        <f>"15413534467395841712"</f>
        <v>15413534467395841712</v>
      </c>
      <c r="F56" s="4" t="s">
        <v>22</v>
      </c>
      <c r="G56" s="27" t="str">
        <f>"desi"</f>
        <v>desi</v>
      </c>
      <c r="H56" s="27" t="str">
        <f>"8827181105004401"</f>
        <v>8827181105004401</v>
      </c>
      <c r="I56" s="28">
        <v>1168000</v>
      </c>
      <c r="J56" s="4"/>
      <c r="K56" s="10">
        <v>3900</v>
      </c>
      <c r="L56" s="11">
        <f t="shared" si="0"/>
        <v>1164100</v>
      </c>
      <c r="M56" s="6">
        <v>43453</v>
      </c>
      <c r="N56" s="27" t="str">
        <f>"024786"</f>
        <v>024786</v>
      </c>
    </row>
    <row r="57" spans="1:14" ht="15">
      <c r="A57" s="9">
        <v>50</v>
      </c>
      <c r="B57" s="4" t="s">
        <v>20</v>
      </c>
      <c r="C57" s="5" t="s">
        <v>21</v>
      </c>
      <c r="D57" s="27" t="str">
        <f>"2018-12-18 20:39:27"</f>
        <v>2018-12-18 20:39:27</v>
      </c>
      <c r="E57" s="27" t="str">
        <f>"15410384969982607409"</f>
        <v>15410384969982607409</v>
      </c>
      <c r="F57" s="4" t="s">
        <v>22</v>
      </c>
      <c r="G57" s="27" t="str">
        <f>"Aan Andiyana"</f>
        <v>Aan Andiyana</v>
      </c>
      <c r="H57" s="27" t="str">
        <f>"8827181101091413"</f>
        <v>8827181101091413</v>
      </c>
      <c r="I57" s="28">
        <v>1902000</v>
      </c>
      <c r="J57" s="4"/>
      <c r="K57" s="10">
        <v>3900</v>
      </c>
      <c r="L57" s="11">
        <f t="shared" si="0"/>
        <v>1898100</v>
      </c>
      <c r="M57" s="6">
        <v>43453</v>
      </c>
      <c r="N57" s="27" t="str">
        <f>"015655"</f>
        <v>015655</v>
      </c>
    </row>
    <row r="58" spans="1:14" ht="15">
      <c r="A58" s="9">
        <v>51</v>
      </c>
      <c r="B58" s="4" t="s">
        <v>20</v>
      </c>
      <c r="C58" s="5" t="s">
        <v>21</v>
      </c>
      <c r="D58" s="27" t="str">
        <f>"2018-12-18 20:35:30"</f>
        <v>2018-12-18 20:35:30</v>
      </c>
      <c r="E58" s="27" t="str">
        <f>"15415373552544075912"</f>
        <v>15415373552544075912</v>
      </c>
      <c r="F58" s="4" t="s">
        <v>22</v>
      </c>
      <c r="G58" s="27" t="str">
        <f>"M Raisa Alfin"</f>
        <v>M Raisa Alfin</v>
      </c>
      <c r="H58" s="27" t="str">
        <f>"8827181107034901"</f>
        <v>8827181107034901</v>
      </c>
      <c r="I58" s="28">
        <v>314250</v>
      </c>
      <c r="J58" s="4"/>
      <c r="K58" s="10">
        <v>3900</v>
      </c>
      <c r="L58" s="11">
        <f t="shared" si="0"/>
        <v>310350</v>
      </c>
      <c r="M58" s="6">
        <v>43453</v>
      </c>
      <c r="N58" s="27" t="str">
        <f>"782405"</f>
        <v>782405</v>
      </c>
    </row>
    <row r="59" spans="1:14" ht="15">
      <c r="A59" s="9">
        <v>52</v>
      </c>
      <c r="B59" s="4" t="s">
        <v>20</v>
      </c>
      <c r="C59" s="5" t="s">
        <v>21</v>
      </c>
      <c r="D59" s="27" t="str">
        <f>"2018-12-18 20:33:15"</f>
        <v>2018-12-18 20:33:15</v>
      </c>
      <c r="E59" s="27" t="str">
        <f>"15435968307395182036"</f>
        <v>15435968307395182036</v>
      </c>
      <c r="F59" s="4" t="s">
        <v>22</v>
      </c>
      <c r="G59" s="27" t="str">
        <f>"abdullah"</f>
        <v>abdullah</v>
      </c>
      <c r="H59" s="27" t="str">
        <f>"8827181130235302"</f>
        <v>8827181130235302</v>
      </c>
      <c r="I59" s="28">
        <v>1728000</v>
      </c>
      <c r="J59" s="4"/>
      <c r="K59" s="10">
        <v>3900</v>
      </c>
      <c r="L59" s="11">
        <f t="shared" si="0"/>
        <v>1724100</v>
      </c>
      <c r="M59" s="6">
        <v>43453</v>
      </c>
      <c r="N59" s="27" t="str">
        <f>"763463"</f>
        <v>763463</v>
      </c>
    </row>
    <row r="60" spans="1:14" ht="15">
      <c r="A60" s="9">
        <v>53</v>
      </c>
      <c r="B60" s="4" t="s">
        <v>20</v>
      </c>
      <c r="C60" s="5" t="s">
        <v>21</v>
      </c>
      <c r="D60" s="27" t="str">
        <f>"2018-12-18 20:25:15"</f>
        <v>2018-12-18 20:25:15</v>
      </c>
      <c r="E60" s="27" t="str">
        <f>"15415884640518075688"</f>
        <v>15415884640518075688</v>
      </c>
      <c r="F60" s="4" t="s">
        <v>22</v>
      </c>
      <c r="G60" s="27" t="str">
        <f>"fifi mainarosa"</f>
        <v>fifi mainarosa</v>
      </c>
      <c r="H60" s="27" t="str">
        <f>"8827181107180101"</f>
        <v>8827181107180101</v>
      </c>
      <c r="I60" s="28">
        <v>1752000</v>
      </c>
      <c r="J60" s="4"/>
      <c r="K60" s="10">
        <v>3900</v>
      </c>
      <c r="L60" s="11">
        <f t="shared" si="0"/>
        <v>1748100</v>
      </c>
      <c r="M60" s="6">
        <v>43453</v>
      </c>
      <c r="N60" s="27" t="str">
        <f>"691626"</f>
        <v>691626</v>
      </c>
    </row>
    <row r="61" spans="1:14" ht="15">
      <c r="A61" s="9">
        <v>54</v>
      </c>
      <c r="B61" s="4" t="s">
        <v>20</v>
      </c>
      <c r="C61" s="5" t="s">
        <v>21</v>
      </c>
      <c r="D61" s="27" t="str">
        <f>"2018-12-18 20:21:23"</f>
        <v>2018-12-18 20:21:23</v>
      </c>
      <c r="E61" s="27" t="str">
        <f>"15423331733613020100"</f>
        <v>15423331733613020100</v>
      </c>
      <c r="F61" s="4" t="s">
        <v>22</v>
      </c>
      <c r="G61" s="27" t="str">
        <f>"desi yani"</f>
        <v>desi yani</v>
      </c>
      <c r="H61" s="27" t="str">
        <f>"8827181116085204"</f>
        <v>8827181116085204</v>
      </c>
      <c r="I61" s="28">
        <v>1346250</v>
      </c>
      <c r="J61" s="4"/>
      <c r="K61" s="10">
        <v>3900</v>
      </c>
      <c r="L61" s="11">
        <f t="shared" si="0"/>
        <v>1342350</v>
      </c>
      <c r="M61" s="6">
        <v>43453</v>
      </c>
      <c r="N61" s="27" t="str">
        <f>"656999"</f>
        <v>656999</v>
      </c>
    </row>
    <row r="62" spans="1:14" ht="15">
      <c r="A62" s="9">
        <v>55</v>
      </c>
      <c r="B62" s="4" t="s">
        <v>20</v>
      </c>
      <c r="C62" s="5" t="s">
        <v>21</v>
      </c>
      <c r="D62" s="27" t="str">
        <f>"2018-12-18 20:21:18"</f>
        <v>2018-12-18 20:21:18</v>
      </c>
      <c r="E62" s="27" t="str">
        <f>"15417811336665085000"</f>
        <v>15417811336665085000</v>
      </c>
      <c r="F62" s="4" t="s">
        <v>22</v>
      </c>
      <c r="G62" s="27" t="str">
        <f>"ADAM BUDIMAN NUGROHO"</f>
        <v>ADAM BUDIMAN NUGROHO</v>
      </c>
      <c r="H62" s="27" t="str">
        <f>"8827181109233202"</f>
        <v>8827181109233202</v>
      </c>
      <c r="I62" s="28">
        <v>1797000</v>
      </c>
      <c r="J62" s="4"/>
      <c r="K62" s="10">
        <v>3900</v>
      </c>
      <c r="L62" s="11">
        <f t="shared" si="0"/>
        <v>1793100</v>
      </c>
      <c r="M62" s="6">
        <v>43453</v>
      </c>
      <c r="N62" s="27" t="str">
        <f>"656125"</f>
        <v>656125</v>
      </c>
    </row>
    <row r="63" spans="1:14" ht="15">
      <c r="A63" s="9">
        <v>56</v>
      </c>
      <c r="B63" s="4" t="s">
        <v>20</v>
      </c>
      <c r="C63" s="5" t="s">
        <v>21</v>
      </c>
      <c r="D63" s="27" t="str">
        <f>"2018-12-18 20:18:42"</f>
        <v>2018-12-18 20:18:42</v>
      </c>
      <c r="E63" s="27" t="str">
        <f>"15413992373304839360"</f>
        <v>15413992373304839360</v>
      </c>
      <c r="F63" s="4" t="s">
        <v>22</v>
      </c>
      <c r="G63" s="27" t="str">
        <f>"angga tri yuniarno"</f>
        <v>angga tri yuniarno</v>
      </c>
      <c r="H63" s="27" t="str">
        <f>"8827181105132702"</f>
        <v>8827181105132702</v>
      </c>
      <c r="I63" s="28">
        <v>1704000</v>
      </c>
      <c r="J63" s="4"/>
      <c r="K63" s="10">
        <v>3900</v>
      </c>
      <c r="L63" s="11">
        <f t="shared" si="0"/>
        <v>1700100</v>
      </c>
      <c r="M63" s="6">
        <v>43453</v>
      </c>
      <c r="N63" s="27" t="str">
        <f>"632271"</f>
        <v>632271</v>
      </c>
    </row>
    <row r="64" spans="1:14" ht="15">
      <c r="A64" s="9">
        <v>57</v>
      </c>
      <c r="B64" s="4" t="s">
        <v>20</v>
      </c>
      <c r="C64" s="5" t="s">
        <v>21</v>
      </c>
      <c r="D64" s="27" t="str">
        <f>"2018-12-18 20:17:59"</f>
        <v>2018-12-18 20:17:59</v>
      </c>
      <c r="E64" s="27" t="str">
        <f>"15417362591051709268"</f>
        <v>15417362591051709268</v>
      </c>
      <c r="F64" s="4" t="s">
        <v>22</v>
      </c>
      <c r="G64" s="27" t="str">
        <f>"hyana christina"</f>
        <v>hyana christina</v>
      </c>
      <c r="H64" s="27" t="str">
        <f>"8827181109110401"</f>
        <v>8827181109110401</v>
      </c>
      <c r="I64" s="28">
        <v>2194500</v>
      </c>
      <c r="J64" s="4"/>
      <c r="K64" s="10">
        <v>3900</v>
      </c>
      <c r="L64" s="11">
        <f t="shared" si="0"/>
        <v>2190600</v>
      </c>
      <c r="M64" s="6">
        <v>43453</v>
      </c>
      <c r="N64" s="27" t="str">
        <f>"979724"</f>
        <v>979724</v>
      </c>
    </row>
    <row r="65" spans="1:14" ht="15">
      <c r="A65" s="9">
        <v>58</v>
      </c>
      <c r="B65" s="4" t="s">
        <v>20</v>
      </c>
      <c r="C65" s="5" t="s">
        <v>21</v>
      </c>
      <c r="D65" s="27" t="str">
        <f>"2018-12-18 20:17:10"</f>
        <v>2018-12-18 20:17:10</v>
      </c>
      <c r="E65" s="27" t="str">
        <f>"15415034374509887885"</f>
        <v>15415034374509887885</v>
      </c>
      <c r="F65" s="4" t="s">
        <v>22</v>
      </c>
      <c r="G65" s="27" t="str">
        <f>"Siti Hajar Maryani"</f>
        <v>Siti Hajar Maryani</v>
      </c>
      <c r="H65" s="27" t="str">
        <f>"8827181106182304"</f>
        <v>8827181106182304</v>
      </c>
      <c r="I65" s="28">
        <v>1168000</v>
      </c>
      <c r="J65" s="4"/>
      <c r="K65" s="10">
        <v>3900</v>
      </c>
      <c r="L65" s="11">
        <f t="shared" si="0"/>
        <v>1164100</v>
      </c>
      <c r="M65" s="6">
        <v>43453</v>
      </c>
      <c r="N65" s="27" t="str">
        <f>"618649"</f>
        <v>618649</v>
      </c>
    </row>
    <row r="66" spans="1:14" ht="15">
      <c r="A66" s="9">
        <v>59</v>
      </c>
      <c r="B66" s="4" t="s">
        <v>20</v>
      </c>
      <c r="C66" s="5" t="s">
        <v>21</v>
      </c>
      <c r="D66" s="27" t="str">
        <f>"2018-12-18 20:15:55"</f>
        <v>2018-12-18 20:15:55</v>
      </c>
      <c r="E66" s="27" t="str">
        <f>"15425944366612974500"</f>
        <v>15425944366612974500</v>
      </c>
      <c r="F66" s="4" t="s">
        <v>22</v>
      </c>
      <c r="G66" s="27" t="str">
        <f>"Asan Nopik"</f>
        <v>Asan Nopik</v>
      </c>
      <c r="H66" s="27" t="str">
        <f>"8827181119092701"</f>
        <v>8827181119092701</v>
      </c>
      <c r="I66" s="28">
        <v>1765500</v>
      </c>
      <c r="J66" s="4"/>
      <c r="K66" s="10">
        <v>3900</v>
      </c>
      <c r="L66" s="11">
        <f t="shared" si="0"/>
        <v>1761600</v>
      </c>
      <c r="M66" s="6">
        <v>43453</v>
      </c>
      <c r="N66" s="27" t="str">
        <f>"978606"</f>
        <v>978606</v>
      </c>
    </row>
    <row r="67" spans="1:14" ht="15">
      <c r="A67" s="9">
        <v>60</v>
      </c>
      <c r="B67" s="4" t="s">
        <v>20</v>
      </c>
      <c r="C67" s="5" t="s">
        <v>21</v>
      </c>
      <c r="D67" s="27" t="str">
        <f>"2018-12-18 20:13:50"</f>
        <v>2018-12-18 20:13:50</v>
      </c>
      <c r="E67" s="27" t="str">
        <f>"15409949045886959198"</f>
        <v>15409949045886959198</v>
      </c>
      <c r="F67" s="4" t="s">
        <v>22</v>
      </c>
      <c r="G67" s="27" t="str">
        <f>"ruky illahi iblanarisa"</f>
        <v>ruky illahi iblanarisa</v>
      </c>
      <c r="H67" s="27" t="str">
        <f>"8827181031210802"</f>
        <v>8827181031210802</v>
      </c>
      <c r="I67" s="28">
        <v>1635200</v>
      </c>
      <c r="J67" s="4"/>
      <c r="K67" s="10">
        <v>3900</v>
      </c>
      <c r="L67" s="11">
        <f t="shared" si="0"/>
        <v>1631300</v>
      </c>
      <c r="M67" s="6">
        <v>43453</v>
      </c>
      <c r="N67" s="27" t="str">
        <f>"588098"</f>
        <v>588098</v>
      </c>
    </row>
    <row r="68" spans="1:14" ht="15">
      <c r="A68" s="9">
        <v>61</v>
      </c>
      <c r="B68" s="4" t="s">
        <v>20</v>
      </c>
      <c r="C68" s="5" t="s">
        <v>21</v>
      </c>
      <c r="D68" s="27" t="str">
        <f>"2018-12-18 20:11:43"</f>
        <v>2018-12-18 20:11:43</v>
      </c>
      <c r="E68" s="27" t="str">
        <f>"15408975029884780696"</f>
        <v>15408975029884780696</v>
      </c>
      <c r="F68" s="4" t="s">
        <v>22</v>
      </c>
      <c r="G68" s="27" t="str">
        <f>"sindi chinta mawati"</f>
        <v>sindi chinta mawati</v>
      </c>
      <c r="H68" s="27" t="str">
        <f>"8827181030180501"</f>
        <v>8827181030180501</v>
      </c>
      <c r="I68" s="28">
        <v>1902000</v>
      </c>
      <c r="J68" s="4"/>
      <c r="K68" s="10">
        <v>3900</v>
      </c>
      <c r="L68" s="11">
        <f t="shared" si="0"/>
        <v>1898100</v>
      </c>
      <c r="M68" s="6">
        <v>43453</v>
      </c>
      <c r="N68" s="27" t="str">
        <f>"568407"</f>
        <v>568407</v>
      </c>
    </row>
    <row r="69" spans="1:14" ht="15">
      <c r="A69" s="9">
        <v>62</v>
      </c>
      <c r="B69" s="4" t="s">
        <v>20</v>
      </c>
      <c r="C69" s="5" t="s">
        <v>21</v>
      </c>
      <c r="D69" s="27" t="str">
        <f>"2018-12-18 20:11:35"</f>
        <v>2018-12-18 20:11:35</v>
      </c>
      <c r="E69" s="27" t="str">
        <f>"15418326959378624510"</f>
        <v>15418326959378624510</v>
      </c>
      <c r="F69" s="4" t="s">
        <v>22</v>
      </c>
      <c r="G69" s="27" t="str">
        <f>"Marihot Pahala Nainggolan SH"</f>
        <v>Marihot Pahala Nainggolan SH</v>
      </c>
      <c r="H69" s="27" t="str">
        <f>"8827181110135105"</f>
        <v>8827181110135105</v>
      </c>
      <c r="I69" s="28">
        <v>1740000</v>
      </c>
      <c r="J69" s="4"/>
      <c r="K69" s="10">
        <v>3900</v>
      </c>
      <c r="L69" s="11">
        <f t="shared" si="0"/>
        <v>1736100</v>
      </c>
      <c r="M69" s="6">
        <v>43453</v>
      </c>
      <c r="N69" s="27" t="str">
        <f>"567208"</f>
        <v>567208</v>
      </c>
    </row>
    <row r="70" spans="1:14" ht="15">
      <c r="A70" s="9">
        <v>63</v>
      </c>
      <c r="B70" s="4" t="s">
        <v>20</v>
      </c>
      <c r="C70" s="5" t="s">
        <v>21</v>
      </c>
      <c r="D70" s="27" t="str">
        <f>"2018-12-18 20:08:05"</f>
        <v>2018-12-18 20:08:05</v>
      </c>
      <c r="E70" s="27" t="str">
        <f>"15413110506317350319"</f>
        <v>15413110506317350319</v>
      </c>
      <c r="F70" s="4" t="s">
        <v>22</v>
      </c>
      <c r="G70" s="27" t="str">
        <f>"renol ferdiansa"</f>
        <v>renol ferdiansa</v>
      </c>
      <c r="H70" s="27" t="str">
        <f>"8827181104125701"</f>
        <v>8827181104125701</v>
      </c>
      <c r="I70" s="28">
        <v>1680000</v>
      </c>
      <c r="J70" s="4"/>
      <c r="K70" s="10">
        <v>3900</v>
      </c>
      <c r="L70" s="11">
        <f t="shared" si="0"/>
        <v>1676100</v>
      </c>
      <c r="M70" s="6">
        <v>43453</v>
      </c>
      <c r="N70" s="27" t="str">
        <f>"534210"</f>
        <v>534210</v>
      </c>
    </row>
    <row r="71" spans="1:14" ht="15">
      <c r="A71" s="9">
        <v>64</v>
      </c>
      <c r="B71" s="4" t="s">
        <v>20</v>
      </c>
      <c r="C71" s="5" t="s">
        <v>21</v>
      </c>
      <c r="D71" s="27" t="str">
        <f>"2018-12-18 20:03:52"</f>
        <v>2018-12-18 20:03:52</v>
      </c>
      <c r="E71" s="27" t="str">
        <f>"15414993361799566180"</f>
        <v>15414993361799566180</v>
      </c>
      <c r="F71" s="4" t="s">
        <v>22</v>
      </c>
      <c r="G71" s="27" t="str">
        <f>"ulta rahmadita"</f>
        <v>ulta rahmadita</v>
      </c>
      <c r="H71" s="27" t="str">
        <f>"8827181106171503"</f>
        <v>8827181106171503</v>
      </c>
      <c r="I71" s="28">
        <v>1472500</v>
      </c>
      <c r="J71" s="4"/>
      <c r="K71" s="10">
        <v>3900</v>
      </c>
      <c r="L71" s="11">
        <f t="shared" si="0"/>
        <v>1468600</v>
      </c>
      <c r="M71" s="6">
        <v>43453</v>
      </c>
      <c r="N71" s="27" t="str">
        <f>"493974"</f>
        <v>493974</v>
      </c>
    </row>
    <row r="72" spans="1:14" ht="15">
      <c r="A72" s="9">
        <v>65</v>
      </c>
      <c r="B72" s="4" t="s">
        <v>20</v>
      </c>
      <c r="C72" s="5" t="s">
        <v>21</v>
      </c>
      <c r="D72" s="27" t="str">
        <f>"2018-12-18 20:03:18"</f>
        <v>2018-12-18 20:03:18</v>
      </c>
      <c r="E72" s="27" t="str">
        <f>"15417655723233093795"</f>
        <v>15417655723233093795</v>
      </c>
      <c r="F72" s="4" t="s">
        <v>22</v>
      </c>
      <c r="G72" s="27" t="str">
        <f>"ekaningmasnurs"</f>
        <v>ekaningmasnurs</v>
      </c>
      <c r="H72" s="27" t="str">
        <f>"8827181109191204"</f>
        <v>8827181109191204</v>
      </c>
      <c r="I72" s="28">
        <v>1767000</v>
      </c>
      <c r="J72" s="4"/>
      <c r="K72" s="10">
        <v>3900</v>
      </c>
      <c r="L72" s="11">
        <f t="shared" si="0"/>
        <v>1763100</v>
      </c>
      <c r="M72" s="6">
        <v>43453</v>
      </c>
      <c r="N72" s="27" t="str">
        <f>"488449"</f>
        <v>488449</v>
      </c>
    </row>
    <row r="73" spans="1:14" ht="15">
      <c r="A73" s="9">
        <v>66</v>
      </c>
      <c r="B73" s="4" t="s">
        <v>20</v>
      </c>
      <c r="C73" s="5" t="s">
        <v>21</v>
      </c>
      <c r="D73" s="27" t="str">
        <f>"2018-12-18 20:00:34"</f>
        <v>2018-12-18 20:00:34</v>
      </c>
      <c r="E73" s="27" t="str">
        <f>"15441469308568535708"</f>
        <v>15441469308568535708</v>
      </c>
      <c r="F73" s="4" t="s">
        <v>22</v>
      </c>
      <c r="G73" s="27" t="str">
        <f>"agiz perdita edward"</f>
        <v>agiz perdita edward</v>
      </c>
      <c r="H73" s="27" t="str">
        <f>"8827181207084201"</f>
        <v>8827181207084201</v>
      </c>
      <c r="I73" s="28">
        <v>1250050</v>
      </c>
      <c r="J73" s="4"/>
      <c r="K73" s="10">
        <v>3900</v>
      </c>
      <c r="L73" s="11">
        <f t="shared" ref="L73:L136" si="1">(I73-K73)</f>
        <v>1246150</v>
      </c>
      <c r="M73" s="6">
        <v>43453</v>
      </c>
      <c r="N73" s="27" t="str">
        <f>"970827"</f>
        <v>970827</v>
      </c>
    </row>
    <row r="74" spans="1:14" ht="15">
      <c r="A74" s="9">
        <v>67</v>
      </c>
      <c r="B74" s="4" t="s">
        <v>20</v>
      </c>
      <c r="C74" s="5" t="s">
        <v>21</v>
      </c>
      <c r="D74" s="27" t="str">
        <f>"2018-12-18 19:58:00"</f>
        <v>2018-12-18 19:58:00</v>
      </c>
      <c r="E74" s="27" t="str">
        <f>"15427620146395004024"</f>
        <v>15427620146395004024</v>
      </c>
      <c r="F74" s="4" t="s">
        <v>22</v>
      </c>
      <c r="G74" s="27" t="str">
        <f>"muhammad muthohar"</f>
        <v>muhammad muthohar</v>
      </c>
      <c r="H74" s="27" t="str">
        <f>"8827181121080001"</f>
        <v>8827181121080001</v>
      </c>
      <c r="I74" s="28">
        <v>1636500</v>
      </c>
      <c r="J74" s="4"/>
      <c r="K74" s="10">
        <v>3900</v>
      </c>
      <c r="L74" s="11">
        <f t="shared" si="1"/>
        <v>1632600</v>
      </c>
      <c r="M74" s="6">
        <v>43453</v>
      </c>
      <c r="N74" s="27" t="str">
        <f>"438884"</f>
        <v>438884</v>
      </c>
    </row>
    <row r="75" spans="1:14" ht="15">
      <c r="A75" s="9">
        <v>68</v>
      </c>
      <c r="B75" s="4" t="s">
        <v>20</v>
      </c>
      <c r="C75" s="5" t="s">
        <v>21</v>
      </c>
      <c r="D75" s="27" t="str">
        <f>"2018-12-18 19:56:50"</f>
        <v>2018-12-18 19:56:50</v>
      </c>
      <c r="E75" s="27" t="str">
        <f>"15421577205087323329"</f>
        <v>15421577205087323329</v>
      </c>
      <c r="F75" s="4" t="s">
        <v>22</v>
      </c>
      <c r="G75" s="27" t="str">
        <f>"cyntia hasna farihah"</f>
        <v>cyntia hasna farihah</v>
      </c>
      <c r="H75" s="27" t="str">
        <f>"8827181114080802"</f>
        <v>8827181114080802</v>
      </c>
      <c r="I75" s="28">
        <v>1401600</v>
      </c>
      <c r="J75" s="4"/>
      <c r="K75" s="10">
        <v>3900</v>
      </c>
      <c r="L75" s="11">
        <f t="shared" si="1"/>
        <v>1397700</v>
      </c>
      <c r="M75" s="6">
        <v>43453</v>
      </c>
      <c r="N75" s="27" t="str">
        <f>"428126"</f>
        <v>428126</v>
      </c>
    </row>
    <row r="76" spans="1:14" ht="15">
      <c r="A76" s="9">
        <v>69</v>
      </c>
      <c r="B76" s="4" t="s">
        <v>20</v>
      </c>
      <c r="C76" s="5" t="s">
        <v>21</v>
      </c>
      <c r="D76" s="27" t="str">
        <f>"2018-12-18 19:52:53"</f>
        <v>2018-12-18 19:52:53</v>
      </c>
      <c r="E76" s="27" t="str">
        <f>"15412040420796135450"</f>
        <v>15412040420796135450</v>
      </c>
      <c r="F76" s="4" t="s">
        <v>22</v>
      </c>
      <c r="G76" s="27" t="str">
        <f>"Endang suhendang"</f>
        <v>Endang suhendang</v>
      </c>
      <c r="H76" s="27" t="str">
        <f>"8827181103071401"</f>
        <v>8827181103071401</v>
      </c>
      <c r="I76" s="28">
        <v>1924500</v>
      </c>
      <c r="J76" s="4"/>
      <c r="K76" s="10">
        <v>3900</v>
      </c>
      <c r="L76" s="11">
        <f t="shared" si="1"/>
        <v>1920600</v>
      </c>
      <c r="M76" s="6">
        <v>43453</v>
      </c>
      <c r="N76" s="27" t="str">
        <f>"390232"</f>
        <v>390232</v>
      </c>
    </row>
    <row r="77" spans="1:14" ht="15">
      <c r="A77" s="9">
        <v>70</v>
      </c>
      <c r="B77" s="4" t="s">
        <v>20</v>
      </c>
      <c r="C77" s="5" t="s">
        <v>21</v>
      </c>
      <c r="D77" s="27" t="str">
        <f>"2018-12-18 19:50:39"</f>
        <v>2018-12-18 19:50:39</v>
      </c>
      <c r="E77" s="27" t="str">
        <f>"15415700677035547005"</f>
        <v>15415700677035547005</v>
      </c>
      <c r="F77" s="4" t="s">
        <v>22</v>
      </c>
      <c r="G77" s="27" t="str">
        <f>"sherly eka saputri"</f>
        <v>sherly eka saputri</v>
      </c>
      <c r="H77" s="27" t="str">
        <f>"8827181107125403"</f>
        <v>8827181107125403</v>
      </c>
      <c r="I77" s="28">
        <v>1752000</v>
      </c>
      <c r="J77" s="4"/>
      <c r="K77" s="10">
        <v>3900</v>
      </c>
      <c r="L77" s="11">
        <f t="shared" si="1"/>
        <v>1748100</v>
      </c>
      <c r="M77" s="6">
        <v>43453</v>
      </c>
      <c r="N77" s="27" t="str">
        <f>"369334"</f>
        <v>369334</v>
      </c>
    </row>
    <row r="78" spans="1:14" ht="15">
      <c r="A78" s="9">
        <v>71</v>
      </c>
      <c r="B78" s="4" t="s">
        <v>20</v>
      </c>
      <c r="C78" s="5" t="s">
        <v>21</v>
      </c>
      <c r="D78" s="27" t="str">
        <f>"2018-12-18 19:49:50"</f>
        <v>2018-12-18 19:49:50</v>
      </c>
      <c r="E78" s="27" t="str">
        <f>"15413843301071823688"</f>
        <v>15413843301071823688</v>
      </c>
      <c r="F78" s="4" t="s">
        <v>22</v>
      </c>
      <c r="G78" s="27" t="str">
        <f>"fajar suhendra"</f>
        <v>fajar suhendra</v>
      </c>
      <c r="H78" s="27" t="str">
        <f>"8827181105091804"</f>
        <v>8827181105091804</v>
      </c>
      <c r="I78" s="28">
        <v>1626000</v>
      </c>
      <c r="J78" s="4"/>
      <c r="K78" s="10">
        <v>3900</v>
      </c>
      <c r="L78" s="11">
        <f t="shared" si="1"/>
        <v>1622100</v>
      </c>
      <c r="M78" s="6">
        <v>43453</v>
      </c>
      <c r="N78" s="27" t="str">
        <f>"361080"</f>
        <v>361080</v>
      </c>
    </row>
    <row r="79" spans="1:14" ht="15">
      <c r="A79" s="9">
        <v>72</v>
      </c>
      <c r="B79" s="4" t="s">
        <v>20</v>
      </c>
      <c r="C79" s="5" t="s">
        <v>21</v>
      </c>
      <c r="D79" s="27" t="str">
        <f>"2018-12-18 19:49:05"</f>
        <v>2018-12-18 19:49:05</v>
      </c>
      <c r="E79" s="27" t="str">
        <f>"15415459613311843886"</f>
        <v>15415459613311843886</v>
      </c>
      <c r="F79" s="4" t="s">
        <v>22</v>
      </c>
      <c r="G79" s="27" t="str">
        <f>"romi kurniawati"</f>
        <v>romi kurniawati</v>
      </c>
      <c r="H79" s="27" t="str">
        <f>"8827181107061202"</f>
        <v>8827181107061202</v>
      </c>
      <c r="I79" s="28">
        <v>1782000</v>
      </c>
      <c r="J79" s="4"/>
      <c r="K79" s="10">
        <v>3900</v>
      </c>
      <c r="L79" s="11">
        <f t="shared" si="1"/>
        <v>1778100</v>
      </c>
      <c r="M79" s="6">
        <v>43453</v>
      </c>
      <c r="N79" s="27" t="str">
        <f>"353765"</f>
        <v>353765</v>
      </c>
    </row>
    <row r="80" spans="1:14" ht="15">
      <c r="A80" s="9">
        <v>73</v>
      </c>
      <c r="B80" s="4" t="s">
        <v>20</v>
      </c>
      <c r="C80" s="5" t="s">
        <v>21</v>
      </c>
      <c r="D80" s="27" t="str">
        <f>"2018-12-18 19:48:05"</f>
        <v>2018-12-18 19:48:05</v>
      </c>
      <c r="E80" s="27" t="str">
        <f>"15424350393259666657"</f>
        <v>15424350393259666657</v>
      </c>
      <c r="F80" s="4" t="s">
        <v>22</v>
      </c>
      <c r="G80" s="27" t="str">
        <f>"niasahroni"</f>
        <v>niasahroni</v>
      </c>
      <c r="H80" s="27" t="str">
        <f>"8827181117131003"</f>
        <v>8827181117131003</v>
      </c>
      <c r="I80" s="28">
        <v>1707000</v>
      </c>
      <c r="J80" s="4"/>
      <c r="K80" s="10">
        <v>3900</v>
      </c>
      <c r="L80" s="11">
        <f t="shared" si="1"/>
        <v>1703100</v>
      </c>
      <c r="M80" s="6">
        <v>43453</v>
      </c>
      <c r="N80" s="27" t="str">
        <f>"344131"</f>
        <v>344131</v>
      </c>
    </row>
    <row r="81" spans="1:14" ht="15">
      <c r="A81" s="9">
        <v>74</v>
      </c>
      <c r="B81" s="4" t="s">
        <v>20</v>
      </c>
      <c r="C81" s="5" t="s">
        <v>21</v>
      </c>
      <c r="D81" s="27" t="str">
        <f>"2018-12-18 19:48:00"</f>
        <v>2018-12-18 19:48:00</v>
      </c>
      <c r="E81" s="27" t="str">
        <f>"15417250840106358612"</f>
        <v>15417250840106358612</v>
      </c>
      <c r="F81" s="4" t="s">
        <v>22</v>
      </c>
      <c r="G81" s="27" t="str">
        <f>"Dono ferdianto sp"</f>
        <v>Dono ferdianto sp</v>
      </c>
      <c r="H81" s="27" t="str">
        <f>"8827181109075801"</f>
        <v>8827181109075801</v>
      </c>
      <c r="I81" s="28">
        <v>1662000</v>
      </c>
      <c r="J81" s="4"/>
      <c r="K81" s="10">
        <v>3900</v>
      </c>
      <c r="L81" s="11">
        <f t="shared" si="1"/>
        <v>1658100</v>
      </c>
      <c r="M81" s="6">
        <v>43453</v>
      </c>
      <c r="N81" s="27" t="str">
        <f>"964331"</f>
        <v>964331</v>
      </c>
    </row>
    <row r="82" spans="1:14" ht="15">
      <c r="A82" s="9">
        <v>75</v>
      </c>
      <c r="B82" s="4" t="s">
        <v>20</v>
      </c>
      <c r="C82" s="5" t="s">
        <v>21</v>
      </c>
      <c r="D82" s="27" t="str">
        <f>"2018-12-18 19:44:55"</f>
        <v>2018-12-18 19:44:55</v>
      </c>
      <c r="E82" s="27" t="str">
        <f>"15415923680765963763"</f>
        <v>15415923680765963763</v>
      </c>
      <c r="F82" s="4" t="s">
        <v>22</v>
      </c>
      <c r="G82" s="27" t="str">
        <f>"herman"</f>
        <v>herman</v>
      </c>
      <c r="H82" s="27" t="str">
        <f>"8827181107190602"</f>
        <v>8827181107190602</v>
      </c>
      <c r="I82" s="28">
        <v>1752000</v>
      </c>
      <c r="J82" s="4"/>
      <c r="K82" s="10">
        <v>3900</v>
      </c>
      <c r="L82" s="11">
        <f t="shared" si="1"/>
        <v>1748100</v>
      </c>
      <c r="M82" s="6">
        <v>43453</v>
      </c>
      <c r="N82" s="27" t="str">
        <f>"313587"</f>
        <v>313587</v>
      </c>
    </row>
    <row r="83" spans="1:14" ht="15">
      <c r="A83" s="9">
        <v>76</v>
      </c>
      <c r="B83" s="4" t="s">
        <v>20</v>
      </c>
      <c r="C83" s="5" t="s">
        <v>21</v>
      </c>
      <c r="D83" s="27" t="str">
        <f>"2018-12-18 19:42:33"</f>
        <v>2018-12-18 19:42:33</v>
      </c>
      <c r="E83" s="27" t="str">
        <f>"15428197667094079965"</f>
        <v>15428197667094079965</v>
      </c>
      <c r="F83" s="4" t="s">
        <v>22</v>
      </c>
      <c r="G83" s="27" t="str">
        <f>"bambang sugiyarto"</f>
        <v>bambang sugiyarto</v>
      </c>
      <c r="H83" s="27" t="str">
        <f>"8827181122000201"</f>
        <v>8827181122000201</v>
      </c>
      <c r="I83" s="28">
        <v>1435050</v>
      </c>
      <c r="J83" s="4"/>
      <c r="K83" s="10">
        <v>3900</v>
      </c>
      <c r="L83" s="11">
        <f t="shared" si="1"/>
        <v>1431150</v>
      </c>
      <c r="M83" s="6">
        <v>43453</v>
      </c>
      <c r="N83" s="27" t="str">
        <f>"290753"</f>
        <v>290753</v>
      </c>
    </row>
    <row r="84" spans="1:14" ht="15">
      <c r="A84" s="9">
        <v>77</v>
      </c>
      <c r="B84" s="4" t="s">
        <v>20</v>
      </c>
      <c r="C84" s="5" t="s">
        <v>21</v>
      </c>
      <c r="D84" s="27" t="str">
        <f>"2018-12-18 19:39:59"</f>
        <v>2018-12-18 19:39:59</v>
      </c>
      <c r="E84" s="27" t="str">
        <f>"15408130070507863017"</f>
        <v>15408130070507863017</v>
      </c>
      <c r="F84" s="4" t="s">
        <v>22</v>
      </c>
      <c r="G84" s="27" t="str">
        <f>"Abdul Rojak"</f>
        <v>Abdul Rojak</v>
      </c>
      <c r="H84" s="27" t="str">
        <f>"8827181029183602"</f>
        <v>8827181029183602</v>
      </c>
      <c r="I84" s="28">
        <v>1626000</v>
      </c>
      <c r="J84" s="4"/>
      <c r="K84" s="10">
        <v>3900</v>
      </c>
      <c r="L84" s="11">
        <f t="shared" si="1"/>
        <v>1622100</v>
      </c>
      <c r="M84" s="6">
        <v>43453</v>
      </c>
      <c r="N84" s="27" t="str">
        <f>"960397"</f>
        <v>960397</v>
      </c>
    </row>
    <row r="85" spans="1:14" ht="15">
      <c r="A85" s="9">
        <v>78</v>
      </c>
      <c r="B85" s="4" t="s">
        <v>20</v>
      </c>
      <c r="C85" s="5" t="s">
        <v>21</v>
      </c>
      <c r="D85" s="27" t="str">
        <f>"2018-12-18 19:39:13"</f>
        <v>2018-12-18 19:39:13</v>
      </c>
      <c r="E85" s="27" t="str">
        <f>"15408908393356380671"</f>
        <v>15408908393356380671</v>
      </c>
      <c r="F85" s="4" t="s">
        <v>22</v>
      </c>
      <c r="G85" s="27" t="str">
        <f>"khurotul islamiyah"</f>
        <v>khurotul islamiyah</v>
      </c>
      <c r="H85" s="27" t="str">
        <f>"8827181030161318"</f>
        <v>8827181030161318</v>
      </c>
      <c r="I85" s="28">
        <v>1383800</v>
      </c>
      <c r="J85" s="4"/>
      <c r="K85" s="10">
        <v>3900</v>
      </c>
      <c r="L85" s="11">
        <f t="shared" si="1"/>
        <v>1379900</v>
      </c>
      <c r="M85" s="6">
        <v>43453</v>
      </c>
      <c r="N85" s="27" t="str">
        <f>"258600"</f>
        <v>258600</v>
      </c>
    </row>
    <row r="86" spans="1:14" ht="15">
      <c r="A86" s="9">
        <v>79</v>
      </c>
      <c r="B86" s="4" t="s">
        <v>20</v>
      </c>
      <c r="C86" s="5" t="s">
        <v>21</v>
      </c>
      <c r="D86" s="27" t="str">
        <f>"2018-12-18 19:37:22"</f>
        <v>2018-12-18 19:37:22</v>
      </c>
      <c r="E86" s="27" t="str">
        <f>"15435518114007345219"</f>
        <v>15435518114007345219</v>
      </c>
      <c r="F86" s="4" t="s">
        <v>22</v>
      </c>
      <c r="G86" s="27" t="str">
        <f>"ni putu ratna juwinda wati"</f>
        <v>ni putu ratna juwinda wati</v>
      </c>
      <c r="H86" s="27" t="str">
        <f>"8827181130112308"</f>
        <v>8827181130112308</v>
      </c>
      <c r="I86" s="28">
        <v>1588500</v>
      </c>
      <c r="J86" s="4"/>
      <c r="K86" s="10">
        <v>3900</v>
      </c>
      <c r="L86" s="11">
        <f t="shared" si="1"/>
        <v>1584600</v>
      </c>
      <c r="M86" s="6">
        <v>43453</v>
      </c>
      <c r="N86" s="27" t="str">
        <f>"959123"</f>
        <v>959123</v>
      </c>
    </row>
    <row r="87" spans="1:14" ht="15">
      <c r="A87" s="9">
        <v>80</v>
      </c>
      <c r="B87" s="4" t="s">
        <v>20</v>
      </c>
      <c r="C87" s="5" t="s">
        <v>21</v>
      </c>
      <c r="D87" s="27" t="str">
        <f>"2018-12-18 19:33:36"</f>
        <v>2018-12-18 19:33:36</v>
      </c>
      <c r="E87" s="27" t="str">
        <f>"15421804821058868982"</f>
        <v>15421804821058868982</v>
      </c>
      <c r="F87" s="4" t="s">
        <v>22</v>
      </c>
      <c r="G87" s="27" t="str">
        <f>"Pangestu Pandunata"</f>
        <v>Pangestu Pandunata</v>
      </c>
      <c r="H87" s="27" t="str">
        <f>"8827181114142801"</f>
        <v>8827181114142801</v>
      </c>
      <c r="I87" s="28">
        <v>1091000</v>
      </c>
      <c r="J87" s="4"/>
      <c r="K87" s="10">
        <v>3900</v>
      </c>
      <c r="L87" s="11">
        <f t="shared" si="1"/>
        <v>1087100</v>
      </c>
      <c r="M87" s="6">
        <v>43453</v>
      </c>
      <c r="N87" s="27" t="str">
        <f>"204361"</f>
        <v>204361</v>
      </c>
    </row>
    <row r="88" spans="1:14" ht="15">
      <c r="A88" s="9">
        <v>81</v>
      </c>
      <c r="B88" s="4" t="s">
        <v>20</v>
      </c>
      <c r="C88" s="5" t="s">
        <v>21</v>
      </c>
      <c r="D88" s="27" t="str">
        <f>"2018-12-18 19:33:28"</f>
        <v>2018-12-18 19:33:28</v>
      </c>
      <c r="E88" s="27" t="str">
        <f>"15412170384798687255"</f>
        <v>15412170384798687255</v>
      </c>
      <c r="F88" s="4" t="s">
        <v>22</v>
      </c>
      <c r="G88" s="27" t="str">
        <f>"Nindi Ayu Lestari"</f>
        <v>Nindi Ayu Lestari</v>
      </c>
      <c r="H88" s="27" t="str">
        <f>"8827181103105008"</f>
        <v>8827181103105008</v>
      </c>
      <c r="I88" s="28">
        <v>1089000</v>
      </c>
      <c r="J88" s="4"/>
      <c r="K88" s="10">
        <v>3900</v>
      </c>
      <c r="L88" s="11">
        <f t="shared" si="1"/>
        <v>1085100</v>
      </c>
      <c r="M88" s="6">
        <v>43453</v>
      </c>
      <c r="N88" s="27" t="str">
        <f>"203092"</f>
        <v>203092</v>
      </c>
    </row>
    <row r="89" spans="1:14" ht="15">
      <c r="A89" s="9">
        <v>82</v>
      </c>
      <c r="B89" s="4" t="s">
        <v>20</v>
      </c>
      <c r="C89" s="5" t="s">
        <v>21</v>
      </c>
      <c r="D89" s="27" t="str">
        <f>"2018-12-18 19:30:45"</f>
        <v>2018-12-18 19:30:45</v>
      </c>
      <c r="E89" s="27" t="str">
        <f>"15411487083302785440"</f>
        <v>15411487083302785440</v>
      </c>
      <c r="F89" s="4" t="s">
        <v>22</v>
      </c>
      <c r="G89" s="27" t="str">
        <f>"hemy agus"</f>
        <v>hemy agus</v>
      </c>
      <c r="H89" s="27" t="str">
        <f>"8827181102155102"</f>
        <v>8827181102155102</v>
      </c>
      <c r="I89" s="28">
        <v>1184700</v>
      </c>
      <c r="J89" s="4"/>
      <c r="K89" s="10">
        <v>3900</v>
      </c>
      <c r="L89" s="11">
        <f t="shared" si="1"/>
        <v>1180800</v>
      </c>
      <c r="M89" s="6">
        <v>43453</v>
      </c>
      <c r="N89" s="27" t="str">
        <f>"176109"</f>
        <v>176109</v>
      </c>
    </row>
    <row r="90" spans="1:14" ht="15">
      <c r="A90" s="9">
        <v>83</v>
      </c>
      <c r="B90" s="4" t="s">
        <v>20</v>
      </c>
      <c r="C90" s="5" t="s">
        <v>21</v>
      </c>
      <c r="D90" s="27" t="str">
        <f>"2018-12-18 19:30:19"</f>
        <v>2018-12-18 19:30:19</v>
      </c>
      <c r="E90" s="27" t="str">
        <f>"15417563086531871384"</f>
        <v>15417563086531871384</v>
      </c>
      <c r="F90" s="4" t="s">
        <v>22</v>
      </c>
      <c r="G90" s="27" t="str">
        <f>"Imam Tantowi"</f>
        <v>Imam Tantowi</v>
      </c>
      <c r="H90" s="27" t="str">
        <f>"8827181109163807"</f>
        <v>8827181109163807</v>
      </c>
      <c r="I90" s="28">
        <v>542000</v>
      </c>
      <c r="J90" s="4"/>
      <c r="K90" s="10">
        <v>3900</v>
      </c>
      <c r="L90" s="11">
        <f t="shared" si="1"/>
        <v>538100</v>
      </c>
      <c r="M90" s="6">
        <v>43453</v>
      </c>
      <c r="N90" s="27" t="str">
        <f>"171622"</f>
        <v>171622</v>
      </c>
    </row>
    <row r="91" spans="1:14" ht="15">
      <c r="A91" s="9">
        <v>84</v>
      </c>
      <c r="B91" s="4" t="s">
        <v>20</v>
      </c>
      <c r="C91" s="5" t="s">
        <v>21</v>
      </c>
      <c r="D91" s="27" t="str">
        <f>"2018-12-18 19:28:59"</f>
        <v>2018-12-18 19:28:59</v>
      </c>
      <c r="E91" s="27" t="str">
        <f>"15415036001682317934"</f>
        <v>15415036001682317934</v>
      </c>
      <c r="F91" s="4" t="s">
        <v>22</v>
      </c>
      <c r="G91" s="27" t="str">
        <f>"Nia Nurmala"</f>
        <v>Nia Nurmala</v>
      </c>
      <c r="H91" s="27" t="str">
        <f>"8827181106182602"</f>
        <v>8827181106182602</v>
      </c>
      <c r="I91" s="28">
        <v>1687400</v>
      </c>
      <c r="J91" s="4"/>
      <c r="K91" s="10">
        <v>3900</v>
      </c>
      <c r="L91" s="11">
        <f t="shared" si="1"/>
        <v>1683500</v>
      </c>
      <c r="M91" s="6">
        <v>43453</v>
      </c>
      <c r="N91" s="27" t="str">
        <f>"158096"</f>
        <v>158096</v>
      </c>
    </row>
    <row r="92" spans="1:14" ht="15">
      <c r="A92" s="9">
        <v>85</v>
      </c>
      <c r="B92" s="4" t="s">
        <v>20</v>
      </c>
      <c r="C92" s="5" t="s">
        <v>21</v>
      </c>
      <c r="D92" s="27" t="str">
        <f>"2018-12-18 19:16:44"</f>
        <v>2018-12-18 19:16:44</v>
      </c>
      <c r="E92" s="27" t="str">
        <f>"15417495480065026187"</f>
        <v>15417495480065026187</v>
      </c>
      <c r="F92" s="4" t="s">
        <v>22</v>
      </c>
      <c r="G92" s="27" t="str">
        <f>"Vera susanti"</f>
        <v>Vera susanti</v>
      </c>
      <c r="H92" s="27" t="str">
        <f>"8827181109144506"</f>
        <v>8827181109144506</v>
      </c>
      <c r="I92" s="28">
        <v>878400</v>
      </c>
      <c r="J92" s="4"/>
      <c r="K92" s="10">
        <v>3900</v>
      </c>
      <c r="L92" s="11">
        <f t="shared" si="1"/>
        <v>874500</v>
      </c>
      <c r="M92" s="6">
        <v>43453</v>
      </c>
      <c r="N92" s="27" t="str">
        <f>"005237"</f>
        <v>005237</v>
      </c>
    </row>
    <row r="93" spans="1:14" ht="15">
      <c r="A93" s="9">
        <v>86</v>
      </c>
      <c r="B93" s="4" t="s">
        <v>20</v>
      </c>
      <c r="C93" s="5" t="s">
        <v>21</v>
      </c>
      <c r="D93" s="27" t="str">
        <f>"2018-12-18 19:06:38"</f>
        <v>2018-12-18 19:06:38</v>
      </c>
      <c r="E93" s="27" t="str">
        <f>"15415454787821243852"</f>
        <v>15415454787821243852</v>
      </c>
      <c r="F93" s="4" t="s">
        <v>22</v>
      </c>
      <c r="G93" s="27" t="str">
        <f>"tisha devi kusuma"</f>
        <v>tisha devi kusuma</v>
      </c>
      <c r="H93" s="27" t="str">
        <f>"8827181107060402"</f>
        <v>8827181107060402</v>
      </c>
      <c r="I93" s="28">
        <v>1346250</v>
      </c>
      <c r="J93" s="4"/>
      <c r="K93" s="10">
        <v>3900</v>
      </c>
      <c r="L93" s="11">
        <f t="shared" si="1"/>
        <v>1342350</v>
      </c>
      <c r="M93" s="6">
        <v>43453</v>
      </c>
      <c r="N93" s="27" t="str">
        <f>"644106"</f>
        <v>644106</v>
      </c>
    </row>
    <row r="94" spans="1:14" ht="15">
      <c r="A94" s="9">
        <v>87</v>
      </c>
      <c r="B94" s="4" t="s">
        <v>20</v>
      </c>
      <c r="C94" s="5" t="s">
        <v>21</v>
      </c>
      <c r="D94" s="27" t="str">
        <f>"2018-12-18 19:06:03"</f>
        <v>2018-12-18 19:06:03</v>
      </c>
      <c r="E94" s="27" t="str">
        <f>"15406963245618852697"</f>
        <v>15406963245618852697</v>
      </c>
      <c r="F94" s="4" t="s">
        <v>22</v>
      </c>
      <c r="G94" s="27" t="str">
        <f>"Suryani"</f>
        <v>Suryani</v>
      </c>
      <c r="H94" s="27" t="str">
        <f>"8827181028101201"</f>
        <v>8827181028101201</v>
      </c>
      <c r="I94" s="28">
        <v>1576800</v>
      </c>
      <c r="J94" s="4"/>
      <c r="K94" s="10">
        <v>3900</v>
      </c>
      <c r="L94" s="11">
        <f t="shared" si="1"/>
        <v>1572900</v>
      </c>
      <c r="M94" s="6">
        <v>43453</v>
      </c>
      <c r="N94" s="27" t="str">
        <f>"637464"</f>
        <v>637464</v>
      </c>
    </row>
    <row r="95" spans="1:14" ht="15">
      <c r="A95" s="9">
        <v>88</v>
      </c>
      <c r="B95" s="4" t="s">
        <v>20</v>
      </c>
      <c r="C95" s="5" t="s">
        <v>21</v>
      </c>
      <c r="D95" s="27" t="str">
        <f>"2018-12-18 19:05:34"</f>
        <v>2018-12-18 19:05:34</v>
      </c>
      <c r="E95" s="27" t="str">
        <f>"15415560220684241694"</f>
        <v>15415560220684241694</v>
      </c>
      <c r="F95" s="4" t="s">
        <v>22</v>
      </c>
      <c r="G95" s="27" t="str">
        <f>"riski"</f>
        <v>riski</v>
      </c>
      <c r="H95" s="27" t="str">
        <f>"8827181107090003"</f>
        <v>8827181107090003</v>
      </c>
      <c r="I95" s="28">
        <v>535000</v>
      </c>
      <c r="J95" s="4"/>
      <c r="K95" s="10">
        <v>3900</v>
      </c>
      <c r="L95" s="11">
        <f t="shared" si="1"/>
        <v>531100</v>
      </c>
      <c r="M95" s="6">
        <v>43453</v>
      </c>
      <c r="N95" s="27" t="str">
        <f>"631490"</f>
        <v>631490</v>
      </c>
    </row>
    <row r="96" spans="1:14" ht="15">
      <c r="A96" s="9">
        <v>89</v>
      </c>
      <c r="B96" s="4" t="s">
        <v>20</v>
      </c>
      <c r="C96" s="5" t="s">
        <v>21</v>
      </c>
      <c r="D96" s="27" t="str">
        <f>"2018-12-18 19:04:29"</f>
        <v>2018-12-18 19:04:29</v>
      </c>
      <c r="E96" s="27" t="str">
        <f>"15430442796077445653"</f>
        <v>15430442796077445653</v>
      </c>
      <c r="F96" s="4" t="s">
        <v>22</v>
      </c>
      <c r="G96" s="27" t="str">
        <f>"didi rohadi"</f>
        <v>didi rohadi</v>
      </c>
      <c r="H96" s="27" t="str">
        <f>"8827181124142403"</f>
        <v>8827181124142403</v>
      </c>
      <c r="I96" s="28">
        <v>1812000</v>
      </c>
      <c r="J96" s="4"/>
      <c r="K96" s="10">
        <v>3900</v>
      </c>
      <c r="L96" s="11">
        <f t="shared" si="1"/>
        <v>1808100</v>
      </c>
      <c r="M96" s="6">
        <v>43453</v>
      </c>
      <c r="N96" s="27" t="str">
        <f>"612303"</f>
        <v>612303</v>
      </c>
    </row>
    <row r="97" spans="1:14" ht="15">
      <c r="A97" s="9">
        <v>90</v>
      </c>
      <c r="B97" s="4" t="s">
        <v>20</v>
      </c>
      <c r="C97" s="5" t="s">
        <v>21</v>
      </c>
      <c r="D97" s="27" t="str">
        <f>"2018-12-18 19:00:36"</f>
        <v>2018-12-18 19:00:36</v>
      </c>
      <c r="E97" s="27" t="str">
        <f>"15406349706173829980"</f>
        <v>15406349706173829980</v>
      </c>
      <c r="F97" s="4" t="s">
        <v>22</v>
      </c>
      <c r="G97" s="27" t="str">
        <f>"Febrina sutantris"</f>
        <v>Febrina sutantris</v>
      </c>
      <c r="H97" s="27" t="str">
        <f>"8827181027170901"</f>
        <v>8827181027170901</v>
      </c>
      <c r="I97" s="28">
        <v>1924500</v>
      </c>
      <c r="J97" s="4"/>
      <c r="K97" s="10">
        <v>3900</v>
      </c>
      <c r="L97" s="11">
        <f t="shared" si="1"/>
        <v>1920600</v>
      </c>
      <c r="M97" s="6">
        <v>43453</v>
      </c>
      <c r="N97" s="27" t="str">
        <f>"549966"</f>
        <v>549966</v>
      </c>
    </row>
    <row r="98" spans="1:14" ht="15">
      <c r="A98" s="9">
        <v>91</v>
      </c>
      <c r="B98" s="4" t="s">
        <v>20</v>
      </c>
      <c r="C98" s="5" t="s">
        <v>21</v>
      </c>
      <c r="D98" s="27" t="str">
        <f>"2018-12-18 19:00:30"</f>
        <v>2018-12-18 19:00:30</v>
      </c>
      <c r="E98" s="27" t="str">
        <f>"15407341237138413549"</f>
        <v>15407341237138413549</v>
      </c>
      <c r="F98" s="4" t="s">
        <v>22</v>
      </c>
      <c r="G98" s="27" t="str">
        <f>"Noni Novitasari"</f>
        <v>Noni Novitasari</v>
      </c>
      <c r="H98" s="27" t="str">
        <f>"8827181028204201"</f>
        <v>8827181028204201</v>
      </c>
      <c r="I98" s="28">
        <v>1485000</v>
      </c>
      <c r="J98" s="4"/>
      <c r="K98" s="10">
        <v>3900</v>
      </c>
      <c r="L98" s="11">
        <f t="shared" si="1"/>
        <v>1481100</v>
      </c>
      <c r="M98" s="6">
        <v>43453</v>
      </c>
      <c r="N98" s="27" t="str">
        <f>"548430"</f>
        <v>548430</v>
      </c>
    </row>
    <row r="99" spans="1:14" ht="15">
      <c r="A99" s="9">
        <v>92</v>
      </c>
      <c r="B99" s="4" t="s">
        <v>20</v>
      </c>
      <c r="C99" s="5" t="s">
        <v>21</v>
      </c>
      <c r="D99" s="27" t="str">
        <f>"2018-12-18 18:56:55"</f>
        <v>2018-12-18 18:56:55</v>
      </c>
      <c r="E99" s="27" t="str">
        <f>"15428492673294340780"</f>
        <v>15428492673294340780</v>
      </c>
      <c r="F99" s="4" t="s">
        <v>22</v>
      </c>
      <c r="G99" s="27" t="str">
        <f>"nasa hanggoro putro"</f>
        <v>nasa hanggoro putro</v>
      </c>
      <c r="H99" s="27" t="str">
        <f>"8827181122081401"</f>
        <v>8827181122081401</v>
      </c>
      <c r="I99" s="28">
        <v>1160000</v>
      </c>
      <c r="J99" s="4"/>
      <c r="K99" s="10">
        <v>3900</v>
      </c>
      <c r="L99" s="11">
        <f t="shared" si="1"/>
        <v>1156100</v>
      </c>
      <c r="M99" s="6">
        <v>43453</v>
      </c>
      <c r="N99" s="27" t="str">
        <f>"938182"</f>
        <v>938182</v>
      </c>
    </row>
    <row r="100" spans="1:14" ht="15">
      <c r="A100" s="9">
        <v>93</v>
      </c>
      <c r="B100" s="4" t="s">
        <v>20</v>
      </c>
      <c r="C100" s="5" t="s">
        <v>21</v>
      </c>
      <c r="D100" s="27" t="str">
        <f>"2018-12-18 18:55:17"</f>
        <v>2018-12-18 18:55:17</v>
      </c>
      <c r="E100" s="27" t="str">
        <f>"15409103252636373619"</f>
        <v>15409103252636373619</v>
      </c>
      <c r="F100" s="4" t="s">
        <v>22</v>
      </c>
      <c r="G100" s="27" t="str">
        <f>"fera febri yanti"</f>
        <v>fera febri yanti</v>
      </c>
      <c r="H100" s="27" t="str">
        <f>"8827181030213803"</f>
        <v>8827181030213803</v>
      </c>
      <c r="I100" s="28">
        <v>1453950</v>
      </c>
      <c r="J100" s="4"/>
      <c r="K100" s="10">
        <v>3900</v>
      </c>
      <c r="L100" s="11">
        <f t="shared" si="1"/>
        <v>1450050</v>
      </c>
      <c r="M100" s="6">
        <v>43453</v>
      </c>
      <c r="N100" s="27" t="str">
        <f>"472858"</f>
        <v>472858</v>
      </c>
    </row>
    <row r="101" spans="1:14" ht="15">
      <c r="A101" s="9">
        <v>94</v>
      </c>
      <c r="B101" s="4" t="s">
        <v>20</v>
      </c>
      <c r="C101" s="5" t="s">
        <v>21</v>
      </c>
      <c r="D101" s="27" t="str">
        <f>"2018-12-18 18:55:04"</f>
        <v>2018-12-18 18:55:04</v>
      </c>
      <c r="E101" s="27" t="str">
        <f>"15432398984633380762"</f>
        <v>15432398984633380762</v>
      </c>
      <c r="F101" s="4" t="s">
        <v>22</v>
      </c>
      <c r="G101" s="27" t="str">
        <f>"theresia apriliana"</f>
        <v>theresia apriliana</v>
      </c>
      <c r="H101" s="27" t="str">
        <f>"8827181126204401"</f>
        <v>8827181126204401</v>
      </c>
      <c r="I101" s="28">
        <v>1752000</v>
      </c>
      <c r="J101" s="4"/>
      <c r="K101" s="10">
        <v>3900</v>
      </c>
      <c r="L101" s="11">
        <f t="shared" si="1"/>
        <v>1748100</v>
      </c>
      <c r="M101" s="6">
        <v>43453</v>
      </c>
      <c r="N101" s="27" t="str">
        <f>"469474"</f>
        <v>469474</v>
      </c>
    </row>
    <row r="102" spans="1:14" ht="15">
      <c r="A102" s="9">
        <v>95</v>
      </c>
      <c r="B102" s="4" t="s">
        <v>20</v>
      </c>
      <c r="C102" s="5" t="s">
        <v>21</v>
      </c>
      <c r="D102" s="27" t="str">
        <f>"2018-12-18 18:54:32"</f>
        <v>2018-12-18 18:54:32</v>
      </c>
      <c r="E102" s="27" t="str">
        <f>"15421761531878929758"</f>
        <v>15421761531878929758</v>
      </c>
      <c r="F102" s="4" t="s">
        <v>22</v>
      </c>
      <c r="G102" s="27" t="str">
        <f>"Bangun Adiwinoto"</f>
        <v>Bangun Adiwinoto</v>
      </c>
      <c r="H102" s="27" t="str">
        <f>"8827181114131503"</f>
        <v>8827181114131503</v>
      </c>
      <c r="I102" s="28">
        <v>1537200</v>
      </c>
      <c r="J102" s="4"/>
      <c r="K102" s="10">
        <v>3900</v>
      </c>
      <c r="L102" s="11">
        <f t="shared" si="1"/>
        <v>1533300</v>
      </c>
      <c r="M102" s="6">
        <v>43453</v>
      </c>
      <c r="N102" s="27" t="str">
        <f>"936996"</f>
        <v>936996</v>
      </c>
    </row>
    <row r="103" spans="1:14" ht="15">
      <c r="A103" s="9">
        <v>96</v>
      </c>
      <c r="B103" s="4" t="s">
        <v>20</v>
      </c>
      <c r="C103" s="5" t="s">
        <v>21</v>
      </c>
      <c r="D103" s="27" t="str">
        <f>"2018-12-18 18:51:53"</f>
        <v>2018-12-18 18:51:53</v>
      </c>
      <c r="E103" s="27" t="str">
        <f>"15429597217876339382"</f>
        <v>15429597217876339382</v>
      </c>
      <c r="F103" s="4" t="s">
        <v>22</v>
      </c>
      <c r="G103" s="27" t="str">
        <f>"ika meiyana hasan"</f>
        <v>ika meiyana hasan</v>
      </c>
      <c r="H103" s="27" t="str">
        <f>"8827181123145502"</f>
        <v>8827181123145502</v>
      </c>
      <c r="I103" s="28">
        <v>1152000</v>
      </c>
      <c r="J103" s="4"/>
      <c r="K103" s="10">
        <v>3900</v>
      </c>
      <c r="L103" s="11">
        <f t="shared" si="1"/>
        <v>1148100</v>
      </c>
      <c r="M103" s="6">
        <v>43453</v>
      </c>
      <c r="N103" s="27" t="str">
        <f>"391836"</f>
        <v>391836</v>
      </c>
    </row>
    <row r="104" spans="1:14" ht="15">
      <c r="A104" s="9">
        <v>97</v>
      </c>
      <c r="B104" s="4" t="s">
        <v>20</v>
      </c>
      <c r="C104" s="5" t="s">
        <v>21</v>
      </c>
      <c r="D104" s="27" t="str">
        <f>"2018-12-18 18:51:00"</f>
        <v>2018-12-18 18:51:00</v>
      </c>
      <c r="E104" s="27" t="str">
        <f>"15409430452647680494"</f>
        <v>15409430452647680494</v>
      </c>
      <c r="F104" s="4" t="s">
        <v>22</v>
      </c>
      <c r="G104" s="27" t="str">
        <f>"arif hariadi"</f>
        <v>arif hariadi</v>
      </c>
      <c r="H104" s="27" t="str">
        <f>"8827181031064403"</f>
        <v>8827181031064403</v>
      </c>
      <c r="I104" s="28">
        <v>1510000</v>
      </c>
      <c r="J104" s="4"/>
      <c r="K104" s="10">
        <v>3900</v>
      </c>
      <c r="L104" s="11">
        <f t="shared" si="1"/>
        <v>1506100</v>
      </c>
      <c r="M104" s="6">
        <v>43453</v>
      </c>
      <c r="N104" s="27" t="str">
        <f>"376429"</f>
        <v>376429</v>
      </c>
    </row>
    <row r="105" spans="1:14" ht="15">
      <c r="A105" s="9">
        <v>98</v>
      </c>
      <c r="B105" s="4" t="s">
        <v>20</v>
      </c>
      <c r="C105" s="5" t="s">
        <v>21</v>
      </c>
      <c r="D105" s="27" t="str">
        <f>"2018-12-18 18:50:35"</f>
        <v>2018-12-18 18:50:35</v>
      </c>
      <c r="E105" s="27" t="str">
        <f>"15420045082951784406"</f>
        <v>15420045082951784406</v>
      </c>
      <c r="F105" s="4" t="s">
        <v>22</v>
      </c>
      <c r="G105" s="27" t="str">
        <f>"cendy lupita  marbun"</f>
        <v>cendy lupita  marbun</v>
      </c>
      <c r="H105" s="27" t="str">
        <f>"8827181112133501"</f>
        <v>8827181112133501</v>
      </c>
      <c r="I105" s="28">
        <v>963000</v>
      </c>
      <c r="J105" s="4"/>
      <c r="K105" s="10">
        <v>3900</v>
      </c>
      <c r="L105" s="11">
        <f t="shared" si="1"/>
        <v>959100</v>
      </c>
      <c r="M105" s="6">
        <v>43453</v>
      </c>
      <c r="N105" s="27" t="str">
        <f>"368434"</f>
        <v>368434</v>
      </c>
    </row>
    <row r="106" spans="1:14" ht="15">
      <c r="A106" s="9">
        <v>99</v>
      </c>
      <c r="B106" s="4" t="s">
        <v>20</v>
      </c>
      <c r="C106" s="5" t="s">
        <v>21</v>
      </c>
      <c r="D106" s="27" t="str">
        <f>"2018-12-18 18:49:44"</f>
        <v>2018-12-18 18:49:44</v>
      </c>
      <c r="E106" s="27" t="str">
        <f>"15427129295599874856"</f>
        <v>15427129295599874856</v>
      </c>
      <c r="F106" s="4" t="s">
        <v>22</v>
      </c>
      <c r="G106" s="27" t="str">
        <f>"Elin Maulinia"</f>
        <v>Elin Maulinia</v>
      </c>
      <c r="H106" s="27" t="str">
        <f>"8827181120182201"</f>
        <v>8827181120182201</v>
      </c>
      <c r="I106" s="28">
        <v>1947000</v>
      </c>
      <c r="J106" s="4"/>
      <c r="K106" s="10">
        <v>3900</v>
      </c>
      <c r="L106" s="11">
        <f t="shared" si="1"/>
        <v>1943100</v>
      </c>
      <c r="M106" s="6">
        <v>43453</v>
      </c>
      <c r="N106" s="27" t="str">
        <f>"355245"</f>
        <v>355245</v>
      </c>
    </row>
    <row r="107" spans="1:14" ht="15">
      <c r="A107" s="9">
        <v>100</v>
      </c>
      <c r="B107" s="4" t="s">
        <v>20</v>
      </c>
      <c r="C107" s="5" t="s">
        <v>21</v>
      </c>
      <c r="D107" s="27" t="str">
        <f>"2018-12-18 18:47:48"</f>
        <v>2018-12-18 18:47:48</v>
      </c>
      <c r="E107" s="27" t="str">
        <f>"15415811460213431018"</f>
        <v>15415811460213431018</v>
      </c>
      <c r="F107" s="4" t="s">
        <v>22</v>
      </c>
      <c r="G107" s="27" t="str">
        <f>"asri megayani"</f>
        <v>asri megayani</v>
      </c>
      <c r="H107" s="27" t="str">
        <f>"8827181107155901"</f>
        <v>8827181107155901</v>
      </c>
      <c r="I107" s="28">
        <v>1460000</v>
      </c>
      <c r="J107" s="4"/>
      <c r="K107" s="10">
        <v>3900</v>
      </c>
      <c r="L107" s="11">
        <f t="shared" si="1"/>
        <v>1456100</v>
      </c>
      <c r="M107" s="6">
        <v>43453</v>
      </c>
      <c r="N107" s="27" t="str">
        <f>"326447"</f>
        <v>326447</v>
      </c>
    </row>
    <row r="108" spans="1:14" ht="15">
      <c r="A108" s="9">
        <v>101</v>
      </c>
      <c r="B108" s="4" t="s">
        <v>20</v>
      </c>
      <c r="C108" s="5" t="s">
        <v>21</v>
      </c>
      <c r="D108" s="27" t="str">
        <f>"2018-12-18 18:40:40"</f>
        <v>2018-12-18 18:40:40</v>
      </c>
      <c r="E108" s="27" t="str">
        <f>"15429566942606145275"</f>
        <v>15429566942606145275</v>
      </c>
      <c r="F108" s="4" t="s">
        <v>22</v>
      </c>
      <c r="G108" s="27" t="str">
        <f>"Yenni Angelina"</f>
        <v>Yenni Angelina</v>
      </c>
      <c r="H108" s="27" t="str">
        <f>"8827181123140401"</f>
        <v>8827181123140401</v>
      </c>
      <c r="I108" s="28">
        <v>1662000</v>
      </c>
      <c r="J108" s="4"/>
      <c r="K108" s="10">
        <v>3900</v>
      </c>
      <c r="L108" s="11">
        <f t="shared" si="1"/>
        <v>1658100</v>
      </c>
      <c r="M108" s="6">
        <v>43453</v>
      </c>
      <c r="N108" s="27" t="str">
        <f>"222943"</f>
        <v>222943</v>
      </c>
    </row>
    <row r="109" spans="1:14" ht="15">
      <c r="A109" s="9">
        <v>102</v>
      </c>
      <c r="B109" s="4" t="s">
        <v>20</v>
      </c>
      <c r="C109" s="5" t="s">
        <v>21</v>
      </c>
      <c r="D109" s="27" t="str">
        <f>"2018-12-18 18:37:58"</f>
        <v>2018-12-18 18:37:58</v>
      </c>
      <c r="E109" s="27" t="str">
        <f>"15415687440719470429"</f>
        <v>15415687440719470429</v>
      </c>
      <c r="F109" s="4" t="s">
        <v>22</v>
      </c>
      <c r="G109" s="27" t="str">
        <f>"SHABRI ARIF DJABAR"</f>
        <v>SHABRI ARIF DJABAR</v>
      </c>
      <c r="H109" s="27" t="str">
        <f>"8827181107123205"</f>
        <v>8827181107123205</v>
      </c>
      <c r="I109" s="28">
        <v>1752000</v>
      </c>
      <c r="J109" s="4"/>
      <c r="K109" s="10">
        <v>3900</v>
      </c>
      <c r="L109" s="11">
        <f t="shared" si="1"/>
        <v>1748100</v>
      </c>
      <c r="M109" s="6">
        <v>43453</v>
      </c>
      <c r="N109" s="27" t="str">
        <f>"928227"</f>
        <v>928227</v>
      </c>
    </row>
    <row r="110" spans="1:14" ht="15">
      <c r="A110" s="9">
        <v>103</v>
      </c>
      <c r="B110" s="4" t="s">
        <v>20</v>
      </c>
      <c r="C110" s="5" t="s">
        <v>21</v>
      </c>
      <c r="D110" s="27" t="str">
        <f>"2018-12-18 18:33:57"</f>
        <v>2018-12-18 18:33:57</v>
      </c>
      <c r="E110" s="27" t="str">
        <f>"15413793416571889294"</f>
        <v>15413793416571889294</v>
      </c>
      <c r="F110" s="4" t="s">
        <v>22</v>
      </c>
      <c r="G110" s="27" t="str">
        <f>"ERNA UMI SAFITRI"</f>
        <v>ERNA UMI SAFITRI</v>
      </c>
      <c r="H110" s="27" t="str">
        <f>"8827181105075504"</f>
        <v>8827181105075504</v>
      </c>
      <c r="I110" s="28">
        <v>1573500</v>
      </c>
      <c r="J110" s="4"/>
      <c r="K110" s="10">
        <v>3900</v>
      </c>
      <c r="L110" s="11">
        <f t="shared" si="1"/>
        <v>1569600</v>
      </c>
      <c r="M110" s="6">
        <v>43453</v>
      </c>
      <c r="N110" s="27" t="str">
        <f>"151107"</f>
        <v>151107</v>
      </c>
    </row>
    <row r="111" spans="1:14" ht="15">
      <c r="A111" s="9">
        <v>104</v>
      </c>
      <c r="B111" s="4" t="s">
        <v>20</v>
      </c>
      <c r="C111" s="5" t="s">
        <v>21</v>
      </c>
      <c r="D111" s="27" t="str">
        <f>"2018-12-18 18:31:59"</f>
        <v>2018-12-18 18:31:59</v>
      </c>
      <c r="E111" s="27" t="str">
        <f>"15447702952316254761"</f>
        <v>15447702952316254761</v>
      </c>
      <c r="F111" s="4" t="s">
        <v>22</v>
      </c>
      <c r="G111" s="27" t="str">
        <f>"HARIMAN ILHAM RHOMADONA I.C"</f>
        <v>HARIMAN ILHAM RHOMADONA I.C</v>
      </c>
      <c r="H111" s="27" t="str">
        <f>"8827181214135101"</f>
        <v>8827181214135101</v>
      </c>
      <c r="I111" s="28">
        <v>1242000</v>
      </c>
      <c r="J111" s="4"/>
      <c r="K111" s="10">
        <v>3900</v>
      </c>
      <c r="L111" s="11">
        <f t="shared" si="1"/>
        <v>1238100</v>
      </c>
      <c r="M111" s="6">
        <v>43453</v>
      </c>
      <c r="N111" s="27" t="str">
        <f>"925217"</f>
        <v>925217</v>
      </c>
    </row>
    <row r="112" spans="1:14" ht="15">
      <c r="A112" s="9">
        <v>105</v>
      </c>
      <c r="B112" s="4" t="s">
        <v>20</v>
      </c>
      <c r="C112" s="5" t="s">
        <v>21</v>
      </c>
      <c r="D112" s="27" t="str">
        <f>"2018-12-18 18:31:31"</f>
        <v>2018-12-18 18:31:31</v>
      </c>
      <c r="E112" s="27" t="str">
        <f>"15408046144281679491"</f>
        <v>15408046144281679491</v>
      </c>
      <c r="F112" s="4" t="s">
        <v>22</v>
      </c>
      <c r="G112" s="27" t="str">
        <f>"rita puspitasari"</f>
        <v>rita puspitasari</v>
      </c>
      <c r="H112" s="27" t="str">
        <f>"8827181029161604"</f>
        <v>8827181029161604</v>
      </c>
      <c r="I112" s="28">
        <v>1247400</v>
      </c>
      <c r="J112" s="4"/>
      <c r="K112" s="10">
        <v>3900</v>
      </c>
      <c r="L112" s="11">
        <f t="shared" si="1"/>
        <v>1243500</v>
      </c>
      <c r="M112" s="6">
        <v>43453</v>
      </c>
      <c r="N112" s="27" t="str">
        <f>"127208"</f>
        <v>127208</v>
      </c>
    </row>
    <row r="113" spans="1:14" ht="15">
      <c r="A113" s="9">
        <v>106</v>
      </c>
      <c r="B113" s="4" t="s">
        <v>20</v>
      </c>
      <c r="C113" s="5" t="s">
        <v>21</v>
      </c>
      <c r="D113" s="27" t="str">
        <f>"2018-12-18 18:28:21"</f>
        <v>2018-12-18 18:28:21</v>
      </c>
      <c r="E113" s="27" t="str">
        <f>"15425271019945844816"</f>
        <v>15425271019945844816</v>
      </c>
      <c r="F113" s="4" t="s">
        <v>22</v>
      </c>
      <c r="G113" s="27" t="str">
        <f>"Elmy Suliasti "</f>
        <v xml:space="preserve">Elmy Suliasti </v>
      </c>
      <c r="H113" s="27" t="str">
        <f>"8827181118144502"</f>
        <v>8827181118144502</v>
      </c>
      <c r="I113" s="28">
        <v>1207800</v>
      </c>
      <c r="J113" s="4"/>
      <c r="K113" s="10">
        <v>3900</v>
      </c>
      <c r="L113" s="11">
        <f t="shared" si="1"/>
        <v>1203900</v>
      </c>
      <c r="M113" s="6">
        <v>43453</v>
      </c>
      <c r="N113" s="27" t="str">
        <f>"923401"</f>
        <v>923401</v>
      </c>
    </row>
    <row r="114" spans="1:14" ht="15">
      <c r="A114" s="9">
        <v>107</v>
      </c>
      <c r="B114" s="4" t="s">
        <v>20</v>
      </c>
      <c r="C114" s="5" t="s">
        <v>21</v>
      </c>
      <c r="D114" s="27" t="str">
        <f>"2018-12-18 18:25:45"</f>
        <v>2018-12-18 18:25:45</v>
      </c>
      <c r="E114" s="27" t="str">
        <f>"15434170417547057855"</f>
        <v>15434170417547057855</v>
      </c>
      <c r="F114" s="4" t="s">
        <v>22</v>
      </c>
      <c r="G114" s="27" t="str">
        <f>"Alif fahriza"</f>
        <v>Alif fahriza</v>
      </c>
      <c r="H114" s="27" t="str">
        <f>"8827181128215702"</f>
        <v>8827181128215702</v>
      </c>
      <c r="I114" s="28">
        <v>700800</v>
      </c>
      <c r="J114" s="4"/>
      <c r="K114" s="10">
        <v>3900</v>
      </c>
      <c r="L114" s="11">
        <f t="shared" si="1"/>
        <v>696900</v>
      </c>
      <c r="M114" s="6">
        <v>43453</v>
      </c>
      <c r="N114" s="27" t="str">
        <f>"062235"</f>
        <v>062235</v>
      </c>
    </row>
    <row r="115" spans="1:14" ht="15">
      <c r="A115" s="9">
        <v>108</v>
      </c>
      <c r="B115" s="4" t="s">
        <v>20</v>
      </c>
      <c r="C115" s="5" t="s">
        <v>21</v>
      </c>
      <c r="D115" s="27" t="str">
        <f>"2018-12-18 18:22:42"</f>
        <v>2018-12-18 18:22:42</v>
      </c>
      <c r="E115" s="27" t="str">
        <f>"15411341452384948774"</f>
        <v>15411341452384948774</v>
      </c>
      <c r="F115" s="4" t="s">
        <v>22</v>
      </c>
      <c r="G115" s="27" t="str">
        <f>"Siska Yuliastri"</f>
        <v>Siska Yuliastri</v>
      </c>
      <c r="H115" s="27" t="str">
        <f>"8827181102114904"</f>
        <v>8827181102114904</v>
      </c>
      <c r="I115" s="28">
        <v>1355000</v>
      </c>
      <c r="J115" s="4"/>
      <c r="K115" s="10">
        <v>3900</v>
      </c>
      <c r="L115" s="11">
        <f t="shared" si="1"/>
        <v>1351100</v>
      </c>
      <c r="M115" s="6">
        <v>43453</v>
      </c>
      <c r="N115" s="27" t="str">
        <f>"033077"</f>
        <v>033077</v>
      </c>
    </row>
    <row r="116" spans="1:14" ht="15">
      <c r="A116" s="9">
        <v>109</v>
      </c>
      <c r="B116" s="4" t="s">
        <v>20</v>
      </c>
      <c r="C116" s="5" t="s">
        <v>21</v>
      </c>
      <c r="D116" s="27" t="str">
        <f>"2018-12-18 18:20:42"</f>
        <v>2018-12-18 18:20:42</v>
      </c>
      <c r="E116" s="27" t="str">
        <f>"15423517651899275842"</f>
        <v>15423517651899275842</v>
      </c>
      <c r="F116" s="4" t="s">
        <v>22</v>
      </c>
      <c r="G116" s="27" t="str">
        <f>"Sapto Dwi Herdianto"</f>
        <v>Sapto Dwi Herdianto</v>
      </c>
      <c r="H116" s="27" t="str">
        <f>"8827181116140202"</f>
        <v>8827181116140202</v>
      </c>
      <c r="I116" s="28">
        <v>1144000</v>
      </c>
      <c r="J116" s="4"/>
      <c r="K116" s="10">
        <v>3900</v>
      </c>
      <c r="L116" s="11">
        <f t="shared" si="1"/>
        <v>1140100</v>
      </c>
      <c r="M116" s="6">
        <v>43453</v>
      </c>
      <c r="N116" s="27" t="str">
        <f>"014687"</f>
        <v>014687</v>
      </c>
    </row>
    <row r="117" spans="1:14" ht="15">
      <c r="A117" s="9">
        <v>110</v>
      </c>
      <c r="B117" s="4" t="s">
        <v>20</v>
      </c>
      <c r="C117" s="5" t="s">
        <v>21</v>
      </c>
      <c r="D117" s="27" t="str">
        <f>"2018-12-18 18:18:37"</f>
        <v>2018-12-18 18:18:37</v>
      </c>
      <c r="E117" s="27" t="str">
        <f>"15433305941757260080"</f>
        <v>15433305941757260080</v>
      </c>
      <c r="F117" s="4" t="s">
        <v>22</v>
      </c>
      <c r="G117" s="27" t="str">
        <f>"francisca"</f>
        <v>francisca</v>
      </c>
      <c r="H117" s="27" t="str">
        <f>"8827181127215602"</f>
        <v>8827181127215602</v>
      </c>
      <c r="I117" s="28">
        <v>1752000</v>
      </c>
      <c r="J117" s="4"/>
      <c r="K117" s="10">
        <v>3900</v>
      </c>
      <c r="L117" s="11">
        <f t="shared" si="1"/>
        <v>1748100</v>
      </c>
      <c r="M117" s="6">
        <v>43453</v>
      </c>
      <c r="N117" s="27" t="str">
        <f>"794756"</f>
        <v>794756</v>
      </c>
    </row>
    <row r="118" spans="1:14" ht="15">
      <c r="A118" s="9">
        <v>111</v>
      </c>
      <c r="B118" s="4" t="s">
        <v>20</v>
      </c>
      <c r="C118" s="5" t="s">
        <v>21</v>
      </c>
      <c r="D118" s="27" t="str">
        <f>"2018-12-18 18:17:02"</f>
        <v>2018-12-18 18:17:02</v>
      </c>
      <c r="E118" s="27" t="str">
        <f>"15426257901161903873"</f>
        <v>15426257901161903873</v>
      </c>
      <c r="F118" s="4" t="s">
        <v>22</v>
      </c>
      <c r="G118" s="27" t="str">
        <f>"Radite Yulistianti"</f>
        <v>Radite Yulistianti</v>
      </c>
      <c r="H118" s="27" t="str">
        <f>"8827181119180903"</f>
        <v>8827181119180903</v>
      </c>
      <c r="I118" s="28">
        <v>1969500</v>
      </c>
      <c r="J118" s="4"/>
      <c r="K118" s="10">
        <v>3900</v>
      </c>
      <c r="L118" s="11">
        <f t="shared" si="1"/>
        <v>1965600</v>
      </c>
      <c r="M118" s="6">
        <v>43453</v>
      </c>
      <c r="N118" s="27" t="str">
        <f>"779862"</f>
        <v>779862</v>
      </c>
    </row>
    <row r="119" spans="1:14" ht="15">
      <c r="A119" s="9">
        <v>112</v>
      </c>
      <c r="B119" s="4" t="s">
        <v>20</v>
      </c>
      <c r="C119" s="5" t="s">
        <v>21</v>
      </c>
      <c r="D119" s="27" t="str">
        <f>"2018-12-18 18:15:09"</f>
        <v>2018-12-18 18:15:09</v>
      </c>
      <c r="E119" s="27" t="str">
        <f>"15432275301938906650"</f>
        <v>15432275301938906650</v>
      </c>
      <c r="F119" s="4" t="s">
        <v>22</v>
      </c>
      <c r="G119" s="27" t="str">
        <f>"alek nursalim"</f>
        <v>alek nursalim</v>
      </c>
      <c r="H119" s="27" t="str">
        <f>"8827181126171802"</f>
        <v>8827181126171802</v>
      </c>
      <c r="I119" s="28">
        <v>521000</v>
      </c>
      <c r="J119" s="4"/>
      <c r="K119" s="10">
        <v>3900</v>
      </c>
      <c r="L119" s="11">
        <f t="shared" si="1"/>
        <v>517100</v>
      </c>
      <c r="M119" s="6">
        <v>43453</v>
      </c>
      <c r="N119" s="27" t="str">
        <f>"760252"</f>
        <v>760252</v>
      </c>
    </row>
    <row r="120" spans="1:14" ht="15">
      <c r="A120" s="9">
        <v>113</v>
      </c>
      <c r="B120" s="4" t="s">
        <v>20</v>
      </c>
      <c r="C120" s="5" t="s">
        <v>21</v>
      </c>
      <c r="D120" s="27" t="str">
        <f>"2018-12-18 18:14:49"</f>
        <v>2018-12-18 18:14:49</v>
      </c>
      <c r="E120" s="27" t="str">
        <f>"15413293300713987476"</f>
        <v>15413293300713987476</v>
      </c>
      <c r="F120" s="4" t="s">
        <v>22</v>
      </c>
      <c r="G120" s="27" t="str">
        <f>"ahad muzakki safaro"</f>
        <v>ahad muzakki safaro</v>
      </c>
      <c r="H120" s="27" t="str">
        <f>"8827181104180201"</f>
        <v>8827181104180201</v>
      </c>
      <c r="I120" s="28">
        <v>584000</v>
      </c>
      <c r="J120" s="4"/>
      <c r="K120" s="10">
        <v>3900</v>
      </c>
      <c r="L120" s="11">
        <f t="shared" si="1"/>
        <v>580100</v>
      </c>
      <c r="M120" s="6">
        <v>43453</v>
      </c>
      <c r="N120" s="27" t="str">
        <f>"756724"</f>
        <v>756724</v>
      </c>
    </row>
    <row r="121" spans="1:14" ht="15">
      <c r="A121" s="9">
        <v>114</v>
      </c>
      <c r="B121" s="4" t="s">
        <v>20</v>
      </c>
      <c r="C121" s="5" t="s">
        <v>21</v>
      </c>
      <c r="D121" s="27" t="str">
        <f>"2018-12-18 18:13:23"</f>
        <v>2018-12-18 18:13:23</v>
      </c>
      <c r="E121" s="27" t="str">
        <f>"15416439760417994774"</f>
        <v>15416439760417994774</v>
      </c>
      <c r="F121" s="4" t="s">
        <v>22</v>
      </c>
      <c r="G121" s="27" t="str">
        <f>"Awang bakti ST"</f>
        <v>Awang bakti ST</v>
      </c>
      <c r="H121" s="27" t="str">
        <f>"8827181108092604"</f>
        <v>8827181108092604</v>
      </c>
      <c r="I121" s="28">
        <v>2217000</v>
      </c>
      <c r="J121" s="4"/>
      <c r="K121" s="10">
        <v>3900</v>
      </c>
      <c r="L121" s="11">
        <f t="shared" si="1"/>
        <v>2213100</v>
      </c>
      <c r="M121" s="6">
        <v>43453</v>
      </c>
      <c r="N121" s="27" t="str">
        <f>"743345"</f>
        <v>743345</v>
      </c>
    </row>
    <row r="122" spans="1:14" ht="15">
      <c r="A122" s="9">
        <v>115</v>
      </c>
      <c r="B122" s="4" t="s">
        <v>20</v>
      </c>
      <c r="C122" s="5" t="s">
        <v>21</v>
      </c>
      <c r="D122" s="27" t="str">
        <f>"2018-12-18 18:12:47"</f>
        <v>2018-12-18 18:12:47</v>
      </c>
      <c r="E122" s="27" t="str">
        <f>"15426008478909632975"</f>
        <v>15426008478909632975</v>
      </c>
      <c r="F122" s="4" t="s">
        <v>22</v>
      </c>
      <c r="G122" s="27" t="str">
        <f>"Dimaz Adi Nugroho"</f>
        <v>Dimaz Adi Nugroho</v>
      </c>
      <c r="H122" s="27" t="str">
        <f>"8827181119111401"</f>
        <v>8827181119111401</v>
      </c>
      <c r="I122" s="28">
        <v>1285700</v>
      </c>
      <c r="J122" s="4"/>
      <c r="K122" s="10">
        <v>3900</v>
      </c>
      <c r="L122" s="11">
        <f t="shared" si="1"/>
        <v>1281800</v>
      </c>
      <c r="M122" s="6">
        <v>43453</v>
      </c>
      <c r="N122" s="27" t="str">
        <f>"736441"</f>
        <v>736441</v>
      </c>
    </row>
    <row r="123" spans="1:14" ht="15">
      <c r="A123" s="9">
        <v>116</v>
      </c>
      <c r="B123" s="4" t="s">
        <v>20</v>
      </c>
      <c r="C123" s="5" t="s">
        <v>21</v>
      </c>
      <c r="D123" s="27" t="str">
        <f>"2018-12-18 18:12:46"</f>
        <v>2018-12-18 18:12:46</v>
      </c>
      <c r="E123" s="27" t="str">
        <f>"15409802781278164870"</f>
        <v>15409802781278164870</v>
      </c>
      <c r="F123" s="4" t="s">
        <v>22</v>
      </c>
      <c r="G123" s="27" t="str">
        <f>"Muhamad Yanuar, SE"</f>
        <v>Muhamad Yanuar, SE</v>
      </c>
      <c r="H123" s="27" t="str">
        <f>"8827181031170404"</f>
        <v>8827181031170404</v>
      </c>
      <c r="I123" s="28">
        <v>1752000</v>
      </c>
      <c r="J123" s="4"/>
      <c r="K123" s="10">
        <v>3900</v>
      </c>
      <c r="L123" s="11">
        <f t="shared" si="1"/>
        <v>1748100</v>
      </c>
      <c r="M123" s="6">
        <v>43453</v>
      </c>
      <c r="N123" s="27" t="str">
        <f>"736186"</f>
        <v>736186</v>
      </c>
    </row>
    <row r="124" spans="1:14" ht="15">
      <c r="A124" s="9">
        <v>117</v>
      </c>
      <c r="B124" s="4" t="s">
        <v>20</v>
      </c>
      <c r="C124" s="5" t="s">
        <v>21</v>
      </c>
      <c r="D124" s="27" t="str">
        <f>"2018-12-18 18:02:58"</f>
        <v>2018-12-18 18:02:58</v>
      </c>
      <c r="E124" s="27" t="str">
        <f>"15416433032791271210"</f>
        <v>15416433032791271210</v>
      </c>
      <c r="F124" s="4" t="s">
        <v>22</v>
      </c>
      <c r="G124" s="27" t="str">
        <f>"Hartanti"</f>
        <v>Hartanti</v>
      </c>
      <c r="H124" s="27" t="str">
        <f>"8827181108091501"</f>
        <v>8827181108091501</v>
      </c>
      <c r="I124" s="28">
        <v>1401600</v>
      </c>
      <c r="J124" s="4"/>
      <c r="K124" s="10">
        <v>3900</v>
      </c>
      <c r="L124" s="11">
        <f t="shared" si="1"/>
        <v>1397700</v>
      </c>
      <c r="M124" s="6">
        <v>43453</v>
      </c>
      <c r="N124" s="27" t="str">
        <f>"624781"</f>
        <v>624781</v>
      </c>
    </row>
    <row r="125" spans="1:14" ht="15">
      <c r="A125" s="9">
        <v>118</v>
      </c>
      <c r="B125" s="4" t="s">
        <v>20</v>
      </c>
      <c r="C125" s="5" t="s">
        <v>21</v>
      </c>
      <c r="D125" s="27" t="str">
        <f>"2018-12-18 18:00:47"</f>
        <v>2018-12-18 18:00:47</v>
      </c>
      <c r="E125" s="27" t="str">
        <f>"15412098636071445042"</f>
        <v>15412098636071445042</v>
      </c>
      <c r="F125" s="4" t="s">
        <v>22</v>
      </c>
      <c r="G125" s="27" t="str">
        <f>"Yulida"</f>
        <v>Yulida</v>
      </c>
      <c r="H125" s="27" t="str">
        <f>"8827181103085101"</f>
        <v>8827181103085101</v>
      </c>
      <c r="I125" s="28">
        <v>2382000</v>
      </c>
      <c r="J125" s="4"/>
      <c r="K125" s="10">
        <v>3900</v>
      </c>
      <c r="L125" s="11">
        <f t="shared" si="1"/>
        <v>2378100</v>
      </c>
      <c r="M125" s="6">
        <v>43453</v>
      </c>
      <c r="N125" s="27" t="str">
        <f>"603373"</f>
        <v>603373</v>
      </c>
    </row>
    <row r="126" spans="1:14" ht="15">
      <c r="A126" s="9">
        <v>119</v>
      </c>
      <c r="B126" s="4" t="s">
        <v>20</v>
      </c>
      <c r="C126" s="5" t="s">
        <v>21</v>
      </c>
      <c r="D126" s="27" t="str">
        <f>"2018-12-18 17:57:00"</f>
        <v>2018-12-18 17:57:00</v>
      </c>
      <c r="E126" s="27" t="str">
        <f>"15408154404213895467"</f>
        <v>15408154404213895467</v>
      </c>
      <c r="F126" s="4" t="s">
        <v>22</v>
      </c>
      <c r="G126" s="27" t="str">
        <f>"Ririn Setyaningsih"</f>
        <v>Ririn Setyaningsih</v>
      </c>
      <c r="H126" s="27" t="str">
        <f>"8827181029191701"</f>
        <v>8827181029191701</v>
      </c>
      <c r="I126" s="28">
        <v>1743080</v>
      </c>
      <c r="J126" s="4"/>
      <c r="K126" s="10">
        <v>3900</v>
      </c>
      <c r="L126" s="11">
        <f t="shared" si="1"/>
        <v>1739180</v>
      </c>
      <c r="M126" s="6">
        <v>43453</v>
      </c>
      <c r="N126" s="27" t="str">
        <f>"563030"</f>
        <v>563030</v>
      </c>
    </row>
    <row r="127" spans="1:14" ht="15">
      <c r="A127" s="9">
        <v>120</v>
      </c>
      <c r="B127" s="4" t="s">
        <v>20</v>
      </c>
      <c r="C127" s="5" t="s">
        <v>21</v>
      </c>
      <c r="D127" s="27" t="str">
        <f>"2018-12-18 17:54:21"</f>
        <v>2018-12-18 17:54:21</v>
      </c>
      <c r="E127" s="27" t="str">
        <f>"15410705487702953032"</f>
        <v>15410705487702953032</v>
      </c>
      <c r="F127" s="4" t="s">
        <v>22</v>
      </c>
      <c r="G127" s="27" t="str">
        <f>"JEFFRI EKA SAPUTRA"</f>
        <v>JEFFRI EKA SAPUTRA</v>
      </c>
      <c r="H127" s="27" t="str">
        <f>"8827181101180901"</f>
        <v>8827181101180901</v>
      </c>
      <c r="I127" s="28">
        <v>1752000</v>
      </c>
      <c r="J127" s="4"/>
      <c r="K127" s="10">
        <v>3900</v>
      </c>
      <c r="L127" s="11">
        <f t="shared" si="1"/>
        <v>1748100</v>
      </c>
      <c r="M127" s="6">
        <v>43453</v>
      </c>
      <c r="N127" s="27" t="str">
        <f>"534558"</f>
        <v>534558</v>
      </c>
    </row>
    <row r="128" spans="1:14" ht="15">
      <c r="A128" s="9">
        <v>121</v>
      </c>
      <c r="B128" s="4" t="s">
        <v>20</v>
      </c>
      <c r="C128" s="5" t="s">
        <v>21</v>
      </c>
      <c r="D128" s="27" t="str">
        <f>"2018-12-18 17:52:14"</f>
        <v>2018-12-18 17:52:14</v>
      </c>
      <c r="E128" s="27" t="str">
        <f>"15431375661062547892"</f>
        <v>15431375661062547892</v>
      </c>
      <c r="F128" s="4" t="s">
        <v>22</v>
      </c>
      <c r="G128" s="27" t="str">
        <f>"ady saputro"</f>
        <v>ady saputro</v>
      </c>
      <c r="H128" s="27" t="str">
        <f>"8827181125161902"</f>
        <v>8827181125161902</v>
      </c>
      <c r="I128" s="28">
        <v>1797000</v>
      </c>
      <c r="J128" s="4"/>
      <c r="K128" s="10">
        <v>3900</v>
      </c>
      <c r="L128" s="11">
        <f t="shared" si="1"/>
        <v>1793100</v>
      </c>
      <c r="M128" s="6">
        <v>43453</v>
      </c>
      <c r="N128" s="27" t="str">
        <f>"511451"</f>
        <v>511451</v>
      </c>
    </row>
    <row r="129" spans="1:14" ht="15">
      <c r="A129" s="9">
        <v>122</v>
      </c>
      <c r="B129" s="4" t="s">
        <v>20</v>
      </c>
      <c r="C129" s="5" t="s">
        <v>21</v>
      </c>
      <c r="D129" s="27" t="str">
        <f>"2018-12-18 17:49:19"</f>
        <v>2018-12-18 17:49:19</v>
      </c>
      <c r="E129" s="27" t="str">
        <f>"15406448842801166431"</f>
        <v>15406448842801166431</v>
      </c>
      <c r="F129" s="4" t="s">
        <v>22</v>
      </c>
      <c r="G129" s="27" t="str">
        <f>"yosi tri indriyani"</f>
        <v>yosi tri indriyani</v>
      </c>
      <c r="H129" s="27" t="str">
        <f>"8827181027195403"</f>
        <v>8827181027195403</v>
      </c>
      <c r="I129" s="28">
        <v>2149500</v>
      </c>
      <c r="J129" s="4"/>
      <c r="K129" s="10">
        <v>3900</v>
      </c>
      <c r="L129" s="11">
        <f t="shared" si="1"/>
        <v>2145600</v>
      </c>
      <c r="M129" s="6">
        <v>43453</v>
      </c>
      <c r="N129" s="27" t="str">
        <f>"903474"</f>
        <v>903474</v>
      </c>
    </row>
    <row r="130" spans="1:14" ht="15">
      <c r="A130" s="9">
        <v>123</v>
      </c>
      <c r="B130" s="4" t="s">
        <v>20</v>
      </c>
      <c r="C130" s="5" t="s">
        <v>21</v>
      </c>
      <c r="D130" s="27" t="str">
        <f>"2018-12-18 17:49:11"</f>
        <v>2018-12-18 17:49:11</v>
      </c>
      <c r="E130" s="27" t="str">
        <f>"15415713108247378205"</f>
        <v>15415713108247378205</v>
      </c>
      <c r="F130" s="4" t="s">
        <v>22</v>
      </c>
      <c r="G130" s="27" t="str">
        <f>"lilik mudjayanah"</f>
        <v>lilik mudjayanah</v>
      </c>
      <c r="H130" s="27" t="str">
        <f>"8827181107131501"</f>
        <v>8827181107131501</v>
      </c>
      <c r="I130" s="28">
        <v>1268000</v>
      </c>
      <c r="J130" s="4"/>
      <c r="K130" s="10">
        <v>3900</v>
      </c>
      <c r="L130" s="11">
        <f t="shared" si="1"/>
        <v>1264100</v>
      </c>
      <c r="M130" s="6">
        <v>43453</v>
      </c>
      <c r="N130" s="27" t="str">
        <f>"476602"</f>
        <v>476602</v>
      </c>
    </row>
    <row r="131" spans="1:14" ht="15">
      <c r="A131" s="9">
        <v>124</v>
      </c>
      <c r="B131" s="4" t="s">
        <v>20</v>
      </c>
      <c r="C131" s="5" t="s">
        <v>21</v>
      </c>
      <c r="D131" s="27" t="str">
        <f>"2018-12-18 17:45:18"</f>
        <v>2018-12-18 17:45:18</v>
      </c>
      <c r="E131" s="27" t="str">
        <f>"15414083168551986767"</f>
        <v>15414083168551986767</v>
      </c>
      <c r="F131" s="4" t="s">
        <v>22</v>
      </c>
      <c r="G131" s="27" t="str">
        <f>"hasnia basoa"</f>
        <v>hasnia basoa</v>
      </c>
      <c r="H131" s="27" t="str">
        <f>"8827181105155806"</f>
        <v>8827181105155806</v>
      </c>
      <c r="I131" s="28">
        <v>1518400</v>
      </c>
      <c r="J131" s="4"/>
      <c r="K131" s="10">
        <v>3900</v>
      </c>
      <c r="L131" s="11">
        <f t="shared" si="1"/>
        <v>1514500</v>
      </c>
      <c r="M131" s="6">
        <v>43453</v>
      </c>
      <c r="N131" s="27" t="str">
        <f>"434476"</f>
        <v>434476</v>
      </c>
    </row>
    <row r="132" spans="1:14" ht="15">
      <c r="A132" s="9">
        <v>125</v>
      </c>
      <c r="B132" s="4" t="s">
        <v>20</v>
      </c>
      <c r="C132" s="5" t="s">
        <v>21</v>
      </c>
      <c r="D132" s="27" t="str">
        <f>"2018-12-18 17:45:02"</f>
        <v>2018-12-18 17:45:02</v>
      </c>
      <c r="E132" s="27" t="str">
        <f>"15418320299607429361"</f>
        <v>15418320299607429361</v>
      </c>
      <c r="F132" s="4" t="s">
        <v>22</v>
      </c>
      <c r="G132" s="27" t="str">
        <f>"Bilal Firmansyah"</f>
        <v>Bilal Firmansyah</v>
      </c>
      <c r="H132" s="27" t="str">
        <f>"8827181110134002"</f>
        <v>8827181110134002</v>
      </c>
      <c r="I132" s="28">
        <v>2172000</v>
      </c>
      <c r="J132" s="4"/>
      <c r="K132" s="10">
        <v>3900</v>
      </c>
      <c r="L132" s="11">
        <f t="shared" si="1"/>
        <v>2168100</v>
      </c>
      <c r="M132" s="6">
        <v>43453</v>
      </c>
      <c r="N132" s="27" t="str">
        <f>"431493"</f>
        <v>431493</v>
      </c>
    </row>
    <row r="133" spans="1:14" ht="15">
      <c r="A133" s="9">
        <v>126</v>
      </c>
      <c r="B133" s="4" t="s">
        <v>20</v>
      </c>
      <c r="C133" s="5" t="s">
        <v>21</v>
      </c>
      <c r="D133" s="27" t="str">
        <f>"2018-12-18 17:43:45"</f>
        <v>2018-12-18 17:43:45</v>
      </c>
      <c r="E133" s="27" t="str">
        <f>"15415707978468394822"</f>
        <v>15415707978468394822</v>
      </c>
      <c r="F133" s="4" t="s">
        <v>22</v>
      </c>
      <c r="G133" s="27" t="str">
        <f>"jhoni ardiansyah"</f>
        <v>jhoni ardiansyah</v>
      </c>
      <c r="H133" s="27" t="str">
        <f>"8827181107130607"</f>
        <v>8827181107130607</v>
      </c>
      <c r="I133" s="28">
        <v>1579200</v>
      </c>
      <c r="J133" s="4"/>
      <c r="K133" s="10">
        <v>3900</v>
      </c>
      <c r="L133" s="11">
        <f t="shared" si="1"/>
        <v>1575300</v>
      </c>
      <c r="M133" s="6">
        <v>43453</v>
      </c>
      <c r="N133" s="27" t="str">
        <f>"414696"</f>
        <v>414696</v>
      </c>
    </row>
    <row r="134" spans="1:14" ht="15">
      <c r="A134" s="9">
        <v>127</v>
      </c>
      <c r="B134" s="4" t="s">
        <v>20</v>
      </c>
      <c r="C134" s="5" t="s">
        <v>21</v>
      </c>
      <c r="D134" s="27" t="str">
        <f>"2018-12-18 17:42:11"</f>
        <v>2018-12-18 17:42:11</v>
      </c>
      <c r="E134" s="27" t="str">
        <f>"15432888750594563847"</f>
        <v>15432888750594563847</v>
      </c>
      <c r="F134" s="4" t="s">
        <v>22</v>
      </c>
      <c r="G134" s="27" t="str">
        <f>"weri satria"</f>
        <v>weri satria</v>
      </c>
      <c r="H134" s="27" t="str">
        <f>"8827181127102104"</f>
        <v>8827181127102104</v>
      </c>
      <c r="I134" s="28">
        <v>1295800</v>
      </c>
      <c r="J134" s="4"/>
      <c r="K134" s="10">
        <v>3900</v>
      </c>
      <c r="L134" s="11">
        <f t="shared" si="1"/>
        <v>1291900</v>
      </c>
      <c r="M134" s="6">
        <v>43453</v>
      </c>
      <c r="N134" s="27" t="str">
        <f>"392414"</f>
        <v>392414</v>
      </c>
    </row>
    <row r="135" spans="1:14" ht="15">
      <c r="A135" s="9">
        <v>128</v>
      </c>
      <c r="B135" s="4" t="s">
        <v>20</v>
      </c>
      <c r="C135" s="5" t="s">
        <v>21</v>
      </c>
      <c r="D135" s="27" t="str">
        <f>"2018-12-18 17:41:14"</f>
        <v>2018-12-18 17:41:14</v>
      </c>
      <c r="E135" s="27" t="str">
        <f>"15411556620037028660"</f>
        <v>15411556620037028660</v>
      </c>
      <c r="F135" s="4" t="s">
        <v>22</v>
      </c>
      <c r="G135" s="27" t="str">
        <f>"Suharsono"</f>
        <v>Suharsono</v>
      </c>
      <c r="H135" s="27" t="str">
        <f>"8827181102174705"</f>
        <v>8827181102174705</v>
      </c>
      <c r="I135" s="28">
        <v>1311250</v>
      </c>
      <c r="J135" s="4"/>
      <c r="K135" s="10">
        <v>3900</v>
      </c>
      <c r="L135" s="11">
        <f t="shared" si="1"/>
        <v>1307350</v>
      </c>
      <c r="M135" s="6">
        <v>43453</v>
      </c>
      <c r="N135" s="27" t="str">
        <f>"999525"</f>
        <v>999525</v>
      </c>
    </row>
    <row r="136" spans="1:14" ht="15">
      <c r="A136" s="9">
        <v>129</v>
      </c>
      <c r="B136" s="4" t="s">
        <v>20</v>
      </c>
      <c r="C136" s="5" t="s">
        <v>21</v>
      </c>
      <c r="D136" s="27" t="str">
        <f>"2018-12-18 17:35:45"</f>
        <v>2018-12-18 17:35:45</v>
      </c>
      <c r="E136" s="27" t="str">
        <f>"15407010110296316958"</f>
        <v>15407010110296316958</v>
      </c>
      <c r="F136" s="4" t="s">
        <v>22</v>
      </c>
      <c r="G136" s="27" t="str">
        <f>"mela siti maryam"</f>
        <v>mela siti maryam</v>
      </c>
      <c r="H136" s="27" t="str">
        <f>"8827181028113002"</f>
        <v>8827181028113002</v>
      </c>
      <c r="I136" s="28">
        <v>2464500</v>
      </c>
      <c r="J136" s="4"/>
      <c r="K136" s="10">
        <v>3900</v>
      </c>
      <c r="L136" s="11">
        <f t="shared" si="1"/>
        <v>2460600</v>
      </c>
      <c r="M136" s="6">
        <v>43453</v>
      </c>
      <c r="N136" s="27" t="str">
        <f>"317278"</f>
        <v>317278</v>
      </c>
    </row>
    <row r="137" spans="1:14" ht="15">
      <c r="A137" s="9">
        <v>130</v>
      </c>
      <c r="B137" s="4" t="s">
        <v>20</v>
      </c>
      <c r="C137" s="5" t="s">
        <v>21</v>
      </c>
      <c r="D137" s="27" t="str">
        <f>"2018-12-18 17:21:40"</f>
        <v>2018-12-18 17:21:40</v>
      </c>
      <c r="E137" s="27" t="str">
        <f>"15417382619844541015"</f>
        <v>15417382619844541015</v>
      </c>
      <c r="F137" s="4" t="s">
        <v>22</v>
      </c>
      <c r="G137" s="27" t="str">
        <f>"Dian Probo Kuncoro"</f>
        <v>Dian Probo Kuncoro</v>
      </c>
      <c r="H137" s="27" t="str">
        <f>"8827181109113704"</f>
        <v>8827181109113704</v>
      </c>
      <c r="I137" s="28">
        <v>1168000</v>
      </c>
      <c r="J137" s="4"/>
      <c r="K137" s="10">
        <v>3900</v>
      </c>
      <c r="L137" s="11">
        <f t="shared" ref="L137:L200" si="2">(I137-K137)</f>
        <v>1164100</v>
      </c>
      <c r="M137" s="6">
        <v>43453</v>
      </c>
      <c r="N137" s="27" t="str">
        <f>"143912"</f>
        <v>143912</v>
      </c>
    </row>
    <row r="138" spans="1:14" ht="15">
      <c r="A138" s="9">
        <v>131</v>
      </c>
      <c r="B138" s="4" t="s">
        <v>20</v>
      </c>
      <c r="C138" s="5" t="s">
        <v>21</v>
      </c>
      <c r="D138" s="27" t="str">
        <f>"2018-12-18 17:18:29"</f>
        <v>2018-12-18 17:18:29</v>
      </c>
      <c r="E138" s="27" t="str">
        <f>"15431401327035364944"</f>
        <v>15431401327035364944</v>
      </c>
      <c r="F138" s="4" t="s">
        <v>22</v>
      </c>
      <c r="G138" s="27" t="str">
        <f>"Firda Rizka Armondya"</f>
        <v>Firda Rizka Armondya</v>
      </c>
      <c r="H138" s="27" t="str">
        <f>"8827181125170201"</f>
        <v>8827181125170201</v>
      </c>
      <c r="I138" s="28">
        <v>1472500</v>
      </c>
      <c r="J138" s="4"/>
      <c r="K138" s="10">
        <v>3900</v>
      </c>
      <c r="L138" s="11">
        <f t="shared" si="2"/>
        <v>1468600</v>
      </c>
      <c r="M138" s="6">
        <v>43453</v>
      </c>
      <c r="N138" s="27" t="str">
        <f>"988254"</f>
        <v>988254</v>
      </c>
    </row>
    <row r="139" spans="1:14" ht="15">
      <c r="A139" s="9">
        <v>132</v>
      </c>
      <c r="B139" s="4" t="s">
        <v>20</v>
      </c>
      <c r="C139" s="5" t="s">
        <v>21</v>
      </c>
      <c r="D139" s="27" t="str">
        <f>"2018-12-18 17:16:26"</f>
        <v>2018-12-18 17:16:26</v>
      </c>
      <c r="E139" s="27" t="str">
        <f>"15419056266473186398"</f>
        <v>15419056266473186398</v>
      </c>
      <c r="F139" s="4" t="s">
        <v>22</v>
      </c>
      <c r="G139" s="27" t="str">
        <f>"sri wahyuningrum"</f>
        <v>sri wahyuningrum</v>
      </c>
      <c r="H139" s="27" t="str">
        <f>"8827181111100704"</f>
        <v>8827181111100704</v>
      </c>
      <c r="I139" s="28">
        <v>1097000</v>
      </c>
      <c r="J139" s="4"/>
      <c r="K139" s="10">
        <v>3900</v>
      </c>
      <c r="L139" s="11">
        <f t="shared" si="2"/>
        <v>1093100</v>
      </c>
      <c r="M139" s="6">
        <v>43453</v>
      </c>
      <c r="N139" s="27" t="str">
        <f>"987224"</f>
        <v>987224</v>
      </c>
    </row>
    <row r="140" spans="1:14" ht="15">
      <c r="A140" s="9">
        <v>133</v>
      </c>
      <c r="B140" s="4" t="s">
        <v>20</v>
      </c>
      <c r="C140" s="5" t="s">
        <v>21</v>
      </c>
      <c r="D140" s="27" t="str">
        <f>"2018-12-18 17:13:23"</f>
        <v>2018-12-18 17:13:23</v>
      </c>
      <c r="E140" s="27" t="str">
        <f>"15408910090421975020"</f>
        <v>15408910090421975020</v>
      </c>
      <c r="F140" s="4" t="s">
        <v>22</v>
      </c>
      <c r="G140" s="27" t="str">
        <f>"ngilmanabasir"</f>
        <v>ngilmanabasir</v>
      </c>
      <c r="H140" s="27" t="str">
        <f>"8827181030161606"</f>
        <v>8827181030161606</v>
      </c>
      <c r="I140" s="28">
        <v>2284500</v>
      </c>
      <c r="J140" s="4"/>
      <c r="K140" s="10">
        <v>3900</v>
      </c>
      <c r="L140" s="11">
        <f t="shared" si="2"/>
        <v>2280600</v>
      </c>
      <c r="M140" s="6">
        <v>43453</v>
      </c>
      <c r="N140" s="27" t="str">
        <f>"037879"</f>
        <v>037879</v>
      </c>
    </row>
    <row r="141" spans="1:14" ht="15">
      <c r="A141" s="9">
        <v>134</v>
      </c>
      <c r="B141" s="4" t="s">
        <v>20</v>
      </c>
      <c r="C141" s="5" t="s">
        <v>21</v>
      </c>
      <c r="D141" s="27" t="str">
        <f>"2018-12-18 17:13:00"</f>
        <v>2018-12-18 17:13:00</v>
      </c>
      <c r="E141" s="27" t="str">
        <f>"15432907954606893651"</f>
        <v>15432907954606893651</v>
      </c>
      <c r="F141" s="4" t="s">
        <v>22</v>
      </c>
      <c r="G141" s="27" t="str">
        <f>"Fauziyatur Rizqi"</f>
        <v>Fauziyatur Rizqi</v>
      </c>
      <c r="H141" s="27" t="str">
        <f>"8827181127105301"</f>
        <v>8827181127105301</v>
      </c>
      <c r="I141" s="28">
        <v>1192400</v>
      </c>
      <c r="J141" s="4"/>
      <c r="K141" s="10">
        <v>3900</v>
      </c>
      <c r="L141" s="11">
        <f t="shared" si="2"/>
        <v>1188500</v>
      </c>
      <c r="M141" s="6">
        <v>43453</v>
      </c>
      <c r="N141" s="27" t="str">
        <f>"033540"</f>
        <v>033540</v>
      </c>
    </row>
    <row r="142" spans="1:14" ht="15">
      <c r="A142" s="9">
        <v>135</v>
      </c>
      <c r="B142" s="4" t="s">
        <v>20</v>
      </c>
      <c r="C142" s="5" t="s">
        <v>21</v>
      </c>
      <c r="D142" s="27" t="str">
        <f>"2018-12-18 17:11:43"</f>
        <v>2018-12-18 17:11:43</v>
      </c>
      <c r="E142" s="27" t="str">
        <f>"15428875110954438499"</f>
        <v>15428875110954438499</v>
      </c>
      <c r="F142" s="4" t="s">
        <v>22</v>
      </c>
      <c r="G142" s="27" t="str">
        <f>"sandra pudin"</f>
        <v>sandra pudin</v>
      </c>
      <c r="H142" s="27" t="str">
        <f>"8827181122185102"</f>
        <v>8827181122185102</v>
      </c>
      <c r="I142" s="28">
        <v>1902000</v>
      </c>
      <c r="J142" s="4"/>
      <c r="K142" s="10">
        <v>3900</v>
      </c>
      <c r="L142" s="11">
        <f t="shared" si="2"/>
        <v>1898100</v>
      </c>
      <c r="M142" s="6">
        <v>43453</v>
      </c>
      <c r="N142" s="27" t="str">
        <f>"984918"</f>
        <v>984918</v>
      </c>
    </row>
    <row r="143" spans="1:14" ht="15">
      <c r="A143" s="9">
        <v>136</v>
      </c>
      <c r="B143" s="4" t="s">
        <v>20</v>
      </c>
      <c r="C143" s="5" t="s">
        <v>21</v>
      </c>
      <c r="D143" s="27" t="str">
        <f>"2018-12-18 17:11:31"</f>
        <v>2018-12-18 17:11:31</v>
      </c>
      <c r="E143" s="27" t="str">
        <f>"15410703511942105908"</f>
        <v>15410703511942105908</v>
      </c>
      <c r="F143" s="4" t="s">
        <v>22</v>
      </c>
      <c r="G143" s="27" t="str">
        <f>"achmad ariefudin"</f>
        <v>achmad ariefudin</v>
      </c>
      <c r="H143" s="27" t="str">
        <f>"8827181101180507"</f>
        <v>8827181101180507</v>
      </c>
      <c r="I143" s="28">
        <v>1716000</v>
      </c>
      <c r="J143" s="4"/>
      <c r="K143" s="10">
        <v>3900</v>
      </c>
      <c r="L143" s="11">
        <f t="shared" si="2"/>
        <v>1712100</v>
      </c>
      <c r="M143" s="6">
        <v>43453</v>
      </c>
      <c r="N143" s="27" t="str">
        <f>"016642"</f>
        <v>016642</v>
      </c>
    </row>
    <row r="144" spans="1:14" ht="15">
      <c r="A144" s="9">
        <v>137</v>
      </c>
      <c r="B144" s="4" t="s">
        <v>20</v>
      </c>
      <c r="C144" s="5" t="s">
        <v>21</v>
      </c>
      <c r="D144" s="27" t="str">
        <f>"2018-12-18 17:08:12"</f>
        <v>2018-12-18 17:08:12</v>
      </c>
      <c r="E144" s="27" t="str">
        <f>"15424824765191271955"</f>
        <v>15424824765191271955</v>
      </c>
      <c r="F144" s="4" t="s">
        <v>22</v>
      </c>
      <c r="G144" s="27" t="str">
        <f>"tatu hasanah"</f>
        <v>tatu hasanah</v>
      </c>
      <c r="H144" s="27" t="str">
        <f>"8827181118022101"</f>
        <v>8827181118022101</v>
      </c>
      <c r="I144" s="28">
        <v>1992000</v>
      </c>
      <c r="J144" s="4"/>
      <c r="K144" s="10">
        <v>3900</v>
      </c>
      <c r="L144" s="11">
        <f t="shared" si="2"/>
        <v>1988100</v>
      </c>
      <c r="M144" s="6">
        <v>43453</v>
      </c>
      <c r="N144" s="27" t="str">
        <f>"775886"</f>
        <v>775886</v>
      </c>
    </row>
    <row r="145" spans="1:14" ht="15">
      <c r="A145" s="9">
        <v>138</v>
      </c>
      <c r="B145" s="4" t="s">
        <v>20</v>
      </c>
      <c r="C145" s="5" t="s">
        <v>21</v>
      </c>
      <c r="D145" s="27" t="str">
        <f>"2018-12-18 17:07:53"</f>
        <v>2018-12-18 17:07:53</v>
      </c>
      <c r="E145" s="27" t="str">
        <f>"15433042045455266682"</f>
        <v>15433042045455266682</v>
      </c>
      <c r="F145" s="4" t="s">
        <v>22</v>
      </c>
      <c r="G145" s="27" t="str">
        <f>"Evi Nurhafifah"</f>
        <v>Evi Nurhafifah</v>
      </c>
      <c r="H145" s="27" t="str">
        <f>"8827181127143602"</f>
        <v>8827181127143602</v>
      </c>
      <c r="I145" s="28">
        <v>1767000</v>
      </c>
      <c r="J145" s="4"/>
      <c r="K145" s="10">
        <v>3900</v>
      </c>
      <c r="L145" s="11">
        <f t="shared" si="2"/>
        <v>1763100</v>
      </c>
      <c r="M145" s="6">
        <v>43453</v>
      </c>
      <c r="N145" s="27" t="str">
        <f>"772141"</f>
        <v>772141</v>
      </c>
    </row>
    <row r="146" spans="1:14" ht="15">
      <c r="A146" s="9">
        <v>139</v>
      </c>
      <c r="B146" s="4" t="s">
        <v>20</v>
      </c>
      <c r="C146" s="5" t="s">
        <v>21</v>
      </c>
      <c r="D146" s="27" t="str">
        <f>"2018-12-18 17:06:23"</f>
        <v>2018-12-18 17:06:23</v>
      </c>
      <c r="E146" s="27" t="str">
        <f>"15430443445111771195"</f>
        <v>15430443445111771195</v>
      </c>
      <c r="F146" s="4" t="s">
        <v>22</v>
      </c>
      <c r="G146" s="27" t="str">
        <f>"Fitria Wijayanti"</f>
        <v>Fitria Wijayanti</v>
      </c>
      <c r="H146" s="27" t="str">
        <f>"8827181124142502"</f>
        <v>8827181124142502</v>
      </c>
      <c r="I146" s="28">
        <v>1077000</v>
      </c>
      <c r="J146" s="4"/>
      <c r="K146" s="10">
        <v>3900</v>
      </c>
      <c r="L146" s="11">
        <f t="shared" si="2"/>
        <v>1073100</v>
      </c>
      <c r="M146" s="6">
        <v>43453</v>
      </c>
      <c r="N146" s="27" t="str">
        <f>"753388"</f>
        <v>753388</v>
      </c>
    </row>
    <row r="147" spans="1:14" ht="15">
      <c r="A147" s="9">
        <v>140</v>
      </c>
      <c r="B147" s="4" t="s">
        <v>20</v>
      </c>
      <c r="C147" s="5" t="s">
        <v>21</v>
      </c>
      <c r="D147" s="27" t="str">
        <f>"2018-12-18 17:05:12"</f>
        <v>2018-12-18 17:05:12</v>
      </c>
      <c r="E147" s="27" t="str">
        <f>"15427091233482445769"</f>
        <v>15427091233482445769</v>
      </c>
      <c r="F147" s="4" t="s">
        <v>22</v>
      </c>
      <c r="G147" s="27" t="str">
        <f>"yanto"</f>
        <v>yanto</v>
      </c>
      <c r="H147" s="27" t="str">
        <f>"8827181120171804"</f>
        <v>8827181120171804</v>
      </c>
      <c r="I147" s="28">
        <v>1177000</v>
      </c>
      <c r="J147" s="4"/>
      <c r="K147" s="10">
        <v>3900</v>
      </c>
      <c r="L147" s="11">
        <f t="shared" si="2"/>
        <v>1173100</v>
      </c>
      <c r="M147" s="6">
        <v>43453</v>
      </c>
      <c r="N147" s="27" t="str">
        <f>"739075"</f>
        <v>739075</v>
      </c>
    </row>
    <row r="148" spans="1:14" ht="15">
      <c r="A148" s="9">
        <v>141</v>
      </c>
      <c r="B148" s="4" t="s">
        <v>20</v>
      </c>
      <c r="C148" s="5" t="s">
        <v>21</v>
      </c>
      <c r="D148" s="27" t="str">
        <f>"2018-12-18 17:02:54"</f>
        <v>2018-12-18 17:02:54</v>
      </c>
      <c r="E148" s="27" t="str">
        <f>"15417196538959764342"</f>
        <v>15417196538959764342</v>
      </c>
      <c r="F148" s="4" t="s">
        <v>22</v>
      </c>
      <c r="G148" s="27" t="str">
        <f>"carolina"</f>
        <v>carolina</v>
      </c>
      <c r="H148" s="27" t="str">
        <f>"8827181109062705"</f>
        <v>8827181109062705</v>
      </c>
      <c r="I148" s="28">
        <v>1392000</v>
      </c>
      <c r="J148" s="4"/>
      <c r="K148" s="10">
        <v>3900</v>
      </c>
      <c r="L148" s="11">
        <f t="shared" si="2"/>
        <v>1388100</v>
      </c>
      <c r="M148" s="6">
        <v>43453</v>
      </c>
      <c r="N148" s="27" t="str">
        <f>"712377"</f>
        <v>712377</v>
      </c>
    </row>
    <row r="149" spans="1:14" ht="15">
      <c r="A149" s="9">
        <v>142</v>
      </c>
      <c r="B149" s="4" t="s">
        <v>20</v>
      </c>
      <c r="C149" s="5" t="s">
        <v>21</v>
      </c>
      <c r="D149" s="27" t="str">
        <f>"2018-12-18 17:02:28"</f>
        <v>2018-12-18 17:02:28</v>
      </c>
      <c r="E149" s="27" t="str">
        <f>"15415115029713911209"</f>
        <v>15415115029713911209</v>
      </c>
      <c r="F149" s="4" t="s">
        <v>22</v>
      </c>
      <c r="G149" s="27" t="str">
        <f>"fitri baiduri bunga i"</f>
        <v>fitri baiduri bunga i</v>
      </c>
      <c r="H149" s="27" t="str">
        <f>"8827181106203802"</f>
        <v>8827181106203802</v>
      </c>
      <c r="I149" s="28">
        <v>1767000</v>
      </c>
      <c r="J149" s="4"/>
      <c r="K149" s="10">
        <v>3900</v>
      </c>
      <c r="L149" s="11">
        <f t="shared" si="2"/>
        <v>1763100</v>
      </c>
      <c r="M149" s="6">
        <v>43453</v>
      </c>
      <c r="N149" s="27" t="str">
        <f>"707463"</f>
        <v>707463</v>
      </c>
    </row>
    <row r="150" spans="1:14" ht="15">
      <c r="A150" s="9">
        <v>143</v>
      </c>
      <c r="B150" s="4" t="s">
        <v>20</v>
      </c>
      <c r="C150" s="5" t="s">
        <v>21</v>
      </c>
      <c r="D150" s="27" t="str">
        <f>"2018-12-18 16:59:31"</f>
        <v>2018-12-18 16:59:31</v>
      </c>
      <c r="E150" s="27" t="str">
        <f>"15409583063094269510"</f>
        <v>15409583063094269510</v>
      </c>
      <c r="F150" s="4" t="s">
        <v>22</v>
      </c>
      <c r="G150" s="27" t="str">
        <f>"Nasrul Karim"</f>
        <v>Nasrul Karim</v>
      </c>
      <c r="H150" s="27" t="str">
        <f>"8827181031105804"</f>
        <v>8827181031105804</v>
      </c>
      <c r="I150" s="28">
        <v>1767000</v>
      </c>
      <c r="J150" s="4"/>
      <c r="K150" s="10">
        <v>3900</v>
      </c>
      <c r="L150" s="11">
        <f t="shared" si="2"/>
        <v>1763100</v>
      </c>
      <c r="M150" s="6">
        <v>43453</v>
      </c>
      <c r="N150" s="27" t="str">
        <f>"670765"</f>
        <v>670765</v>
      </c>
    </row>
    <row r="151" spans="1:14" ht="15">
      <c r="A151" s="9">
        <v>144</v>
      </c>
      <c r="B151" s="4" t="s">
        <v>20</v>
      </c>
      <c r="C151" s="5" t="s">
        <v>21</v>
      </c>
      <c r="D151" s="27" t="str">
        <f>"2018-12-18 16:58:22"</f>
        <v>2018-12-18 16:58:22</v>
      </c>
      <c r="E151" s="27" t="str">
        <f>"15417295557571109612"</f>
        <v>15417295557571109612</v>
      </c>
      <c r="F151" s="4" t="s">
        <v>22</v>
      </c>
      <c r="G151" s="27" t="str">
        <f>"Fahlidar Adi Putra"</f>
        <v>Fahlidar Adi Putra</v>
      </c>
      <c r="H151" s="27" t="str">
        <f>"8827181109091203"</f>
        <v>8827181109091203</v>
      </c>
      <c r="I151" s="28">
        <v>1102000</v>
      </c>
      <c r="J151" s="4"/>
      <c r="K151" s="10">
        <v>3900</v>
      </c>
      <c r="L151" s="11">
        <f t="shared" si="2"/>
        <v>1098100</v>
      </c>
      <c r="M151" s="6">
        <v>43453</v>
      </c>
      <c r="N151" s="27" t="str">
        <f>"656198"</f>
        <v>656198</v>
      </c>
    </row>
    <row r="152" spans="1:14" ht="15">
      <c r="A152" s="9">
        <v>145</v>
      </c>
      <c r="B152" s="4" t="s">
        <v>20</v>
      </c>
      <c r="C152" s="5" t="s">
        <v>21</v>
      </c>
      <c r="D152" s="27" t="str">
        <f>"2018-12-18 16:57:30"</f>
        <v>2018-12-18 16:57:30</v>
      </c>
      <c r="E152" s="27" t="str">
        <f>"15410389209212193182"</f>
        <v>15410389209212193182</v>
      </c>
      <c r="F152" s="4" t="s">
        <v>22</v>
      </c>
      <c r="G152" s="27" t="str">
        <f>"Ratu Laila Momtaz"</f>
        <v>Ratu Laila Momtaz</v>
      </c>
      <c r="H152" s="27" t="str">
        <f>"8827181101092202"</f>
        <v>8827181101092202</v>
      </c>
      <c r="I152" s="28">
        <v>1343000</v>
      </c>
      <c r="J152" s="4"/>
      <c r="K152" s="10">
        <v>3900</v>
      </c>
      <c r="L152" s="11">
        <f t="shared" si="2"/>
        <v>1339100</v>
      </c>
      <c r="M152" s="6">
        <v>43453</v>
      </c>
      <c r="N152" s="27" t="str">
        <f>"644874"</f>
        <v>644874</v>
      </c>
    </row>
    <row r="153" spans="1:14" ht="15">
      <c r="A153" s="9">
        <v>146</v>
      </c>
      <c r="B153" s="4" t="s">
        <v>20</v>
      </c>
      <c r="C153" s="5" t="s">
        <v>21</v>
      </c>
      <c r="D153" s="27" t="str">
        <f>"2018-12-18 16:55:31"</f>
        <v>2018-12-18 16:55:31</v>
      </c>
      <c r="E153" s="27" t="str">
        <f>"15430746275581635006"</f>
        <v>15430746275581635006</v>
      </c>
      <c r="F153" s="4" t="s">
        <v>22</v>
      </c>
      <c r="G153" s="27" t="str">
        <f>"Saktiya Ayu Donna Pracillia"</f>
        <v>Saktiya Ayu Donna Pracillia</v>
      </c>
      <c r="H153" s="27" t="str">
        <f>"8827181124225001"</f>
        <v>8827181124225001</v>
      </c>
      <c r="I153" s="28">
        <v>1000800</v>
      </c>
      <c r="J153" s="4"/>
      <c r="K153" s="10">
        <v>3900</v>
      </c>
      <c r="L153" s="11">
        <f t="shared" si="2"/>
        <v>996900</v>
      </c>
      <c r="M153" s="6">
        <v>43453</v>
      </c>
      <c r="N153" s="27" t="str">
        <f>"619034"</f>
        <v>619034</v>
      </c>
    </row>
    <row r="154" spans="1:14" ht="15">
      <c r="A154" s="9">
        <v>147</v>
      </c>
      <c r="B154" s="4" t="s">
        <v>20</v>
      </c>
      <c r="C154" s="5" t="s">
        <v>21</v>
      </c>
      <c r="D154" s="27" t="str">
        <f>"2018-12-18 16:54:00"</f>
        <v>2018-12-18 16:54:00</v>
      </c>
      <c r="E154" s="27" t="str">
        <f>"15412432632335989734"</f>
        <v>15412432632335989734</v>
      </c>
      <c r="F154" s="4" t="s">
        <v>22</v>
      </c>
      <c r="G154" s="27" t="str">
        <f>"babur oyan"</f>
        <v>babur oyan</v>
      </c>
      <c r="H154" s="27" t="str">
        <f>"8827181103180701"</f>
        <v>8827181103180701</v>
      </c>
      <c r="I154" s="28">
        <v>1522500</v>
      </c>
      <c r="J154" s="4"/>
      <c r="K154" s="10">
        <v>3900</v>
      </c>
      <c r="L154" s="11">
        <f t="shared" si="2"/>
        <v>1518600</v>
      </c>
      <c r="M154" s="6">
        <v>43453</v>
      </c>
      <c r="N154" s="27" t="str">
        <f>"593498"</f>
        <v>593498</v>
      </c>
    </row>
    <row r="155" spans="1:14" ht="15">
      <c r="A155" s="9">
        <v>148</v>
      </c>
      <c r="B155" s="4" t="s">
        <v>20</v>
      </c>
      <c r="C155" s="5" t="s">
        <v>21</v>
      </c>
      <c r="D155" s="27" t="str">
        <f>"2018-12-18 16:53:23"</f>
        <v>2018-12-18 16:53:23</v>
      </c>
      <c r="E155" s="27" t="str">
        <f>"15434527220431850076"</f>
        <v>15434527220431850076</v>
      </c>
      <c r="F155" s="4" t="s">
        <v>22</v>
      </c>
      <c r="G155" s="27" t="str">
        <f>"Abdul Kirom"</f>
        <v>Abdul Kirom</v>
      </c>
      <c r="H155" s="27" t="str">
        <f>"8827181129075201"</f>
        <v>8827181129075201</v>
      </c>
      <c r="I155" s="28">
        <v>1740000</v>
      </c>
      <c r="J155" s="4"/>
      <c r="K155" s="10">
        <v>3900</v>
      </c>
      <c r="L155" s="11">
        <f t="shared" si="2"/>
        <v>1736100</v>
      </c>
      <c r="M155" s="6">
        <v>43453</v>
      </c>
      <c r="N155" s="27" t="str">
        <f>"583251"</f>
        <v>583251</v>
      </c>
    </row>
    <row r="156" spans="1:14" ht="15">
      <c r="A156" s="9">
        <v>149</v>
      </c>
      <c r="B156" s="4" t="s">
        <v>20</v>
      </c>
      <c r="C156" s="5" t="s">
        <v>21</v>
      </c>
      <c r="D156" s="27" t="str">
        <f>"2018-12-18 16:52:02"</f>
        <v>2018-12-18 16:52:02</v>
      </c>
      <c r="E156" s="27" t="str">
        <f>"15411415265655552888"</f>
        <v>15411415265655552888</v>
      </c>
      <c r="F156" s="4" t="s">
        <v>22</v>
      </c>
      <c r="G156" s="27" t="str">
        <f>"Agustia rini"</f>
        <v>Agustia rini</v>
      </c>
      <c r="H156" s="27" t="str">
        <f>"8827181102135201"</f>
        <v>8827181102135201</v>
      </c>
      <c r="I156" s="28">
        <v>1752000</v>
      </c>
      <c r="J156" s="4"/>
      <c r="K156" s="10">
        <v>3900</v>
      </c>
      <c r="L156" s="11">
        <f t="shared" si="2"/>
        <v>1748100</v>
      </c>
      <c r="M156" s="6">
        <v>43453</v>
      </c>
      <c r="N156" s="27" t="str">
        <f>"563719"</f>
        <v>563719</v>
      </c>
    </row>
    <row r="157" spans="1:14" ht="15">
      <c r="A157" s="9">
        <v>150</v>
      </c>
      <c r="B157" s="4" t="s">
        <v>20</v>
      </c>
      <c r="C157" s="5" t="s">
        <v>21</v>
      </c>
      <c r="D157" s="27" t="str">
        <f>"2018-12-18 16:50:15"</f>
        <v>2018-12-18 16:50:15</v>
      </c>
      <c r="E157" s="27" t="str">
        <f>"15428882053973413359"</f>
        <v>15428882053973413359</v>
      </c>
      <c r="F157" s="4" t="s">
        <v>22</v>
      </c>
      <c r="G157" s="27" t="str">
        <f>"bagus andre setiawan"</f>
        <v>bagus andre setiawan</v>
      </c>
      <c r="H157" s="27" t="str">
        <f>"8827181122190302"</f>
        <v>8827181122190302</v>
      </c>
      <c r="I157" s="28">
        <v>1902000</v>
      </c>
      <c r="J157" s="4"/>
      <c r="K157" s="10">
        <v>3900</v>
      </c>
      <c r="L157" s="11">
        <f t="shared" si="2"/>
        <v>1898100</v>
      </c>
      <c r="M157" s="6">
        <v>43453</v>
      </c>
      <c r="N157" s="27" t="str">
        <f>"973813"</f>
        <v>973813</v>
      </c>
    </row>
    <row r="158" spans="1:14" ht="15">
      <c r="A158" s="9">
        <v>151</v>
      </c>
      <c r="B158" s="4" t="s">
        <v>20</v>
      </c>
      <c r="C158" s="5" t="s">
        <v>21</v>
      </c>
      <c r="D158" s="27" t="str">
        <f>"2018-12-18 16:49:56"</f>
        <v>2018-12-18 16:49:56</v>
      </c>
      <c r="E158" s="27" t="str">
        <f>"15412437725676665869"</f>
        <v>15412437725676665869</v>
      </c>
      <c r="F158" s="4" t="s">
        <v>22</v>
      </c>
      <c r="G158" s="27" t="str">
        <f>"Onih Rohani"</f>
        <v>Onih Rohani</v>
      </c>
      <c r="H158" s="27" t="str">
        <f>"8827181103181601"</f>
        <v>8827181103181601</v>
      </c>
      <c r="I158" s="28">
        <v>1603800</v>
      </c>
      <c r="J158" s="4"/>
      <c r="K158" s="10">
        <v>3900</v>
      </c>
      <c r="L158" s="11">
        <f t="shared" si="2"/>
        <v>1599900</v>
      </c>
      <c r="M158" s="6">
        <v>43453</v>
      </c>
      <c r="N158" s="27" t="str">
        <f>"536054"</f>
        <v>536054</v>
      </c>
    </row>
    <row r="159" spans="1:14" ht="15">
      <c r="A159" s="9">
        <v>152</v>
      </c>
      <c r="B159" s="4" t="s">
        <v>20</v>
      </c>
      <c r="C159" s="5" t="s">
        <v>21</v>
      </c>
      <c r="D159" s="27" t="str">
        <f>"2018-12-18 16:49:28"</f>
        <v>2018-12-18 16:49:28</v>
      </c>
      <c r="E159" s="27" t="str">
        <f>"15412889545463610984"</f>
        <v>15412889545463610984</v>
      </c>
      <c r="F159" s="4" t="s">
        <v>22</v>
      </c>
      <c r="G159" s="27" t="str">
        <f>"Renungan Laoli"</f>
        <v>Renungan Laoli</v>
      </c>
      <c r="H159" s="27" t="str">
        <f>"8827181104064901"</f>
        <v>8827181104064901</v>
      </c>
      <c r="I159" s="28">
        <v>1812000</v>
      </c>
      <c r="J159" s="4"/>
      <c r="K159" s="10">
        <v>3900</v>
      </c>
      <c r="L159" s="11">
        <f t="shared" si="2"/>
        <v>1808100</v>
      </c>
      <c r="M159" s="6">
        <v>43453</v>
      </c>
      <c r="N159" s="27" t="str">
        <f>"530500"</f>
        <v>530500</v>
      </c>
    </row>
    <row r="160" spans="1:14" ht="15">
      <c r="A160" s="9">
        <v>153</v>
      </c>
      <c r="B160" s="4" t="s">
        <v>20</v>
      </c>
      <c r="C160" s="5" t="s">
        <v>21</v>
      </c>
      <c r="D160" s="27" t="str">
        <f>"2018-12-18 16:49:18"</f>
        <v>2018-12-18 16:49:18</v>
      </c>
      <c r="E160" s="27" t="str">
        <f>"15420062382361333844"</f>
        <v>15420062382361333844</v>
      </c>
      <c r="F160" s="4" t="s">
        <v>22</v>
      </c>
      <c r="G160" s="27" t="str">
        <f>"erwinsanjaya"</f>
        <v>erwinsanjaya</v>
      </c>
      <c r="H160" s="27" t="str">
        <f>"8827181112140302"</f>
        <v>8827181112140302</v>
      </c>
      <c r="I160" s="28">
        <v>1353000</v>
      </c>
      <c r="J160" s="4"/>
      <c r="K160" s="10">
        <v>3900</v>
      </c>
      <c r="L160" s="11">
        <f t="shared" si="2"/>
        <v>1349100</v>
      </c>
      <c r="M160" s="6">
        <v>43453</v>
      </c>
      <c r="N160" s="27" t="str">
        <f>"528362"</f>
        <v>528362</v>
      </c>
    </row>
    <row r="161" spans="1:14" ht="15">
      <c r="A161" s="9">
        <v>154</v>
      </c>
      <c r="B161" s="4" t="s">
        <v>20</v>
      </c>
      <c r="C161" s="5" t="s">
        <v>21</v>
      </c>
      <c r="D161" s="27" t="str">
        <f>"2018-12-18 16:45:39"</f>
        <v>2018-12-18 16:45:39</v>
      </c>
      <c r="E161" s="27" t="str">
        <f>"15413937076317725972"</f>
        <v>15413937076317725972</v>
      </c>
      <c r="F161" s="4" t="s">
        <v>22</v>
      </c>
      <c r="G161" s="27" t="str">
        <f>"Veice A Pakinde"</f>
        <v>Veice A Pakinde</v>
      </c>
      <c r="H161" s="27" t="str">
        <f>"8827181105115501"</f>
        <v>8827181105115501</v>
      </c>
      <c r="I161" s="28">
        <v>1136000</v>
      </c>
      <c r="J161" s="4"/>
      <c r="K161" s="10">
        <v>3900</v>
      </c>
      <c r="L161" s="11">
        <f t="shared" si="2"/>
        <v>1132100</v>
      </c>
      <c r="M161" s="6">
        <v>43453</v>
      </c>
      <c r="N161" s="27" t="str">
        <f>"475730"</f>
        <v>475730</v>
      </c>
    </row>
    <row r="162" spans="1:14" ht="15">
      <c r="A162" s="9">
        <v>155</v>
      </c>
      <c r="B162" s="4" t="s">
        <v>20</v>
      </c>
      <c r="C162" s="5" t="s">
        <v>21</v>
      </c>
      <c r="D162" s="27" t="str">
        <f>"2018-12-18 16:44:46"</f>
        <v>2018-12-18 16:44:46</v>
      </c>
      <c r="E162" s="27" t="str">
        <f>"15414633981178762231"</f>
        <v>15414633981178762231</v>
      </c>
      <c r="F162" s="4" t="s">
        <v>22</v>
      </c>
      <c r="G162" s="27" t="str">
        <f>"tri wahyuni"</f>
        <v>tri wahyuni</v>
      </c>
      <c r="H162" s="27" t="str">
        <f>"8827181106071603"</f>
        <v>8827181106071603</v>
      </c>
      <c r="I162" s="28">
        <v>943200</v>
      </c>
      <c r="J162" s="4"/>
      <c r="K162" s="10">
        <v>3900</v>
      </c>
      <c r="L162" s="11">
        <f t="shared" si="2"/>
        <v>939300</v>
      </c>
      <c r="M162" s="6">
        <v>43453</v>
      </c>
      <c r="N162" s="27" t="str">
        <f>"464806"</f>
        <v>464806</v>
      </c>
    </row>
    <row r="163" spans="1:14" ht="15">
      <c r="A163" s="9">
        <v>156</v>
      </c>
      <c r="B163" s="4" t="s">
        <v>20</v>
      </c>
      <c r="C163" s="5" t="s">
        <v>21</v>
      </c>
      <c r="D163" s="27" t="str">
        <f>"2018-12-18 16:43:52"</f>
        <v>2018-12-18 16:43:52</v>
      </c>
      <c r="E163" s="27" t="str">
        <f>"15429404925278408796"</f>
        <v>15429404925278408796</v>
      </c>
      <c r="F163" s="4" t="s">
        <v>22</v>
      </c>
      <c r="G163" s="27" t="str">
        <f>"Iqbal Tanjung"</f>
        <v>Iqbal Tanjung</v>
      </c>
      <c r="H163" s="27" t="str">
        <f>"8827181123093409"</f>
        <v>8827181123093409</v>
      </c>
      <c r="I163" s="28">
        <v>755250</v>
      </c>
      <c r="J163" s="4"/>
      <c r="K163" s="10">
        <v>3900</v>
      </c>
      <c r="L163" s="11">
        <f t="shared" si="2"/>
        <v>751350</v>
      </c>
      <c r="M163" s="6">
        <v>43453</v>
      </c>
      <c r="N163" s="27" t="str">
        <f>"452700"</f>
        <v>452700</v>
      </c>
    </row>
    <row r="164" spans="1:14" ht="15">
      <c r="A164" s="9">
        <v>157</v>
      </c>
      <c r="B164" s="4" t="s">
        <v>20</v>
      </c>
      <c r="C164" s="5" t="s">
        <v>21</v>
      </c>
      <c r="D164" s="27" t="str">
        <f>"2018-12-18 16:40:05"</f>
        <v>2018-12-18 16:40:05</v>
      </c>
      <c r="E164" s="27" t="str">
        <f>"15417578666733131259"</f>
        <v>15417578666733131259</v>
      </c>
      <c r="F164" s="4" t="s">
        <v>22</v>
      </c>
      <c r="G164" s="27" t="str">
        <f>"Eka agustina wulandari"</f>
        <v>Eka agustina wulandari</v>
      </c>
      <c r="H164" s="27" t="str">
        <f>"8827181109170402"</f>
        <v>8827181109170402</v>
      </c>
      <c r="I164" s="28">
        <v>1568000</v>
      </c>
      <c r="J164" s="4"/>
      <c r="K164" s="10">
        <v>3900</v>
      </c>
      <c r="L164" s="11">
        <f t="shared" si="2"/>
        <v>1564100</v>
      </c>
      <c r="M164" s="6">
        <v>43453</v>
      </c>
      <c r="N164" s="27" t="str">
        <f>"968369"</f>
        <v>968369</v>
      </c>
    </row>
    <row r="165" spans="1:14" ht="15">
      <c r="A165" s="9">
        <v>158</v>
      </c>
      <c r="B165" s="4" t="s">
        <v>20</v>
      </c>
      <c r="C165" s="5" t="s">
        <v>21</v>
      </c>
      <c r="D165" s="27" t="str">
        <f>"2018-12-18 16:39:50"</f>
        <v>2018-12-18 16:39:50</v>
      </c>
      <c r="E165" s="27" t="str">
        <f>"15409220115886902959"</f>
        <v>15409220115886902959</v>
      </c>
      <c r="F165" s="4" t="s">
        <v>22</v>
      </c>
      <c r="G165" s="27" t="str">
        <f>"Harianto"</f>
        <v>Harianto</v>
      </c>
      <c r="H165" s="27" t="str">
        <f>"8827181031005301"</f>
        <v>8827181031005301</v>
      </c>
      <c r="I165" s="28">
        <v>1924500</v>
      </c>
      <c r="J165" s="4"/>
      <c r="K165" s="10">
        <v>3900</v>
      </c>
      <c r="L165" s="11">
        <f t="shared" si="2"/>
        <v>1920600</v>
      </c>
      <c r="M165" s="6">
        <v>43453</v>
      </c>
      <c r="N165" s="27" t="str">
        <f>"396156"</f>
        <v>396156</v>
      </c>
    </row>
    <row r="166" spans="1:14" ht="15">
      <c r="A166" s="9">
        <v>159</v>
      </c>
      <c r="B166" s="4" t="s">
        <v>20</v>
      </c>
      <c r="C166" s="5" t="s">
        <v>21</v>
      </c>
      <c r="D166" s="27" t="str">
        <f>"2018-12-18 16:35:38"</f>
        <v>2018-12-18 16:35:38</v>
      </c>
      <c r="E166" s="27" t="str">
        <f>"15413065040217726427"</f>
        <v>15413065040217726427</v>
      </c>
      <c r="F166" s="4" t="s">
        <v>22</v>
      </c>
      <c r="G166" s="27" t="str">
        <f>"Puspita Widya Saputra"</f>
        <v>Puspita Widya Saputra</v>
      </c>
      <c r="H166" s="27" t="str">
        <f>"8827181104114105"</f>
        <v>8827181104114105</v>
      </c>
      <c r="I166" s="28">
        <v>1573500</v>
      </c>
      <c r="J166" s="4"/>
      <c r="K166" s="10">
        <v>3900</v>
      </c>
      <c r="L166" s="11">
        <f t="shared" si="2"/>
        <v>1569600</v>
      </c>
      <c r="M166" s="6">
        <v>43453</v>
      </c>
      <c r="N166" s="27" t="str">
        <f>"965936"</f>
        <v>965936</v>
      </c>
    </row>
    <row r="167" spans="1:14" ht="15">
      <c r="A167" s="9">
        <v>160</v>
      </c>
      <c r="B167" s="4" t="s">
        <v>20</v>
      </c>
      <c r="C167" s="5" t="s">
        <v>21</v>
      </c>
      <c r="D167" s="27" t="str">
        <f>"2018-12-18 16:35:23"</f>
        <v>2018-12-18 16:35:23</v>
      </c>
      <c r="E167" s="27" t="str">
        <f>"15418506474871094649"</f>
        <v>15418506474871094649</v>
      </c>
      <c r="F167" s="4" t="s">
        <v>22</v>
      </c>
      <c r="G167" s="27" t="str">
        <f>"ellen natalia"</f>
        <v>ellen natalia</v>
      </c>
      <c r="H167" s="27" t="str">
        <f>"8827181110185002"</f>
        <v>8827181110185002</v>
      </c>
      <c r="I167" s="28">
        <v>1755000</v>
      </c>
      <c r="J167" s="4"/>
      <c r="K167" s="10">
        <v>3900</v>
      </c>
      <c r="L167" s="11">
        <f t="shared" si="2"/>
        <v>1751100</v>
      </c>
      <c r="M167" s="6">
        <v>43453</v>
      </c>
      <c r="N167" s="27" t="str">
        <f>"340122"</f>
        <v>340122</v>
      </c>
    </row>
    <row r="168" spans="1:14" ht="15">
      <c r="A168" s="9">
        <v>161</v>
      </c>
      <c r="B168" s="4" t="s">
        <v>20</v>
      </c>
      <c r="C168" s="5" t="s">
        <v>21</v>
      </c>
      <c r="D168" s="27" t="str">
        <f>"2018-12-18 16:32:54"</f>
        <v>2018-12-18 16:32:54</v>
      </c>
      <c r="E168" s="27" t="str">
        <f>"15419124934858597451"</f>
        <v>15419124934858597451</v>
      </c>
      <c r="F168" s="4" t="s">
        <v>22</v>
      </c>
      <c r="G168" s="27" t="str">
        <f>"ahmad tohir"</f>
        <v>ahmad tohir</v>
      </c>
      <c r="H168" s="27" t="str">
        <f>"8827181111120103"</f>
        <v>8827181111120103</v>
      </c>
      <c r="I168" s="28">
        <v>1160000</v>
      </c>
      <c r="J168" s="4"/>
      <c r="K168" s="10">
        <v>3900</v>
      </c>
      <c r="L168" s="11">
        <f t="shared" si="2"/>
        <v>1156100</v>
      </c>
      <c r="M168" s="6">
        <v>43453</v>
      </c>
      <c r="N168" s="27" t="str">
        <f>"304393"</f>
        <v>304393</v>
      </c>
    </row>
    <row r="169" spans="1:14" ht="15">
      <c r="A169" s="9">
        <v>162</v>
      </c>
      <c r="B169" s="4" t="s">
        <v>20</v>
      </c>
      <c r="C169" s="5" t="s">
        <v>21</v>
      </c>
      <c r="D169" s="27" t="str">
        <f>"2018-12-18 16:32:53"</f>
        <v>2018-12-18 16:32:53</v>
      </c>
      <c r="E169" s="27" t="str">
        <f>"15419159553449593173"</f>
        <v>15419159553449593173</v>
      </c>
      <c r="F169" s="4" t="s">
        <v>22</v>
      </c>
      <c r="G169" s="27" t="str">
        <f>"rico julian"</f>
        <v>rico julian</v>
      </c>
      <c r="H169" s="27" t="str">
        <f>"8827181111125901"</f>
        <v>8827181111125901</v>
      </c>
      <c r="I169" s="28">
        <v>1692000</v>
      </c>
      <c r="J169" s="4"/>
      <c r="K169" s="10">
        <v>3900</v>
      </c>
      <c r="L169" s="11">
        <f t="shared" si="2"/>
        <v>1688100</v>
      </c>
      <c r="M169" s="6">
        <v>43453</v>
      </c>
      <c r="N169" s="27" t="str">
        <f>"304324"</f>
        <v>304324</v>
      </c>
    </row>
    <row r="170" spans="1:14" ht="15">
      <c r="A170" s="9">
        <v>163</v>
      </c>
      <c r="B170" s="4" t="s">
        <v>20</v>
      </c>
      <c r="C170" s="5" t="s">
        <v>21</v>
      </c>
      <c r="D170" s="27" t="str">
        <f>"2018-12-18 16:32:10"</f>
        <v>2018-12-18 16:32:10</v>
      </c>
      <c r="E170" s="27" t="str">
        <f>"15432004882857889747"</f>
        <v>15432004882857889747</v>
      </c>
      <c r="F170" s="4" t="s">
        <v>22</v>
      </c>
      <c r="G170" s="27" t="str">
        <f>"Mulfidya Ekawati"</f>
        <v>Mulfidya Ekawati</v>
      </c>
      <c r="H170" s="27" t="str">
        <f>"8827181126094801"</f>
        <v>8827181126094801</v>
      </c>
      <c r="I170" s="28">
        <v>1491600</v>
      </c>
      <c r="J170" s="4"/>
      <c r="K170" s="10">
        <v>3900</v>
      </c>
      <c r="L170" s="11">
        <f t="shared" si="2"/>
        <v>1487700</v>
      </c>
      <c r="M170" s="6">
        <v>43453</v>
      </c>
      <c r="N170" s="27" t="str">
        <f>"295390"</f>
        <v>295390</v>
      </c>
    </row>
    <row r="171" spans="1:14" ht="15">
      <c r="A171" s="9">
        <v>164</v>
      </c>
      <c r="B171" s="4" t="s">
        <v>20</v>
      </c>
      <c r="C171" s="5" t="s">
        <v>21</v>
      </c>
      <c r="D171" s="27" t="str">
        <f>"2018-12-18 16:32:10"</f>
        <v>2018-12-18 16:32:10</v>
      </c>
      <c r="E171" s="27" t="str">
        <f>"15429674694265253819"</f>
        <v>15429674694265253819</v>
      </c>
      <c r="F171" s="4" t="s">
        <v>22</v>
      </c>
      <c r="G171" s="27" t="str">
        <f>"Elis Cendrawati"</f>
        <v>Elis Cendrawati</v>
      </c>
      <c r="H171" s="27" t="str">
        <f>"8827181123170402"</f>
        <v>8827181123170402</v>
      </c>
      <c r="I171" s="28">
        <v>1542000</v>
      </c>
      <c r="J171" s="4"/>
      <c r="K171" s="10">
        <v>3900</v>
      </c>
      <c r="L171" s="11">
        <f t="shared" si="2"/>
        <v>1538100</v>
      </c>
      <c r="M171" s="6">
        <v>43453</v>
      </c>
      <c r="N171" s="27" t="str">
        <f>"295389"</f>
        <v>295389</v>
      </c>
    </row>
    <row r="172" spans="1:14" ht="15">
      <c r="A172" s="9">
        <v>165</v>
      </c>
      <c r="B172" s="4" t="s">
        <v>20</v>
      </c>
      <c r="C172" s="5" t="s">
        <v>21</v>
      </c>
      <c r="D172" s="27" t="str">
        <f>"2018-12-18 16:27:17"</f>
        <v>2018-12-18 16:27:17</v>
      </c>
      <c r="E172" s="27" t="str">
        <f>"15420155085242396703"</f>
        <v>15420155085242396703</v>
      </c>
      <c r="F172" s="4" t="s">
        <v>22</v>
      </c>
      <c r="G172" s="27" t="str">
        <f>"septianti arieyani"</f>
        <v>septianti arieyani</v>
      </c>
      <c r="H172" s="27" t="str">
        <f>"8827181112163810"</f>
        <v>8827181112163810</v>
      </c>
      <c r="I172" s="28">
        <v>750000</v>
      </c>
      <c r="J172" s="4"/>
      <c r="K172" s="10">
        <v>3900</v>
      </c>
      <c r="L172" s="11">
        <f t="shared" si="2"/>
        <v>746100</v>
      </c>
      <c r="M172" s="6">
        <v>43453</v>
      </c>
      <c r="N172" s="27" t="str">
        <f>"218172"</f>
        <v>218172</v>
      </c>
    </row>
    <row r="173" spans="1:14" ht="15">
      <c r="A173" s="9">
        <v>166</v>
      </c>
      <c r="B173" s="4" t="s">
        <v>20</v>
      </c>
      <c r="C173" s="5" t="s">
        <v>21</v>
      </c>
      <c r="D173" s="27" t="str">
        <f>"2018-12-18 16:26:02"</f>
        <v>2018-12-18 16:26:02</v>
      </c>
      <c r="E173" s="27" t="str">
        <f>"15406972962477727586"</f>
        <v>15406972962477727586</v>
      </c>
      <c r="F173" s="4" t="s">
        <v>22</v>
      </c>
      <c r="G173" s="27" t="str">
        <f>"Nicky Khardiana"</f>
        <v>Nicky Khardiana</v>
      </c>
      <c r="H173" s="27" t="str">
        <f>"8827181028102802"</f>
        <v>8827181028102802</v>
      </c>
      <c r="I173" s="28">
        <v>1594500</v>
      </c>
      <c r="J173" s="4"/>
      <c r="K173" s="10">
        <v>3900</v>
      </c>
      <c r="L173" s="11">
        <f t="shared" si="2"/>
        <v>1590600</v>
      </c>
      <c r="M173" s="6">
        <v>43453</v>
      </c>
      <c r="N173" s="27" t="str">
        <f>"960655"</f>
        <v>960655</v>
      </c>
    </row>
    <row r="174" spans="1:14" ht="15">
      <c r="A174" s="9">
        <v>167</v>
      </c>
      <c r="B174" s="4" t="s">
        <v>20</v>
      </c>
      <c r="C174" s="5" t="s">
        <v>21</v>
      </c>
      <c r="D174" s="27" t="str">
        <f>"2018-12-18 16:23:11"</f>
        <v>2018-12-18 16:23:11</v>
      </c>
      <c r="E174" s="27" t="str">
        <f>"15413455312113295259"</f>
        <v>15413455312113295259</v>
      </c>
      <c r="F174" s="4" t="s">
        <v>22</v>
      </c>
      <c r="G174" s="27" t="str">
        <f>"rhici bagus kresna dewata"</f>
        <v>rhici bagus kresna dewata</v>
      </c>
      <c r="H174" s="27" t="str">
        <f>"8827181104223202"</f>
        <v>8827181104223202</v>
      </c>
      <c r="I174" s="28">
        <v>1902000</v>
      </c>
      <c r="J174" s="4"/>
      <c r="K174" s="10">
        <v>3900</v>
      </c>
      <c r="L174" s="11">
        <f t="shared" si="2"/>
        <v>1898100</v>
      </c>
      <c r="M174" s="6">
        <v>43453</v>
      </c>
      <c r="N174" s="27" t="str">
        <f>"156882"</f>
        <v>156882</v>
      </c>
    </row>
    <row r="175" spans="1:14" ht="15">
      <c r="A175" s="9">
        <v>168</v>
      </c>
      <c r="B175" s="4" t="s">
        <v>20</v>
      </c>
      <c r="C175" s="5" t="s">
        <v>21</v>
      </c>
      <c r="D175" s="27" t="str">
        <f>"2018-12-18 16:17:41"</f>
        <v>2018-12-18 16:17:41</v>
      </c>
      <c r="E175" s="27" t="str">
        <f>"15426839853376893871"</f>
        <v>15426839853376893871</v>
      </c>
      <c r="F175" s="4" t="s">
        <v>22</v>
      </c>
      <c r="G175" s="27" t="str">
        <f>"Riani"</f>
        <v>Riani</v>
      </c>
      <c r="H175" s="27" t="str">
        <f>"8827181120101903"</f>
        <v>8827181120101903</v>
      </c>
      <c r="I175" s="28">
        <v>873800</v>
      </c>
      <c r="J175" s="4"/>
      <c r="K175" s="10">
        <v>3900</v>
      </c>
      <c r="L175" s="11">
        <f t="shared" si="2"/>
        <v>869900</v>
      </c>
      <c r="M175" s="6">
        <v>43453</v>
      </c>
      <c r="N175" s="27" t="str">
        <f>"078510"</f>
        <v>078510</v>
      </c>
    </row>
    <row r="176" spans="1:14" ht="15">
      <c r="A176" s="9">
        <v>169</v>
      </c>
      <c r="B176" s="4" t="s">
        <v>20</v>
      </c>
      <c r="C176" s="5" t="s">
        <v>21</v>
      </c>
      <c r="D176" s="27" t="str">
        <f>"2018-12-18 16:16:50"</f>
        <v>2018-12-18 16:16:50</v>
      </c>
      <c r="E176" s="27" t="str">
        <f>"15407422683974995197"</f>
        <v>15407422683974995197</v>
      </c>
      <c r="F176" s="4" t="s">
        <v>22</v>
      </c>
      <c r="G176" s="27" t="str">
        <f>"Fandi Willim"</f>
        <v>Fandi Willim</v>
      </c>
      <c r="H176" s="27" t="str">
        <f>"8827181028225702"</f>
        <v>8827181028225702</v>
      </c>
      <c r="I176" s="28">
        <v>1842000</v>
      </c>
      <c r="J176" s="4"/>
      <c r="K176" s="10">
        <v>3900</v>
      </c>
      <c r="L176" s="11">
        <f t="shared" si="2"/>
        <v>1838100</v>
      </c>
      <c r="M176" s="6">
        <v>43453</v>
      </c>
      <c r="N176" s="27" t="str">
        <f>"066096"</f>
        <v>066096</v>
      </c>
    </row>
    <row r="177" spans="1:14" ht="15">
      <c r="A177" s="9">
        <v>170</v>
      </c>
      <c r="B177" s="4" t="s">
        <v>20</v>
      </c>
      <c r="C177" s="5" t="s">
        <v>21</v>
      </c>
      <c r="D177" s="27" t="str">
        <f>"2018-12-18 16:13:18"</f>
        <v>2018-12-18 16:13:18</v>
      </c>
      <c r="E177" s="27" t="str">
        <f>"15407304509167701328"</f>
        <v>15407304509167701328</v>
      </c>
      <c r="F177" s="4" t="s">
        <v>22</v>
      </c>
      <c r="G177" s="27" t="str">
        <f>"zahroh fitriah simanjuntak"</f>
        <v>zahroh fitriah simanjuntak</v>
      </c>
      <c r="H177" s="27" t="str">
        <f>"8827181028194003"</f>
        <v>8827181028194003</v>
      </c>
      <c r="I177" s="28">
        <v>2464500</v>
      </c>
      <c r="J177" s="4"/>
      <c r="K177" s="10">
        <v>3900</v>
      </c>
      <c r="L177" s="11">
        <f t="shared" si="2"/>
        <v>2460600</v>
      </c>
      <c r="M177" s="6">
        <v>43453</v>
      </c>
      <c r="N177" s="27" t="str">
        <f>"004326"</f>
        <v>004326</v>
      </c>
    </row>
    <row r="178" spans="1:14" ht="15">
      <c r="A178" s="9">
        <v>171</v>
      </c>
      <c r="B178" s="4" t="s">
        <v>20</v>
      </c>
      <c r="C178" s="5" t="s">
        <v>21</v>
      </c>
      <c r="D178" s="27" t="str">
        <f>"2018-12-18 16:12:11"</f>
        <v>2018-12-18 16:12:11</v>
      </c>
      <c r="E178" s="27" t="str">
        <f>"15418383387846535155"</f>
        <v>15418383387846535155</v>
      </c>
      <c r="F178" s="4" t="s">
        <v>22</v>
      </c>
      <c r="G178" s="27" t="str">
        <f>"aidha komala"</f>
        <v>aidha komala</v>
      </c>
      <c r="H178" s="27" t="str">
        <f>"8827181110152505"</f>
        <v>8827181110152505</v>
      </c>
      <c r="I178" s="28">
        <v>1846800</v>
      </c>
      <c r="J178" s="4"/>
      <c r="K178" s="10">
        <v>3900</v>
      </c>
      <c r="L178" s="11">
        <f t="shared" si="2"/>
        <v>1842900</v>
      </c>
      <c r="M178" s="6">
        <v>43453</v>
      </c>
      <c r="N178" s="27" t="str">
        <f>"783690"</f>
        <v>783690</v>
      </c>
    </row>
    <row r="179" spans="1:14" ht="15">
      <c r="A179" s="9">
        <v>172</v>
      </c>
      <c r="B179" s="4" t="s">
        <v>20</v>
      </c>
      <c r="C179" s="5" t="s">
        <v>21</v>
      </c>
      <c r="D179" s="27" t="str">
        <f>"2018-12-18 16:08:40"</f>
        <v>2018-12-18 16:08:40</v>
      </c>
      <c r="E179" s="27" t="str">
        <f>"15415616061823303343"</f>
        <v>15415616061823303343</v>
      </c>
      <c r="F179" s="4" t="s">
        <v>22</v>
      </c>
      <c r="G179" s="27" t="str">
        <f>"Yuliana"</f>
        <v>Yuliana</v>
      </c>
      <c r="H179" s="27" t="str">
        <f>"8827181107103304"</f>
        <v>8827181107103304</v>
      </c>
      <c r="I179" s="28">
        <v>1576900</v>
      </c>
      <c r="J179" s="4"/>
      <c r="K179" s="10">
        <v>3900</v>
      </c>
      <c r="L179" s="11">
        <f t="shared" si="2"/>
        <v>1573000</v>
      </c>
      <c r="M179" s="6">
        <v>43453</v>
      </c>
      <c r="N179" s="27" t="str">
        <f>"715541"</f>
        <v>715541</v>
      </c>
    </row>
    <row r="180" spans="1:14" ht="15">
      <c r="A180" s="9">
        <v>173</v>
      </c>
      <c r="B180" s="4" t="s">
        <v>20</v>
      </c>
      <c r="C180" s="5" t="s">
        <v>21</v>
      </c>
      <c r="D180" s="27" t="str">
        <f>"2018-12-18 16:07:27"</f>
        <v>2018-12-18 16:07:27</v>
      </c>
      <c r="E180" s="27" t="str">
        <f>"15406976934503944161"</f>
        <v>15406976934503944161</v>
      </c>
      <c r="F180" s="4" t="s">
        <v>22</v>
      </c>
      <c r="G180" s="27" t="str">
        <f>"Endi Desyuntiadi"</f>
        <v>Endi Desyuntiadi</v>
      </c>
      <c r="H180" s="27" t="str">
        <f>"8827181028103405"</f>
        <v>8827181028103405</v>
      </c>
      <c r="I180" s="28">
        <v>1677000</v>
      </c>
      <c r="J180" s="4"/>
      <c r="K180" s="10">
        <v>3900</v>
      </c>
      <c r="L180" s="11">
        <f t="shared" si="2"/>
        <v>1673100</v>
      </c>
      <c r="M180" s="6">
        <v>43453</v>
      </c>
      <c r="N180" s="27" t="str">
        <f>"950417"</f>
        <v>950417</v>
      </c>
    </row>
    <row r="181" spans="1:14" ht="15">
      <c r="A181" s="9">
        <v>174</v>
      </c>
      <c r="B181" s="4" t="s">
        <v>20</v>
      </c>
      <c r="C181" s="5" t="s">
        <v>21</v>
      </c>
      <c r="D181" s="27" t="str">
        <f>"2018-12-18 16:06:48"</f>
        <v>2018-12-18 16:06:48</v>
      </c>
      <c r="E181" s="27" t="str">
        <f>"15407422683974995197"</f>
        <v>15407422683974995197</v>
      </c>
      <c r="F181" s="4" t="s">
        <v>22</v>
      </c>
      <c r="G181" s="27" t="str">
        <f>"Fandi Willim"</f>
        <v>Fandi Willim</v>
      </c>
      <c r="H181" s="27" t="str">
        <f>"8827181028225702"</f>
        <v>8827181028225702</v>
      </c>
      <c r="I181" s="28">
        <v>150000</v>
      </c>
      <c r="J181" s="4"/>
      <c r="K181" s="10">
        <v>3900</v>
      </c>
      <c r="L181" s="11">
        <f t="shared" si="2"/>
        <v>146100</v>
      </c>
      <c r="M181" s="6">
        <v>43453</v>
      </c>
      <c r="N181" s="27" t="str">
        <f>"676897"</f>
        <v>676897</v>
      </c>
    </row>
    <row r="182" spans="1:14" ht="15">
      <c r="A182" s="9">
        <v>175</v>
      </c>
      <c r="B182" s="4" t="s">
        <v>20</v>
      </c>
      <c r="C182" s="5" t="s">
        <v>21</v>
      </c>
      <c r="D182" s="27" t="str">
        <f>"2018-12-18 16:03:19"</f>
        <v>2018-12-18 16:03:19</v>
      </c>
      <c r="E182" s="27" t="str">
        <f>"15411210089343429611"</f>
        <v>15411210089343429611</v>
      </c>
      <c r="F182" s="4" t="s">
        <v>22</v>
      </c>
      <c r="G182" s="27" t="str">
        <f>"Tri Ayu Susana"</f>
        <v>Tri Ayu Susana</v>
      </c>
      <c r="H182" s="27" t="str">
        <f>"8827181102081006"</f>
        <v>8827181102081006</v>
      </c>
      <c r="I182" s="28">
        <v>1752000</v>
      </c>
      <c r="J182" s="4"/>
      <c r="K182" s="10">
        <v>3900</v>
      </c>
      <c r="L182" s="11">
        <f t="shared" si="2"/>
        <v>1748100</v>
      </c>
      <c r="M182" s="6">
        <v>43453</v>
      </c>
      <c r="N182" s="27" t="str">
        <f>"620049"</f>
        <v>620049</v>
      </c>
    </row>
    <row r="183" spans="1:14" ht="15">
      <c r="A183" s="9">
        <v>176</v>
      </c>
      <c r="B183" s="4" t="s">
        <v>20</v>
      </c>
      <c r="C183" s="5" t="s">
        <v>21</v>
      </c>
      <c r="D183" s="27" t="str">
        <f>"2018-12-18 16:01:18"</f>
        <v>2018-12-18 16:01:18</v>
      </c>
      <c r="E183" s="27" t="str">
        <f>"15428605954785257860"</f>
        <v>15428605954785257860</v>
      </c>
      <c r="F183" s="4" t="s">
        <v>22</v>
      </c>
      <c r="G183" s="27" t="str">
        <f>"tiomsi sihombing"</f>
        <v>tiomsi sihombing</v>
      </c>
      <c r="H183" s="27" t="str">
        <f>"8827181122112304"</f>
        <v>8827181122112304</v>
      </c>
      <c r="I183" s="28">
        <v>1662000</v>
      </c>
      <c r="J183" s="4"/>
      <c r="K183" s="10">
        <v>3900</v>
      </c>
      <c r="L183" s="11">
        <f t="shared" si="2"/>
        <v>1658100</v>
      </c>
      <c r="M183" s="6">
        <v>43453</v>
      </c>
      <c r="N183" s="27" t="str">
        <f>"586127"</f>
        <v>586127</v>
      </c>
    </row>
    <row r="184" spans="1:14" ht="15">
      <c r="A184" s="9">
        <v>177</v>
      </c>
      <c r="B184" s="4" t="s">
        <v>20</v>
      </c>
      <c r="C184" s="5" t="s">
        <v>21</v>
      </c>
      <c r="D184" s="27" t="str">
        <f>"2018-12-18 15:58:49"</f>
        <v>2018-12-18 15:58:49</v>
      </c>
      <c r="E184" s="27" t="str">
        <f>"15428753076198969891"</f>
        <v>15428753076198969891</v>
      </c>
      <c r="F184" s="4" t="s">
        <v>22</v>
      </c>
      <c r="G184" s="27" t="str">
        <f>"Erik Hidayatullh"</f>
        <v>Erik Hidayatullh</v>
      </c>
      <c r="H184" s="27" t="str">
        <f>"8827181122152801"</f>
        <v>8827181122152801</v>
      </c>
      <c r="I184" s="28">
        <v>1902000</v>
      </c>
      <c r="J184" s="4"/>
      <c r="K184" s="10">
        <v>3900</v>
      </c>
      <c r="L184" s="11">
        <f t="shared" si="2"/>
        <v>1898100</v>
      </c>
      <c r="M184" s="6">
        <v>43453</v>
      </c>
      <c r="N184" s="27" t="str">
        <f>"546063"</f>
        <v>546063</v>
      </c>
    </row>
    <row r="185" spans="1:14" ht="15">
      <c r="A185" s="9">
        <v>178</v>
      </c>
      <c r="B185" s="4" t="s">
        <v>20</v>
      </c>
      <c r="C185" s="5" t="s">
        <v>21</v>
      </c>
      <c r="D185" s="27" t="str">
        <f>"2018-12-18 15:55:40"</f>
        <v>2018-12-18 15:55:40</v>
      </c>
      <c r="E185" s="27" t="str">
        <f>"15413084048715228280"</f>
        <v>15413084048715228280</v>
      </c>
      <c r="F185" s="4" t="s">
        <v>22</v>
      </c>
      <c r="G185" s="27" t="str">
        <f>"ken bisma suto setiallah"</f>
        <v>ken bisma suto setiallah</v>
      </c>
      <c r="H185" s="27" t="str">
        <f>"8827181104121303"</f>
        <v>8827181104121303</v>
      </c>
      <c r="I185" s="28">
        <v>1782000</v>
      </c>
      <c r="J185" s="4"/>
      <c r="K185" s="10">
        <v>3900</v>
      </c>
      <c r="L185" s="11">
        <f t="shared" si="2"/>
        <v>1778100</v>
      </c>
      <c r="M185" s="6">
        <v>43453</v>
      </c>
      <c r="N185" s="27" t="str">
        <f>"473448"</f>
        <v>473448</v>
      </c>
    </row>
    <row r="186" spans="1:14" ht="15">
      <c r="A186" s="9">
        <v>179</v>
      </c>
      <c r="B186" s="4" t="s">
        <v>20</v>
      </c>
      <c r="C186" s="5" t="s">
        <v>21</v>
      </c>
      <c r="D186" s="27" t="str">
        <f>"2018-12-18 15:54:37"</f>
        <v>2018-12-18 15:54:37</v>
      </c>
      <c r="E186" s="27" t="str">
        <f>"15427849543307732410"</f>
        <v>15427849543307732410</v>
      </c>
      <c r="F186" s="4" t="s">
        <v>22</v>
      </c>
      <c r="G186" s="27" t="str">
        <f>"DINI ALFINI"</f>
        <v>DINI ALFINI</v>
      </c>
      <c r="H186" s="27" t="str">
        <f>"8827181121142208"</f>
        <v>8827181121142208</v>
      </c>
      <c r="I186" s="28">
        <v>1070000</v>
      </c>
      <c r="J186" s="4"/>
      <c r="K186" s="10">
        <v>3900</v>
      </c>
      <c r="L186" s="11">
        <f t="shared" si="2"/>
        <v>1066100</v>
      </c>
      <c r="M186" s="6">
        <v>43453</v>
      </c>
      <c r="N186" s="27" t="str">
        <f>"457216"</f>
        <v>457216</v>
      </c>
    </row>
    <row r="187" spans="1:14" ht="15">
      <c r="A187" s="9">
        <v>180</v>
      </c>
      <c r="B187" s="4" t="s">
        <v>20</v>
      </c>
      <c r="C187" s="5" t="s">
        <v>21</v>
      </c>
      <c r="D187" s="27" t="str">
        <f>"2018-12-18 15:50:26"</f>
        <v>2018-12-18 15:50:26</v>
      </c>
      <c r="E187" s="27" t="str">
        <f>"15420843965205574860"</f>
        <v>15420843965205574860</v>
      </c>
      <c r="F187" s="4" t="s">
        <v>22</v>
      </c>
      <c r="G187" s="27" t="str">
        <f>"yunita putri anggraini"</f>
        <v>yunita putri anggraini</v>
      </c>
      <c r="H187" s="27" t="str">
        <f>"8827181113114603"</f>
        <v>8827181113114603</v>
      </c>
      <c r="I187" s="28">
        <v>1168000</v>
      </c>
      <c r="J187" s="4"/>
      <c r="K187" s="10">
        <v>3900</v>
      </c>
      <c r="L187" s="11">
        <f t="shared" si="2"/>
        <v>1164100</v>
      </c>
      <c r="M187" s="6">
        <v>43453</v>
      </c>
      <c r="N187" s="27" t="str">
        <f>"383931"</f>
        <v>383931</v>
      </c>
    </row>
    <row r="188" spans="1:14" ht="15">
      <c r="A188" s="9">
        <v>181</v>
      </c>
      <c r="B188" s="4" t="s">
        <v>20</v>
      </c>
      <c r="C188" s="5" t="s">
        <v>21</v>
      </c>
      <c r="D188" s="27" t="str">
        <f>"2018-12-18 15:41:35"</f>
        <v>2018-12-18 15:41:35</v>
      </c>
      <c r="E188" s="27" t="str">
        <f>"15438329068533743300"</f>
        <v>15438329068533743300</v>
      </c>
      <c r="F188" s="4" t="s">
        <v>22</v>
      </c>
      <c r="G188" s="27" t="str">
        <f>"Zuhara Qostantine"</f>
        <v>Zuhara Qostantine</v>
      </c>
      <c r="H188" s="27" t="str">
        <f>"8827181203172801"</f>
        <v>8827181203172801</v>
      </c>
      <c r="I188" s="28">
        <v>1006200</v>
      </c>
      <c r="J188" s="4"/>
      <c r="K188" s="10">
        <v>3900</v>
      </c>
      <c r="L188" s="11">
        <f t="shared" si="2"/>
        <v>1002300</v>
      </c>
      <c r="M188" s="6">
        <v>43453</v>
      </c>
      <c r="N188" s="27" t="str">
        <f>"231511"</f>
        <v>231511</v>
      </c>
    </row>
    <row r="189" spans="1:14" ht="15">
      <c r="A189" s="9">
        <v>182</v>
      </c>
      <c r="B189" s="4" t="s">
        <v>20</v>
      </c>
      <c r="C189" s="5" t="s">
        <v>21</v>
      </c>
      <c r="D189" s="27" t="str">
        <f>"2018-12-18 15:40:16"</f>
        <v>2018-12-18 15:40:16</v>
      </c>
      <c r="E189" s="27" t="str">
        <f>"15418177262329732182"</f>
        <v>15418177262329732182</v>
      </c>
      <c r="F189" s="4" t="s">
        <v>22</v>
      </c>
      <c r="G189" s="27" t="str">
        <f>"arif kuswandi"</f>
        <v>arif kuswandi</v>
      </c>
      <c r="H189" s="27" t="str">
        <f>"8827181110094202"</f>
        <v>8827181110094202</v>
      </c>
      <c r="I189" s="28">
        <v>700800</v>
      </c>
      <c r="J189" s="4"/>
      <c r="K189" s="10">
        <v>3900</v>
      </c>
      <c r="L189" s="11">
        <f t="shared" si="2"/>
        <v>696900</v>
      </c>
      <c r="M189" s="6">
        <v>43453</v>
      </c>
      <c r="N189" s="27" t="str">
        <f>"207630"</f>
        <v>207630</v>
      </c>
    </row>
    <row r="190" spans="1:14" ht="15">
      <c r="A190" s="9">
        <v>183</v>
      </c>
      <c r="B190" s="4" t="s">
        <v>20</v>
      </c>
      <c r="C190" s="5" t="s">
        <v>21</v>
      </c>
      <c r="D190" s="27" t="str">
        <f>"2018-12-18 15:39:01"</f>
        <v>2018-12-18 15:39:01</v>
      </c>
      <c r="E190" s="27" t="str">
        <f>"15412237832462236537"</f>
        <v>15412237832462236537</v>
      </c>
      <c r="F190" s="4" t="s">
        <v>22</v>
      </c>
      <c r="G190" s="27" t="str">
        <f>"yuliana"</f>
        <v>yuliana</v>
      </c>
      <c r="H190" s="27" t="str">
        <f>"8827181103124304"</f>
        <v>8827181103124304</v>
      </c>
      <c r="I190" s="28">
        <v>1752000</v>
      </c>
      <c r="J190" s="4"/>
      <c r="K190" s="10">
        <v>3900</v>
      </c>
      <c r="L190" s="11">
        <f t="shared" si="2"/>
        <v>1748100</v>
      </c>
      <c r="M190" s="6">
        <v>43453</v>
      </c>
      <c r="N190" s="27" t="str">
        <f>"190420"</f>
        <v>190420</v>
      </c>
    </row>
    <row r="191" spans="1:14" ht="15">
      <c r="A191" s="9">
        <v>184</v>
      </c>
      <c r="B191" s="4" t="s">
        <v>20</v>
      </c>
      <c r="C191" s="5" t="s">
        <v>21</v>
      </c>
      <c r="D191" s="27" t="str">
        <f>"2018-12-18 15:38:52"</f>
        <v>2018-12-18 15:38:52</v>
      </c>
      <c r="E191" s="27" t="str">
        <f>"15413114027572404882"</f>
        <v>15413114027572404882</v>
      </c>
      <c r="F191" s="4" t="s">
        <v>22</v>
      </c>
      <c r="G191" s="27" t="str">
        <f>"Ros Marie"</f>
        <v>Ros Marie</v>
      </c>
      <c r="H191" s="27" t="str">
        <f>"8827181104130304"</f>
        <v>8827181104130304</v>
      </c>
      <c r="I191" s="28">
        <v>1740000</v>
      </c>
      <c r="J191" s="4"/>
      <c r="K191" s="10">
        <v>3900</v>
      </c>
      <c r="L191" s="11">
        <f t="shared" si="2"/>
        <v>1736100</v>
      </c>
      <c r="M191" s="6">
        <v>43453</v>
      </c>
      <c r="N191" s="27" t="str">
        <f>"188446"</f>
        <v>188446</v>
      </c>
    </row>
    <row r="192" spans="1:14" ht="15">
      <c r="A192" s="9">
        <v>185</v>
      </c>
      <c r="B192" s="4" t="s">
        <v>20</v>
      </c>
      <c r="C192" s="5" t="s">
        <v>21</v>
      </c>
      <c r="D192" s="27" t="str">
        <f>"2018-12-18 15:36:52"</f>
        <v>2018-12-18 15:36:52</v>
      </c>
      <c r="E192" s="27" t="str">
        <f>"15414670786393659718"</f>
        <v>15414670786393659718</v>
      </c>
      <c r="F192" s="4" t="s">
        <v>22</v>
      </c>
      <c r="G192" s="27" t="str">
        <f>"kusnadi"</f>
        <v>kusnadi</v>
      </c>
      <c r="H192" s="27" t="str">
        <f>"8827181106081706"</f>
        <v>8827181106081706</v>
      </c>
      <c r="I192" s="28">
        <v>1740000</v>
      </c>
      <c r="J192" s="4"/>
      <c r="K192" s="10">
        <v>3900</v>
      </c>
      <c r="L192" s="11">
        <f t="shared" si="2"/>
        <v>1736100</v>
      </c>
      <c r="M192" s="6">
        <v>43453</v>
      </c>
      <c r="N192" s="27" t="str">
        <f>"161467"</f>
        <v>161467</v>
      </c>
    </row>
    <row r="193" spans="1:14" ht="15">
      <c r="A193" s="9">
        <v>186</v>
      </c>
      <c r="B193" s="4" t="s">
        <v>20</v>
      </c>
      <c r="C193" s="5" t="s">
        <v>21</v>
      </c>
      <c r="D193" s="27" t="str">
        <f>"2018-12-18 15:32:44"</f>
        <v>2018-12-18 15:32:44</v>
      </c>
      <c r="E193" s="27" t="str">
        <f>"15414800926208175848"</f>
        <v>15414800926208175848</v>
      </c>
      <c r="F193" s="4" t="s">
        <v>22</v>
      </c>
      <c r="G193" s="27" t="str">
        <f>"Michael Faizal Sinaga"</f>
        <v>Michael Faizal Sinaga</v>
      </c>
      <c r="H193" s="27" t="str">
        <f>"8827181106115406"</f>
        <v>8827181106115406</v>
      </c>
      <c r="I193" s="28">
        <v>1767000</v>
      </c>
      <c r="J193" s="4"/>
      <c r="K193" s="10">
        <v>3900</v>
      </c>
      <c r="L193" s="11">
        <f t="shared" si="2"/>
        <v>1763100</v>
      </c>
      <c r="M193" s="6">
        <v>43453</v>
      </c>
      <c r="N193" s="27" t="str">
        <f>"930163"</f>
        <v>930163</v>
      </c>
    </row>
    <row r="194" spans="1:14" ht="15">
      <c r="A194" s="9">
        <v>187</v>
      </c>
      <c r="B194" s="4" t="s">
        <v>20</v>
      </c>
      <c r="C194" s="5" t="s">
        <v>21</v>
      </c>
      <c r="D194" s="27" t="str">
        <f>"2018-12-18 15:31:18"</f>
        <v>2018-12-18 15:31:18</v>
      </c>
      <c r="E194" s="27" t="str">
        <f>"15427588840135481232"</f>
        <v>15427588840135481232</v>
      </c>
      <c r="F194" s="4" t="s">
        <v>22</v>
      </c>
      <c r="G194" s="27" t="str">
        <f>"EDI NUR CAHYO"</f>
        <v>EDI NUR CAHYO</v>
      </c>
      <c r="H194" s="27" t="str">
        <f>"8827181121070801"</f>
        <v>8827181121070801</v>
      </c>
      <c r="I194" s="28">
        <v>1584000</v>
      </c>
      <c r="J194" s="4"/>
      <c r="K194" s="10">
        <v>3900</v>
      </c>
      <c r="L194" s="11">
        <f t="shared" si="2"/>
        <v>1580100</v>
      </c>
      <c r="M194" s="6">
        <v>43453</v>
      </c>
      <c r="N194" s="27" t="str">
        <f>"087390"</f>
        <v>087390</v>
      </c>
    </row>
    <row r="195" spans="1:14" ht="15">
      <c r="A195" s="9">
        <v>188</v>
      </c>
      <c r="B195" s="4" t="s">
        <v>20</v>
      </c>
      <c r="C195" s="5" t="s">
        <v>21</v>
      </c>
      <c r="D195" s="27" t="str">
        <f>"2018-12-18 15:29:46"</f>
        <v>2018-12-18 15:29:46</v>
      </c>
      <c r="E195" s="27" t="str">
        <f>"15421684320716670901"</f>
        <v>15421684320716670901</v>
      </c>
      <c r="F195" s="4" t="s">
        <v>22</v>
      </c>
      <c r="G195" s="27" t="str">
        <f>"Made Mas Gita Angga Pratiwi"</f>
        <v>Made Mas Gita Angga Pratiwi</v>
      </c>
      <c r="H195" s="27" t="str">
        <f>"8827181114110702"</f>
        <v>8827181114110702</v>
      </c>
      <c r="I195" s="28">
        <v>1152000</v>
      </c>
      <c r="J195" s="4"/>
      <c r="K195" s="10">
        <v>3900</v>
      </c>
      <c r="L195" s="11">
        <f t="shared" si="2"/>
        <v>1148100</v>
      </c>
      <c r="M195" s="6">
        <v>43453</v>
      </c>
      <c r="N195" s="27" t="str">
        <f>"066106"</f>
        <v>066106</v>
      </c>
    </row>
    <row r="196" spans="1:14" ht="15">
      <c r="A196" s="9">
        <v>189</v>
      </c>
      <c r="B196" s="4" t="s">
        <v>20</v>
      </c>
      <c r="C196" s="5" t="s">
        <v>21</v>
      </c>
      <c r="D196" s="27" t="str">
        <f>"2018-12-18 15:29:16"</f>
        <v>2018-12-18 15:29:16</v>
      </c>
      <c r="E196" s="27" t="str">
        <f>"15416145587626051057"</f>
        <v>15416145587626051057</v>
      </c>
      <c r="F196" s="4" t="s">
        <v>22</v>
      </c>
      <c r="G196" s="27" t="str">
        <f>"Aji Santoso"</f>
        <v>Aji Santoso</v>
      </c>
      <c r="H196" s="27" t="str">
        <f>"8827181108011501"</f>
        <v>8827181108011501</v>
      </c>
      <c r="I196" s="28">
        <v>1327300</v>
      </c>
      <c r="J196" s="4"/>
      <c r="K196" s="10">
        <v>3900</v>
      </c>
      <c r="L196" s="11">
        <f t="shared" si="2"/>
        <v>1323400</v>
      </c>
      <c r="M196" s="6">
        <v>43453</v>
      </c>
      <c r="N196" s="27" t="str">
        <f>"928389"</f>
        <v>928389</v>
      </c>
    </row>
    <row r="197" spans="1:14" ht="15">
      <c r="A197" s="9">
        <v>190</v>
      </c>
      <c r="B197" s="4" t="s">
        <v>20</v>
      </c>
      <c r="C197" s="5" t="s">
        <v>21</v>
      </c>
      <c r="D197" s="27" t="str">
        <f>"2018-12-18 15:27:16"</f>
        <v>2018-12-18 15:27:16</v>
      </c>
      <c r="E197" s="27" t="str">
        <f>"15414141590217854339"</f>
        <v>15414141590217854339</v>
      </c>
      <c r="F197" s="4" t="s">
        <v>22</v>
      </c>
      <c r="G197" s="27" t="str">
        <f>"amba hadiwiranata"</f>
        <v>amba hadiwiranata</v>
      </c>
      <c r="H197" s="27" t="str">
        <f>"8827181105173507"</f>
        <v>8827181105173507</v>
      </c>
      <c r="I197" s="28">
        <v>1812000</v>
      </c>
      <c r="J197" s="4"/>
      <c r="K197" s="10">
        <v>3900</v>
      </c>
      <c r="L197" s="11">
        <f t="shared" si="2"/>
        <v>1808100</v>
      </c>
      <c r="M197" s="6">
        <v>43453</v>
      </c>
      <c r="N197" s="27" t="str">
        <f>"033254"</f>
        <v>033254</v>
      </c>
    </row>
    <row r="198" spans="1:14" ht="15">
      <c r="A198" s="9">
        <v>191</v>
      </c>
      <c r="B198" s="4" t="s">
        <v>20</v>
      </c>
      <c r="C198" s="5" t="s">
        <v>21</v>
      </c>
      <c r="D198" s="27" t="str">
        <f>"2018-12-18 15:25:24"</f>
        <v>2018-12-18 15:25:24</v>
      </c>
      <c r="E198" s="27" t="str">
        <f>"15406336839325562438"</f>
        <v>15406336839325562438</v>
      </c>
      <c r="F198" s="4" t="s">
        <v>22</v>
      </c>
      <c r="G198" s="27" t="str">
        <f>"ani mulyani"</f>
        <v>ani mulyani</v>
      </c>
      <c r="H198" s="27" t="str">
        <f>"8827181027164802"</f>
        <v>8827181027164802</v>
      </c>
      <c r="I198" s="28">
        <v>1636500</v>
      </c>
      <c r="J198" s="4"/>
      <c r="K198" s="10">
        <v>3900</v>
      </c>
      <c r="L198" s="11">
        <f t="shared" si="2"/>
        <v>1632600</v>
      </c>
      <c r="M198" s="6">
        <v>43453</v>
      </c>
      <c r="N198" s="27" t="str">
        <f>"007219"</f>
        <v>007219</v>
      </c>
    </row>
    <row r="199" spans="1:14" ht="15">
      <c r="A199" s="9">
        <v>192</v>
      </c>
      <c r="B199" s="4" t="s">
        <v>20</v>
      </c>
      <c r="C199" s="5" t="s">
        <v>21</v>
      </c>
      <c r="D199" s="27" t="str">
        <f>"2018-12-18 15:21:28"</f>
        <v>2018-12-18 15:21:28</v>
      </c>
      <c r="E199" s="27" t="str">
        <f>"15413369137142310567"</f>
        <v>15413369137142310567</v>
      </c>
      <c r="F199" s="4" t="s">
        <v>22</v>
      </c>
      <c r="G199" s="27" t="str">
        <f>"Nur komala"</f>
        <v>Nur komala</v>
      </c>
      <c r="H199" s="27" t="str">
        <f>"8827181104200803"</f>
        <v>8827181104200803</v>
      </c>
      <c r="I199" s="28">
        <v>1812000</v>
      </c>
      <c r="J199" s="4"/>
      <c r="K199" s="10">
        <v>3900</v>
      </c>
      <c r="L199" s="11">
        <f t="shared" si="2"/>
        <v>1808100</v>
      </c>
      <c r="M199" s="6">
        <v>43453</v>
      </c>
      <c r="N199" s="27" t="str">
        <f>"923881"</f>
        <v>923881</v>
      </c>
    </row>
    <row r="200" spans="1:14" ht="15">
      <c r="A200" s="9">
        <v>193</v>
      </c>
      <c r="B200" s="4" t="s">
        <v>20</v>
      </c>
      <c r="C200" s="5" t="s">
        <v>21</v>
      </c>
      <c r="D200" s="27" t="str">
        <f>"2018-12-18 15:19:11"</f>
        <v>2018-12-18 15:19:11</v>
      </c>
      <c r="E200" s="27" t="str">
        <f>"15429404925278408796"</f>
        <v>15429404925278408796</v>
      </c>
      <c r="F200" s="4" t="s">
        <v>22</v>
      </c>
      <c r="G200" s="27" t="str">
        <f>"Iqbal Tanjung"</f>
        <v>Iqbal Tanjung</v>
      </c>
      <c r="H200" s="27" t="str">
        <f>"8827181123093409"</f>
        <v>8827181123093409</v>
      </c>
      <c r="I200" s="28">
        <v>896000</v>
      </c>
      <c r="J200" s="4"/>
      <c r="K200" s="10">
        <v>3900</v>
      </c>
      <c r="L200" s="11">
        <f t="shared" si="2"/>
        <v>892100</v>
      </c>
      <c r="M200" s="6">
        <v>43453</v>
      </c>
      <c r="N200" s="27" t="str">
        <f>"711826"</f>
        <v>711826</v>
      </c>
    </row>
    <row r="201" spans="1:14" ht="15">
      <c r="A201" s="9">
        <v>194</v>
      </c>
      <c r="B201" s="4" t="s">
        <v>20</v>
      </c>
      <c r="C201" s="5" t="s">
        <v>21</v>
      </c>
      <c r="D201" s="27" t="str">
        <f>"2018-12-18 15:19:09"</f>
        <v>2018-12-18 15:19:09</v>
      </c>
      <c r="E201" s="27" t="str">
        <f>"15414850889156262274"</f>
        <v>15414850889156262274</v>
      </c>
      <c r="F201" s="4" t="s">
        <v>22</v>
      </c>
      <c r="G201" s="27" t="str">
        <f>"nandan priatna"</f>
        <v>nandan priatna</v>
      </c>
      <c r="H201" s="27" t="str">
        <f>"8827181106131801"</f>
        <v>8827181106131801</v>
      </c>
      <c r="I201" s="28">
        <v>1198000</v>
      </c>
      <c r="J201" s="4"/>
      <c r="K201" s="10">
        <v>3900</v>
      </c>
      <c r="L201" s="11">
        <f t="shared" ref="L201:L264" si="3">(I201-K201)</f>
        <v>1194100</v>
      </c>
      <c r="M201" s="6">
        <v>43453</v>
      </c>
      <c r="N201" s="27" t="str">
        <f>"711225"</f>
        <v>711225</v>
      </c>
    </row>
    <row r="202" spans="1:14" ht="15">
      <c r="A202" s="9">
        <v>195</v>
      </c>
      <c r="B202" s="4" t="s">
        <v>20</v>
      </c>
      <c r="C202" s="5" t="s">
        <v>21</v>
      </c>
      <c r="D202" s="27" t="str">
        <f>"2018-12-18 15:15:38"</f>
        <v>2018-12-18 15:15:38</v>
      </c>
      <c r="E202" s="27" t="str">
        <f>"15410626538423240328"</f>
        <v>15410626538423240328</v>
      </c>
      <c r="F202" s="4" t="s">
        <v>22</v>
      </c>
      <c r="G202" s="27" t="str">
        <f>"HENDY DESLIADY ST"</f>
        <v>HENDY DESLIADY ST</v>
      </c>
      <c r="H202" s="27" t="str">
        <f>"8827181101155704"</f>
        <v>8827181101155704</v>
      </c>
      <c r="I202" s="28">
        <v>1767000</v>
      </c>
      <c r="J202" s="4"/>
      <c r="K202" s="10">
        <v>3900</v>
      </c>
      <c r="L202" s="11">
        <f t="shared" si="3"/>
        <v>1763100</v>
      </c>
      <c r="M202" s="6">
        <v>43453</v>
      </c>
      <c r="N202" s="27" t="str">
        <f>"652783"</f>
        <v>652783</v>
      </c>
    </row>
    <row r="203" spans="1:14" ht="15">
      <c r="A203" s="9">
        <v>196</v>
      </c>
      <c r="B203" s="4" t="s">
        <v>20</v>
      </c>
      <c r="C203" s="5" t="s">
        <v>21</v>
      </c>
      <c r="D203" s="27" t="str">
        <f>"2018-12-18 15:13:07"</f>
        <v>2018-12-18 15:13:07</v>
      </c>
      <c r="E203" s="27" t="str">
        <f>"15412046989927206256"</f>
        <v>15412046989927206256</v>
      </c>
      <c r="F203" s="4" t="s">
        <v>22</v>
      </c>
      <c r="G203" s="27" t="str">
        <f>"muis hariyanto"</f>
        <v>muis hariyanto</v>
      </c>
      <c r="H203" s="27" t="str">
        <f>"8827181103072403"</f>
        <v>8827181103072403</v>
      </c>
      <c r="I203" s="28">
        <v>1343200</v>
      </c>
      <c r="J203" s="4"/>
      <c r="K203" s="10">
        <v>3900</v>
      </c>
      <c r="L203" s="11">
        <f t="shared" si="3"/>
        <v>1339300</v>
      </c>
      <c r="M203" s="6">
        <v>43453</v>
      </c>
      <c r="N203" s="27" t="str">
        <f>"616056"</f>
        <v>616056</v>
      </c>
    </row>
    <row r="204" spans="1:14" ht="15">
      <c r="A204" s="9">
        <v>197</v>
      </c>
      <c r="B204" s="4" t="s">
        <v>20</v>
      </c>
      <c r="C204" s="5" t="s">
        <v>21</v>
      </c>
      <c r="D204" s="27" t="str">
        <f>"2018-12-18 15:11:01"</f>
        <v>2018-12-18 15:11:01</v>
      </c>
      <c r="E204" s="27" t="str">
        <f>"15412299365728693123"</f>
        <v>15412299365728693123</v>
      </c>
      <c r="F204" s="4" t="s">
        <v>22</v>
      </c>
      <c r="G204" s="27" t="str">
        <f>"nur kumalasari"</f>
        <v>nur kumalasari</v>
      </c>
      <c r="H204" s="27" t="str">
        <f>"8827181103142502"</f>
        <v>8827181103142502</v>
      </c>
      <c r="I204" s="28">
        <v>1767000</v>
      </c>
      <c r="J204" s="4"/>
      <c r="K204" s="10">
        <v>3900</v>
      </c>
      <c r="L204" s="11">
        <f t="shared" si="3"/>
        <v>1763100</v>
      </c>
      <c r="M204" s="6">
        <v>43453</v>
      </c>
      <c r="N204" s="27" t="str">
        <f>"586842"</f>
        <v>586842</v>
      </c>
    </row>
    <row r="205" spans="1:14" ht="15">
      <c r="A205" s="9">
        <v>198</v>
      </c>
      <c r="B205" s="4" t="s">
        <v>20</v>
      </c>
      <c r="C205" s="5" t="s">
        <v>21</v>
      </c>
      <c r="D205" s="27" t="str">
        <f>"2018-12-18 15:09:36"</f>
        <v>2018-12-18 15:09:36</v>
      </c>
      <c r="E205" s="27" t="str">
        <f>"15415470171062365125"</f>
        <v>15415470171062365125</v>
      </c>
      <c r="F205" s="4" t="s">
        <v>22</v>
      </c>
      <c r="G205" s="27" t="str">
        <f>"Triyono"</f>
        <v>Triyono</v>
      </c>
      <c r="H205" s="27" t="str">
        <f>"8827181107063002"</f>
        <v>8827181107063002</v>
      </c>
      <c r="I205" s="28">
        <v>1752000</v>
      </c>
      <c r="J205" s="4"/>
      <c r="K205" s="10">
        <v>3900</v>
      </c>
      <c r="L205" s="11">
        <f t="shared" si="3"/>
        <v>1748100</v>
      </c>
      <c r="M205" s="6">
        <v>43453</v>
      </c>
      <c r="N205" s="27" t="str">
        <f>"565143"</f>
        <v>565143</v>
      </c>
    </row>
    <row r="206" spans="1:14" ht="15">
      <c r="A206" s="9">
        <v>199</v>
      </c>
      <c r="B206" s="4" t="s">
        <v>20</v>
      </c>
      <c r="C206" s="5" t="s">
        <v>21</v>
      </c>
      <c r="D206" s="27" t="str">
        <f>"2018-12-18 15:07:13"</f>
        <v>2018-12-18 15:07:13</v>
      </c>
      <c r="E206" s="27" t="str">
        <f>"15409042175436943748"</f>
        <v>15409042175436943748</v>
      </c>
      <c r="F206" s="4" t="s">
        <v>22</v>
      </c>
      <c r="G206" s="27" t="str">
        <f>"rahayu"</f>
        <v>rahayu</v>
      </c>
      <c r="H206" s="27" t="str">
        <f>"8827181030195604"</f>
        <v>8827181030195604</v>
      </c>
      <c r="I206" s="28">
        <v>1812000</v>
      </c>
      <c r="J206" s="4"/>
      <c r="K206" s="10">
        <v>3900</v>
      </c>
      <c r="L206" s="11">
        <f t="shared" si="3"/>
        <v>1808100</v>
      </c>
      <c r="M206" s="6">
        <v>43453</v>
      </c>
      <c r="N206" s="27" t="str">
        <f>"530856"</f>
        <v>530856</v>
      </c>
    </row>
    <row r="207" spans="1:14" ht="15">
      <c r="A207" s="9">
        <v>200</v>
      </c>
      <c r="B207" s="4" t="s">
        <v>20</v>
      </c>
      <c r="C207" s="5" t="s">
        <v>21</v>
      </c>
      <c r="D207" s="27" t="str">
        <f>"2018-12-18 15:06:08"</f>
        <v>2018-12-18 15:06:08</v>
      </c>
      <c r="E207" s="27" t="str">
        <f>"15407330407995599955"</f>
        <v>15407330407995599955</v>
      </c>
      <c r="F207" s="4" t="s">
        <v>22</v>
      </c>
      <c r="G207" s="27" t="str">
        <f>"nurma safitri"</f>
        <v>nurma safitri</v>
      </c>
      <c r="H207" s="27" t="str">
        <f>"8827181028202401"</f>
        <v>8827181028202401</v>
      </c>
      <c r="I207" s="28">
        <v>1460000</v>
      </c>
      <c r="J207" s="4"/>
      <c r="K207" s="10">
        <v>3900</v>
      </c>
      <c r="L207" s="11">
        <f t="shared" si="3"/>
        <v>1456100</v>
      </c>
      <c r="M207" s="6">
        <v>43453</v>
      </c>
      <c r="N207" s="27" t="str">
        <f>"514884"</f>
        <v>514884</v>
      </c>
    </row>
    <row r="208" spans="1:14" ht="15">
      <c r="A208" s="9">
        <v>201</v>
      </c>
      <c r="B208" s="4" t="s">
        <v>20</v>
      </c>
      <c r="C208" s="5" t="s">
        <v>21</v>
      </c>
      <c r="D208" s="27" t="str">
        <f>"2018-12-18 15:04:57"</f>
        <v>2018-12-18 15:04:57</v>
      </c>
      <c r="E208" s="27" t="str">
        <f>"15411574991254676975"</f>
        <v>15411574991254676975</v>
      </c>
      <c r="F208" s="4" t="s">
        <v>22</v>
      </c>
      <c r="G208" s="27" t="str">
        <f>"Monix Sintia Dewi"</f>
        <v>Monix Sintia Dewi</v>
      </c>
      <c r="H208" s="27" t="str">
        <f>"8827181102181801"</f>
        <v>8827181102181801</v>
      </c>
      <c r="I208" s="28">
        <v>1354700</v>
      </c>
      <c r="J208" s="4"/>
      <c r="K208" s="10">
        <v>3900</v>
      </c>
      <c r="L208" s="11">
        <f t="shared" si="3"/>
        <v>1350800</v>
      </c>
      <c r="M208" s="6">
        <v>43453</v>
      </c>
      <c r="N208" s="27" t="str">
        <f>"497031"</f>
        <v>497031</v>
      </c>
    </row>
    <row r="209" spans="1:14" ht="15">
      <c r="A209" s="9">
        <v>202</v>
      </c>
      <c r="B209" s="4" t="s">
        <v>20</v>
      </c>
      <c r="C209" s="5" t="s">
        <v>21</v>
      </c>
      <c r="D209" s="27" t="str">
        <f>"2018-12-18 15:04:37"</f>
        <v>2018-12-18 15:04:37</v>
      </c>
      <c r="E209" s="27" t="str">
        <f>"15416835433453092484"</f>
        <v>15416835433453092484</v>
      </c>
      <c r="F209" s="4" t="s">
        <v>22</v>
      </c>
      <c r="G209" s="27" t="str">
        <f>"Endah Mustika Sari"</f>
        <v>Endah Mustika Sari</v>
      </c>
      <c r="H209" s="27" t="str">
        <f>"8827181108202504"</f>
        <v>8827181108202504</v>
      </c>
      <c r="I209" s="28">
        <v>1740000</v>
      </c>
      <c r="J209" s="4"/>
      <c r="K209" s="10">
        <v>3900</v>
      </c>
      <c r="L209" s="11">
        <f t="shared" si="3"/>
        <v>1736100</v>
      </c>
      <c r="M209" s="6">
        <v>43453</v>
      </c>
      <c r="N209" s="27" t="str">
        <f>"492334"</f>
        <v>492334</v>
      </c>
    </row>
    <row r="210" spans="1:14" ht="15">
      <c r="A210" s="9">
        <v>203</v>
      </c>
      <c r="B210" s="4" t="s">
        <v>20</v>
      </c>
      <c r="C210" s="5" t="s">
        <v>21</v>
      </c>
      <c r="D210" s="27" t="str">
        <f>"2018-12-18 15:04:27"</f>
        <v>2018-12-18 15:04:27</v>
      </c>
      <c r="E210" s="27" t="str">
        <f>"15417684882983545577"</f>
        <v>15417684882983545577</v>
      </c>
      <c r="F210" s="4" t="s">
        <v>22</v>
      </c>
      <c r="G210" s="27" t="str">
        <f>"helendia novi sisca"</f>
        <v>helendia novi sisca</v>
      </c>
      <c r="H210" s="27" t="str">
        <f>"8827181109200102"</f>
        <v>8827181109200102</v>
      </c>
      <c r="I210" s="28">
        <v>889600</v>
      </c>
      <c r="J210" s="4"/>
      <c r="K210" s="10">
        <v>3900</v>
      </c>
      <c r="L210" s="11">
        <f t="shared" si="3"/>
        <v>885700</v>
      </c>
      <c r="M210" s="6">
        <v>43453</v>
      </c>
      <c r="N210" s="27" t="str">
        <f>"489807"</f>
        <v>489807</v>
      </c>
    </row>
    <row r="211" spans="1:14" ht="15">
      <c r="A211" s="9">
        <v>204</v>
      </c>
      <c r="B211" s="4" t="s">
        <v>20</v>
      </c>
      <c r="C211" s="5" t="s">
        <v>21</v>
      </c>
      <c r="D211" s="27" t="str">
        <f>"2018-12-18 15:00:01"</f>
        <v>2018-12-18 15:00:01</v>
      </c>
      <c r="E211" s="27" t="str">
        <f>"15415546155678675154"</f>
        <v>15415546155678675154</v>
      </c>
      <c r="F211" s="4" t="s">
        <v>22</v>
      </c>
      <c r="G211" s="27" t="str">
        <f>"fadhlan fauzi"</f>
        <v>fadhlan fauzi</v>
      </c>
      <c r="H211" s="27" t="str">
        <f>"8827181107083602"</f>
        <v>8827181107083602</v>
      </c>
      <c r="I211" s="28">
        <v>600000</v>
      </c>
      <c r="J211" s="4"/>
      <c r="K211" s="10">
        <v>3900</v>
      </c>
      <c r="L211" s="11">
        <f t="shared" si="3"/>
        <v>596100</v>
      </c>
      <c r="M211" s="6">
        <v>43453</v>
      </c>
      <c r="N211" s="27" t="str">
        <f>"417492"</f>
        <v>417492</v>
      </c>
    </row>
    <row r="212" spans="1:14" ht="15">
      <c r="A212" s="9">
        <v>205</v>
      </c>
      <c r="B212" s="4" t="s">
        <v>20</v>
      </c>
      <c r="C212" s="5" t="s">
        <v>21</v>
      </c>
      <c r="D212" s="27" t="str">
        <f>"2018-12-18 14:55:43"</f>
        <v>2018-12-18 14:55:43</v>
      </c>
      <c r="E212" s="27" t="str">
        <f>"15438330530374967226"</f>
        <v>15438330530374967226</v>
      </c>
      <c r="F212" s="4" t="s">
        <v>22</v>
      </c>
      <c r="G212" s="27" t="str">
        <f>"lussy angraini"</f>
        <v>lussy angraini</v>
      </c>
      <c r="H212" s="27" t="str">
        <f>"8827181203173002"</f>
        <v>8827181203173002</v>
      </c>
      <c r="I212" s="28">
        <v>1024000</v>
      </c>
      <c r="J212" s="4"/>
      <c r="K212" s="10">
        <v>3900</v>
      </c>
      <c r="L212" s="11">
        <f t="shared" si="3"/>
        <v>1020100</v>
      </c>
      <c r="M212" s="6">
        <v>43453</v>
      </c>
      <c r="N212" s="27" t="str">
        <f>"344441"</f>
        <v>344441</v>
      </c>
    </row>
    <row r="213" spans="1:14" ht="15">
      <c r="A213" s="9">
        <v>206</v>
      </c>
      <c r="B213" s="4" t="s">
        <v>20</v>
      </c>
      <c r="C213" s="5" t="s">
        <v>21</v>
      </c>
      <c r="D213" s="27" t="str">
        <f>"2018-12-18 14:50:14"</f>
        <v>2018-12-18 14:50:14</v>
      </c>
      <c r="E213" s="27" t="str">
        <f>"15415541756369582260"</f>
        <v>15415541756369582260</v>
      </c>
      <c r="F213" s="4" t="s">
        <v>22</v>
      </c>
      <c r="G213" s="27" t="str">
        <f>"restina napitupulu"</f>
        <v>restina napitupulu</v>
      </c>
      <c r="H213" s="27" t="str">
        <f>"8827181107082903"</f>
        <v>8827181107082903</v>
      </c>
      <c r="I213" s="28">
        <v>1630500</v>
      </c>
      <c r="J213" s="4"/>
      <c r="K213" s="10">
        <v>3900</v>
      </c>
      <c r="L213" s="11">
        <f t="shared" si="3"/>
        <v>1626600</v>
      </c>
      <c r="M213" s="6">
        <v>43453</v>
      </c>
      <c r="N213" s="27" t="str">
        <f>"246988"</f>
        <v>246988</v>
      </c>
    </row>
    <row r="214" spans="1:14" ht="15">
      <c r="A214" s="9">
        <v>207</v>
      </c>
      <c r="B214" s="4" t="s">
        <v>20</v>
      </c>
      <c r="C214" s="5" t="s">
        <v>21</v>
      </c>
      <c r="D214" s="27" t="str">
        <f>"2018-12-18 14:50:00"</f>
        <v>2018-12-18 14:50:00</v>
      </c>
      <c r="E214" s="27" t="str">
        <f>"15437163171894814541"</f>
        <v>15437163171894814541</v>
      </c>
      <c r="F214" s="4" t="s">
        <v>22</v>
      </c>
      <c r="G214" s="27" t="str">
        <f>"Muhamad nur jamil"</f>
        <v>Muhamad nur jamil</v>
      </c>
      <c r="H214" s="27" t="str">
        <f>"8827181202090501"</f>
        <v>8827181202090501</v>
      </c>
      <c r="I214" s="28">
        <v>742950</v>
      </c>
      <c r="J214" s="4"/>
      <c r="K214" s="10">
        <v>3900</v>
      </c>
      <c r="L214" s="11">
        <f t="shared" si="3"/>
        <v>739050</v>
      </c>
      <c r="M214" s="6">
        <v>43453</v>
      </c>
      <c r="N214" s="27" t="str">
        <f>"243113"</f>
        <v>243113</v>
      </c>
    </row>
    <row r="215" spans="1:14" ht="15">
      <c r="A215" s="9">
        <v>208</v>
      </c>
      <c r="B215" s="4" t="s">
        <v>20</v>
      </c>
      <c r="C215" s="5" t="s">
        <v>21</v>
      </c>
      <c r="D215" s="27" t="str">
        <f>"2018-12-18 14:49:51"</f>
        <v>2018-12-18 14:49:51</v>
      </c>
      <c r="E215" s="27" t="str">
        <f>"15415635167052533808"</f>
        <v>15415635167052533808</v>
      </c>
      <c r="F215" s="4" t="s">
        <v>22</v>
      </c>
      <c r="G215" s="27" t="str">
        <f>"shipa afiatul m"</f>
        <v>shipa afiatul m</v>
      </c>
      <c r="H215" s="27" t="str">
        <f>"8827181107110503"</f>
        <v>8827181107110503</v>
      </c>
      <c r="I215" s="28">
        <v>1491600</v>
      </c>
      <c r="J215" s="4"/>
      <c r="K215" s="10">
        <v>3900</v>
      </c>
      <c r="L215" s="11">
        <f t="shared" si="3"/>
        <v>1487700</v>
      </c>
      <c r="M215" s="6">
        <v>43453</v>
      </c>
      <c r="N215" s="27" t="str">
        <f>"240728"</f>
        <v>240728</v>
      </c>
    </row>
    <row r="216" spans="1:14" ht="15">
      <c r="A216" s="9">
        <v>209</v>
      </c>
      <c r="B216" s="4" t="s">
        <v>20</v>
      </c>
      <c r="C216" s="5" t="s">
        <v>21</v>
      </c>
      <c r="D216" s="27" t="str">
        <f>"2018-12-18 14:46:14"</f>
        <v>2018-12-18 14:46:14</v>
      </c>
      <c r="E216" s="27" t="str">
        <f>"15435540332298468318"</f>
        <v>15435540332298468318</v>
      </c>
      <c r="F216" s="4" t="s">
        <v>22</v>
      </c>
      <c r="G216" s="27" t="str">
        <f>"endang retnaningrum Puspito arum"</f>
        <v>endang retnaningrum Puspito arum</v>
      </c>
      <c r="H216" s="27" t="str">
        <f>"8827181130120001"</f>
        <v>8827181130120001</v>
      </c>
      <c r="I216" s="28">
        <v>165944</v>
      </c>
      <c r="J216" s="4"/>
      <c r="K216" s="10">
        <v>3900</v>
      </c>
      <c r="L216" s="11">
        <f t="shared" si="3"/>
        <v>162044</v>
      </c>
      <c r="M216" s="6">
        <v>43453</v>
      </c>
      <c r="N216" s="27" t="str">
        <f>"183708"</f>
        <v>183708</v>
      </c>
    </row>
    <row r="217" spans="1:14" ht="15">
      <c r="A217" s="9">
        <v>210</v>
      </c>
      <c r="B217" s="4" t="s">
        <v>20</v>
      </c>
      <c r="C217" s="5" t="s">
        <v>21</v>
      </c>
      <c r="D217" s="27" t="str">
        <f>"2018-12-18 14:44:54"</f>
        <v>2018-12-18 14:44:54</v>
      </c>
      <c r="E217" s="27" t="str">
        <f>"15412890486803998815"</f>
        <v>15412890486803998815</v>
      </c>
      <c r="F217" s="4" t="s">
        <v>22</v>
      </c>
      <c r="G217" s="27" t="str">
        <f>"iing solihin"</f>
        <v>iing solihin</v>
      </c>
      <c r="H217" s="27" t="str">
        <f>"8827181104065002"</f>
        <v>8827181104065002</v>
      </c>
      <c r="I217" s="28">
        <v>1588500</v>
      </c>
      <c r="J217" s="4"/>
      <c r="K217" s="10">
        <v>3900</v>
      </c>
      <c r="L217" s="11">
        <f t="shared" si="3"/>
        <v>1584600</v>
      </c>
      <c r="M217" s="6">
        <v>43453</v>
      </c>
      <c r="N217" s="27" t="str">
        <f>"160825"</f>
        <v>160825</v>
      </c>
    </row>
    <row r="218" spans="1:14" ht="15">
      <c r="A218" s="9">
        <v>211</v>
      </c>
      <c r="B218" s="4" t="s">
        <v>20</v>
      </c>
      <c r="C218" s="5" t="s">
        <v>21</v>
      </c>
      <c r="D218" s="27" t="str">
        <f>"2018-12-18 14:44:41"</f>
        <v>2018-12-18 14:44:41</v>
      </c>
      <c r="E218" s="27" t="str">
        <f>"15423520239267602608"</f>
        <v>15423520239267602608</v>
      </c>
      <c r="F218" s="4" t="s">
        <v>22</v>
      </c>
      <c r="G218" s="27" t="str">
        <f>"Cahyani fitri"</f>
        <v>Cahyani fitri</v>
      </c>
      <c r="H218" s="27" t="str">
        <f>"8827181116140701"</f>
        <v>8827181116140701</v>
      </c>
      <c r="I218" s="28">
        <v>1276000</v>
      </c>
      <c r="J218" s="4"/>
      <c r="K218" s="10">
        <v>3900</v>
      </c>
      <c r="L218" s="11">
        <f t="shared" si="3"/>
        <v>1272100</v>
      </c>
      <c r="M218" s="6">
        <v>43453</v>
      </c>
      <c r="N218" s="27" t="str">
        <f>"156981"</f>
        <v>156981</v>
      </c>
    </row>
    <row r="219" spans="1:14" ht="15">
      <c r="A219" s="9">
        <v>212</v>
      </c>
      <c r="B219" s="4" t="s">
        <v>20</v>
      </c>
      <c r="C219" s="5" t="s">
        <v>21</v>
      </c>
      <c r="D219" s="27" t="str">
        <f>"2018-12-18 14:40:52"</f>
        <v>2018-12-18 14:40:52</v>
      </c>
      <c r="E219" s="27" t="str">
        <f>"15421959023085779920"</f>
        <v>15421959023085779920</v>
      </c>
      <c r="F219" s="4" t="s">
        <v>22</v>
      </c>
      <c r="G219" s="27" t="str">
        <f>"Sulistyani"</f>
        <v>Sulistyani</v>
      </c>
      <c r="H219" s="27" t="str">
        <f>"8827181114184501"</f>
        <v>8827181114184501</v>
      </c>
      <c r="I219" s="28">
        <v>1401600</v>
      </c>
      <c r="J219" s="4"/>
      <c r="K219" s="10">
        <v>3900</v>
      </c>
      <c r="L219" s="11">
        <f t="shared" si="3"/>
        <v>1397700</v>
      </c>
      <c r="M219" s="6">
        <v>43453</v>
      </c>
      <c r="N219" s="27" t="str">
        <f>"999690"</f>
        <v>999690</v>
      </c>
    </row>
    <row r="220" spans="1:14" ht="15">
      <c r="A220" s="9">
        <v>213</v>
      </c>
      <c r="B220" s="4" t="s">
        <v>20</v>
      </c>
      <c r="C220" s="5" t="s">
        <v>21</v>
      </c>
      <c r="D220" s="27" t="str">
        <f>"2018-12-18 14:40:48"</f>
        <v>2018-12-18 14:40:48</v>
      </c>
      <c r="E220" s="27" t="str">
        <f>"15426435588396737057"</f>
        <v>15426435588396737057</v>
      </c>
      <c r="F220" s="4" t="s">
        <v>22</v>
      </c>
      <c r="G220" s="27" t="str">
        <f>"Yunita Ambarwati"</f>
        <v>Yunita Ambarwati</v>
      </c>
      <c r="H220" s="27" t="str">
        <f>"8827181119230502"</f>
        <v>8827181119230502</v>
      </c>
      <c r="I220" s="28">
        <v>1692000</v>
      </c>
      <c r="J220" s="4"/>
      <c r="K220" s="10">
        <v>3900</v>
      </c>
      <c r="L220" s="11">
        <f t="shared" si="3"/>
        <v>1688100</v>
      </c>
      <c r="M220" s="6">
        <v>43453</v>
      </c>
      <c r="N220" s="27" t="str">
        <f>"095295"</f>
        <v>095295</v>
      </c>
    </row>
    <row r="221" spans="1:14" ht="15">
      <c r="A221" s="9">
        <v>214</v>
      </c>
      <c r="B221" s="4" t="s">
        <v>20</v>
      </c>
      <c r="C221" s="5" t="s">
        <v>21</v>
      </c>
      <c r="D221" s="27" t="str">
        <f>"2018-12-18 14:35:29"</f>
        <v>2018-12-18 14:35:29</v>
      </c>
      <c r="E221" s="27" t="str">
        <f>"15414771896373707564"</f>
        <v>15414771896373707564</v>
      </c>
      <c r="F221" s="4" t="s">
        <v>22</v>
      </c>
      <c r="G221" s="27" t="str">
        <f>"Shanto Andrianto"</f>
        <v>Shanto Andrianto</v>
      </c>
      <c r="H221" s="27" t="str">
        <f>"8827181106110603"</f>
        <v>8827181106110603</v>
      </c>
      <c r="I221" s="28">
        <v>1767000</v>
      </c>
      <c r="J221" s="4"/>
      <c r="K221" s="10">
        <v>3900</v>
      </c>
      <c r="L221" s="11">
        <f t="shared" si="3"/>
        <v>1763100</v>
      </c>
      <c r="M221" s="6">
        <v>43453</v>
      </c>
      <c r="N221" s="27" t="str">
        <f>"000240"</f>
        <v>000240</v>
      </c>
    </row>
    <row r="222" spans="1:14" ht="15">
      <c r="A222" s="9">
        <v>215</v>
      </c>
      <c r="B222" s="4" t="s">
        <v>20</v>
      </c>
      <c r="C222" s="5" t="s">
        <v>21</v>
      </c>
      <c r="D222" s="27" t="str">
        <f>"2018-12-18 14:34:20"</f>
        <v>2018-12-18 14:34:20</v>
      </c>
      <c r="E222" s="27" t="str">
        <f>"15418414844356882085"</f>
        <v>15418414844356882085</v>
      </c>
      <c r="F222" s="4" t="s">
        <v>22</v>
      </c>
      <c r="G222" s="27" t="str">
        <f>"Nurfitri Purnamasari"</f>
        <v>Nurfitri Purnamasari</v>
      </c>
      <c r="H222" s="27" t="str">
        <f>"8827181110161801"</f>
        <v>8827181110161801</v>
      </c>
      <c r="I222" s="28">
        <v>1752000</v>
      </c>
      <c r="J222" s="4"/>
      <c r="K222" s="10">
        <v>3900</v>
      </c>
      <c r="L222" s="11">
        <f t="shared" si="3"/>
        <v>1748100</v>
      </c>
      <c r="M222" s="6">
        <v>43453</v>
      </c>
      <c r="N222" s="27" t="str">
        <f>"780124"</f>
        <v>780124</v>
      </c>
    </row>
    <row r="223" spans="1:14" ht="15">
      <c r="A223" s="9">
        <v>216</v>
      </c>
      <c r="B223" s="4" t="s">
        <v>20</v>
      </c>
      <c r="C223" s="5" t="s">
        <v>21</v>
      </c>
      <c r="D223" s="27" t="str">
        <f>"2018-12-18 14:32:45"</f>
        <v>2018-12-18 14:32:45</v>
      </c>
      <c r="E223" s="27" t="str">
        <f>"15419904238196644155"</f>
        <v>15419904238196644155</v>
      </c>
      <c r="F223" s="4" t="s">
        <v>22</v>
      </c>
      <c r="G223" s="27" t="str">
        <f>"firman aryadi"</f>
        <v>firman aryadi</v>
      </c>
      <c r="H223" s="27" t="str">
        <f>"8827181112094004"</f>
        <v>8827181112094004</v>
      </c>
      <c r="I223" s="28">
        <v>1548000</v>
      </c>
      <c r="J223" s="4"/>
      <c r="K223" s="10">
        <v>3900</v>
      </c>
      <c r="L223" s="11">
        <f t="shared" si="3"/>
        <v>1544100</v>
      </c>
      <c r="M223" s="6">
        <v>43453</v>
      </c>
      <c r="N223" s="27" t="str">
        <f>"994786"</f>
        <v>994786</v>
      </c>
    </row>
    <row r="224" spans="1:14" ht="15">
      <c r="A224" s="9">
        <v>217</v>
      </c>
      <c r="B224" s="4" t="s">
        <v>20</v>
      </c>
      <c r="C224" s="5" t="s">
        <v>21</v>
      </c>
      <c r="D224" s="27" t="str">
        <f>"2018-12-18 14:29:54"</f>
        <v>2018-12-18 14:29:54</v>
      </c>
      <c r="E224" s="27" t="str">
        <f>"15415693143776128490"</f>
        <v>15415693143776128490</v>
      </c>
      <c r="F224" s="4" t="s">
        <v>22</v>
      </c>
      <c r="G224" s="27" t="str">
        <f>"puji lestari"</f>
        <v>puji lestari</v>
      </c>
      <c r="H224" s="27" t="str">
        <f>"8827181107124105"</f>
        <v>8827181107124105</v>
      </c>
      <c r="I224" s="28">
        <v>1767000</v>
      </c>
      <c r="J224" s="4"/>
      <c r="K224" s="10">
        <v>3900</v>
      </c>
      <c r="L224" s="11">
        <f t="shared" si="3"/>
        <v>1763100</v>
      </c>
      <c r="M224" s="6">
        <v>43453</v>
      </c>
      <c r="N224" s="27" t="str">
        <f>"702438"</f>
        <v>702438</v>
      </c>
    </row>
    <row r="225" spans="1:14" ht="15">
      <c r="A225" s="9">
        <v>218</v>
      </c>
      <c r="B225" s="4" t="s">
        <v>20</v>
      </c>
      <c r="C225" s="5" t="s">
        <v>21</v>
      </c>
      <c r="D225" s="27" t="str">
        <f>"2018-12-18 14:29:29"</f>
        <v>2018-12-18 14:29:29</v>
      </c>
      <c r="E225" s="27" t="str">
        <f>"15414181935716539227"</f>
        <v>15414181935716539227</v>
      </c>
      <c r="F225" s="4" t="s">
        <v>22</v>
      </c>
      <c r="G225" s="27" t="str">
        <f>"afif nurhadi nst"</f>
        <v>afif nurhadi nst</v>
      </c>
      <c r="H225" s="27" t="str">
        <f>"8827181105184302"</f>
        <v>8827181105184302</v>
      </c>
      <c r="I225" s="28">
        <v>973500</v>
      </c>
      <c r="J225" s="4"/>
      <c r="K225" s="10">
        <v>3900</v>
      </c>
      <c r="L225" s="11">
        <f t="shared" si="3"/>
        <v>969600</v>
      </c>
      <c r="M225" s="6">
        <v>43453</v>
      </c>
      <c r="N225" s="27" t="str">
        <f>"695546"</f>
        <v>695546</v>
      </c>
    </row>
    <row r="226" spans="1:14" ht="15">
      <c r="A226" s="9">
        <v>219</v>
      </c>
      <c r="B226" s="4" t="s">
        <v>20</v>
      </c>
      <c r="C226" s="5" t="s">
        <v>21</v>
      </c>
      <c r="D226" s="27" t="str">
        <f>"2018-12-18 14:28:12"</f>
        <v>2018-12-18 14:28:12</v>
      </c>
      <c r="E226" s="27" t="str">
        <f>"15426825223585811196"</f>
        <v>15426825223585811196</v>
      </c>
      <c r="F226" s="4" t="s">
        <v>22</v>
      </c>
      <c r="G226" s="27" t="str">
        <f>"Gemilang Ramadhan"</f>
        <v>Gemilang Ramadhan</v>
      </c>
      <c r="H226" s="27" t="str">
        <f>"8827181120095507"</f>
        <v>8827181120095507</v>
      </c>
      <c r="I226" s="28">
        <v>800000</v>
      </c>
      <c r="J226" s="4"/>
      <c r="K226" s="10">
        <v>3900</v>
      </c>
      <c r="L226" s="11">
        <f t="shared" si="3"/>
        <v>796100</v>
      </c>
      <c r="M226" s="6">
        <v>43453</v>
      </c>
      <c r="N226" s="27" t="str">
        <f>"992072"</f>
        <v>992072</v>
      </c>
    </row>
    <row r="227" spans="1:14" ht="15">
      <c r="A227" s="9">
        <v>220</v>
      </c>
      <c r="B227" s="4" t="s">
        <v>20</v>
      </c>
      <c r="C227" s="5" t="s">
        <v>21</v>
      </c>
      <c r="D227" s="27" t="str">
        <f>"2018-12-18 14:27:28"</f>
        <v>2018-12-18 14:27:28</v>
      </c>
      <c r="E227" s="27" t="str">
        <f>"15416320395461478595"</f>
        <v>15416320395461478595</v>
      </c>
      <c r="F227" s="4" t="s">
        <v>22</v>
      </c>
      <c r="G227" s="27" t="str">
        <f>"ari yanto"</f>
        <v>ari yanto</v>
      </c>
      <c r="H227" s="27" t="str">
        <f>"8827181108060702"</f>
        <v>8827181108060702</v>
      </c>
      <c r="I227" s="28">
        <v>2217000</v>
      </c>
      <c r="J227" s="4"/>
      <c r="K227" s="10">
        <v>3900</v>
      </c>
      <c r="L227" s="11">
        <f t="shared" si="3"/>
        <v>2213100</v>
      </c>
      <c r="M227" s="6">
        <v>43453</v>
      </c>
      <c r="N227" s="27" t="str">
        <f>"664019"</f>
        <v>664019</v>
      </c>
    </row>
    <row r="228" spans="1:14" ht="15">
      <c r="A228" s="9">
        <v>221</v>
      </c>
      <c r="B228" s="4" t="s">
        <v>20</v>
      </c>
      <c r="C228" s="5" t="s">
        <v>21</v>
      </c>
      <c r="D228" s="27" t="str">
        <f>"2018-12-18 14:27:02"</f>
        <v>2018-12-18 14:27:02</v>
      </c>
      <c r="E228" s="27" t="str">
        <f>"15421295380797938955"</f>
        <v>15421295380797938955</v>
      </c>
      <c r="F228" s="4" t="s">
        <v>22</v>
      </c>
      <c r="G228" s="27" t="str">
        <f>"Suhartono pribowo"</f>
        <v>Suhartono pribowo</v>
      </c>
      <c r="H228" s="27" t="str">
        <f>"8827181114001801"</f>
        <v>8827181114001801</v>
      </c>
      <c r="I228" s="28">
        <v>1401600</v>
      </c>
      <c r="J228" s="4"/>
      <c r="K228" s="10">
        <v>3900</v>
      </c>
      <c r="L228" s="11">
        <f t="shared" si="3"/>
        <v>1397700</v>
      </c>
      <c r="M228" s="6">
        <v>43453</v>
      </c>
      <c r="N228" s="27" t="str">
        <f>"657270"</f>
        <v>657270</v>
      </c>
    </row>
    <row r="229" spans="1:14" ht="15">
      <c r="A229" s="9">
        <v>222</v>
      </c>
      <c r="B229" s="4" t="s">
        <v>20</v>
      </c>
      <c r="C229" s="5" t="s">
        <v>21</v>
      </c>
      <c r="D229" s="27" t="str">
        <f>"2018-12-18 14:25:26"</f>
        <v>2018-12-18 14:25:26</v>
      </c>
      <c r="E229" s="27" t="str">
        <f>"15412396036742280698"</f>
        <v>15412396036742280698</v>
      </c>
      <c r="F229" s="4" t="s">
        <v>22</v>
      </c>
      <c r="G229" s="27" t="str">
        <f>"Ary dwi rachmawati"</f>
        <v>Ary dwi rachmawati</v>
      </c>
      <c r="H229" s="27" t="str">
        <f>"8827181103170605"</f>
        <v>8827181103170605</v>
      </c>
      <c r="I229" s="28">
        <v>1594500</v>
      </c>
      <c r="J229" s="4"/>
      <c r="K229" s="10">
        <v>3900</v>
      </c>
      <c r="L229" s="11">
        <f t="shared" si="3"/>
        <v>1590600</v>
      </c>
      <c r="M229" s="6">
        <v>43453</v>
      </c>
      <c r="N229" s="27" t="str">
        <f>"627654"</f>
        <v>627654</v>
      </c>
    </row>
    <row r="230" spans="1:14" ht="15">
      <c r="A230" s="9">
        <v>223</v>
      </c>
      <c r="B230" s="4" t="s">
        <v>20</v>
      </c>
      <c r="C230" s="5" t="s">
        <v>21</v>
      </c>
      <c r="D230" s="27" t="str">
        <f>"2018-12-18 14:25:19"</f>
        <v>2018-12-18 14:25:19</v>
      </c>
      <c r="E230" s="27" t="str">
        <f>"15408181150604818992"</f>
        <v>15408181150604818992</v>
      </c>
      <c r="F230" s="4" t="s">
        <v>22</v>
      </c>
      <c r="G230" s="27" t="str">
        <f>"Iwan Bomer S"</f>
        <v>Iwan Bomer S</v>
      </c>
      <c r="H230" s="27" t="str">
        <f>"8827181029200106"</f>
        <v>8827181029200106</v>
      </c>
      <c r="I230" s="28">
        <v>797250</v>
      </c>
      <c r="J230" s="4"/>
      <c r="K230" s="10">
        <v>3900</v>
      </c>
      <c r="L230" s="11">
        <f t="shared" si="3"/>
        <v>793350</v>
      </c>
      <c r="M230" s="6">
        <v>43453</v>
      </c>
      <c r="N230" s="27" t="str">
        <f>"625391"</f>
        <v>625391</v>
      </c>
    </row>
    <row r="231" spans="1:14" ht="15">
      <c r="A231" s="9">
        <v>224</v>
      </c>
      <c r="B231" s="4" t="s">
        <v>20</v>
      </c>
      <c r="C231" s="5" t="s">
        <v>21</v>
      </c>
      <c r="D231" s="27" t="str">
        <f>"2018-12-18 14:23:29"</f>
        <v>2018-12-18 14:23:29</v>
      </c>
      <c r="E231" s="27" t="str">
        <f>"15415722411866818546"</f>
        <v>15415722411866818546</v>
      </c>
      <c r="F231" s="4" t="s">
        <v>22</v>
      </c>
      <c r="G231" s="27" t="str">
        <f>"mustakim"</f>
        <v>mustakim</v>
      </c>
      <c r="H231" s="27" t="str">
        <f>"8827181107133002"</f>
        <v>8827181107133002</v>
      </c>
      <c r="I231" s="28">
        <v>1665000</v>
      </c>
      <c r="J231" s="4"/>
      <c r="K231" s="10">
        <v>3900</v>
      </c>
      <c r="L231" s="11">
        <f t="shared" si="3"/>
        <v>1661100</v>
      </c>
      <c r="M231" s="6">
        <v>43453</v>
      </c>
      <c r="N231" s="27" t="str">
        <f>"593278"</f>
        <v>593278</v>
      </c>
    </row>
    <row r="232" spans="1:14" ht="15">
      <c r="A232" s="9">
        <v>225</v>
      </c>
      <c r="B232" s="4" t="s">
        <v>20</v>
      </c>
      <c r="C232" s="5" t="s">
        <v>21</v>
      </c>
      <c r="D232" s="27" t="str">
        <f>"2018-12-18 14:22:56"</f>
        <v>2018-12-18 14:22:56</v>
      </c>
      <c r="E232" s="27" t="str">
        <f>"15411217772935279406"</f>
        <v>15411217772935279406</v>
      </c>
      <c r="F232" s="4" t="s">
        <v>22</v>
      </c>
      <c r="G232" s="27" t="str">
        <f>"deddy ari setiyono"</f>
        <v>deddy ari setiyono</v>
      </c>
      <c r="H232" s="27" t="str">
        <f>"8827181102082205"</f>
        <v>8827181102082205</v>
      </c>
      <c r="I232" s="28">
        <v>1740000</v>
      </c>
      <c r="J232" s="4"/>
      <c r="K232" s="10">
        <v>3900</v>
      </c>
      <c r="L232" s="11">
        <f t="shared" si="3"/>
        <v>1736100</v>
      </c>
      <c r="M232" s="6">
        <v>43453</v>
      </c>
      <c r="N232" s="27" t="str">
        <f>"584503"</f>
        <v>584503</v>
      </c>
    </row>
    <row r="233" spans="1:14" ht="15">
      <c r="A233" s="9">
        <v>226</v>
      </c>
      <c r="B233" s="4" t="s">
        <v>20</v>
      </c>
      <c r="C233" s="5" t="s">
        <v>21</v>
      </c>
      <c r="D233" s="27" t="str">
        <f>"2018-12-18 14:21:14"</f>
        <v>2018-12-18 14:21:14</v>
      </c>
      <c r="E233" s="27" t="str">
        <f>"15421813604779594145"</f>
        <v>15421813604779594145</v>
      </c>
      <c r="F233" s="4" t="s">
        <v>22</v>
      </c>
      <c r="G233" s="27" t="str">
        <f>"samanta wulan mardikawati"</f>
        <v>samanta wulan mardikawati</v>
      </c>
      <c r="H233" s="27" t="str">
        <f>"8827181114144204"</f>
        <v>8827181114144204</v>
      </c>
      <c r="I233" s="28">
        <v>53000</v>
      </c>
      <c r="J233" s="4"/>
      <c r="K233" s="10">
        <v>3900</v>
      </c>
      <c r="L233" s="11">
        <f t="shared" si="3"/>
        <v>49100</v>
      </c>
      <c r="M233" s="6">
        <v>43453</v>
      </c>
      <c r="N233" s="27" t="str">
        <f>"556801"</f>
        <v>556801</v>
      </c>
    </row>
    <row r="234" spans="1:14" ht="15">
      <c r="A234" s="9">
        <v>227</v>
      </c>
      <c r="B234" s="4" t="s">
        <v>20</v>
      </c>
      <c r="C234" s="5" t="s">
        <v>21</v>
      </c>
      <c r="D234" s="27" t="str">
        <f>"2018-12-18 14:18:59"</f>
        <v>2018-12-18 14:18:59</v>
      </c>
      <c r="E234" s="27" t="str">
        <f>"15406436600947269065"</f>
        <v>15406436600947269065</v>
      </c>
      <c r="F234" s="4" t="s">
        <v>22</v>
      </c>
      <c r="G234" s="27" t="str">
        <f>"Dian Octaviani"</f>
        <v>Dian Octaviani</v>
      </c>
      <c r="H234" s="27" t="str">
        <f>"8827181027193402"</f>
        <v>8827181027193402</v>
      </c>
      <c r="I234" s="28">
        <v>1812000</v>
      </c>
      <c r="J234" s="4"/>
      <c r="K234" s="10">
        <v>3900</v>
      </c>
      <c r="L234" s="11">
        <f t="shared" si="3"/>
        <v>1808100</v>
      </c>
      <c r="M234" s="6">
        <v>43453</v>
      </c>
      <c r="N234" s="27" t="str">
        <f>"523249"</f>
        <v>523249</v>
      </c>
    </row>
    <row r="235" spans="1:14" ht="15">
      <c r="A235" s="9">
        <v>228</v>
      </c>
      <c r="B235" s="4" t="s">
        <v>20</v>
      </c>
      <c r="C235" s="5" t="s">
        <v>21</v>
      </c>
      <c r="D235" s="27" t="str">
        <f>"2018-12-18 14:17:54"</f>
        <v>2018-12-18 14:17:54</v>
      </c>
      <c r="E235" s="27" t="str">
        <f>"15421386296679338457"</f>
        <v>15421386296679338457</v>
      </c>
      <c r="F235" s="4" t="s">
        <v>22</v>
      </c>
      <c r="G235" s="27" t="str">
        <f>"wawan setiawan"</f>
        <v>wawan setiawan</v>
      </c>
      <c r="H235" s="27" t="str">
        <f>"8827181114025001"</f>
        <v>8827181114025001</v>
      </c>
      <c r="I235" s="28">
        <v>1098000</v>
      </c>
      <c r="J235" s="4"/>
      <c r="K235" s="10">
        <v>3900</v>
      </c>
      <c r="L235" s="11">
        <f t="shared" si="3"/>
        <v>1094100</v>
      </c>
      <c r="M235" s="6">
        <v>43453</v>
      </c>
      <c r="N235" s="27" t="str">
        <f>"507353"</f>
        <v>507353</v>
      </c>
    </row>
    <row r="236" spans="1:14" ht="15">
      <c r="A236" s="9">
        <v>229</v>
      </c>
      <c r="B236" s="4" t="s">
        <v>20</v>
      </c>
      <c r="C236" s="5" t="s">
        <v>21</v>
      </c>
      <c r="D236" s="27" t="str">
        <f>"2018-12-18 14:16:14"</f>
        <v>2018-12-18 14:16:14</v>
      </c>
      <c r="E236" s="27" t="str">
        <f>"15410594594858166814"</f>
        <v>15410594594858166814</v>
      </c>
      <c r="F236" s="4" t="s">
        <v>22</v>
      </c>
      <c r="G236" s="27" t="str">
        <f>"ISMA NAZARULLOH"</f>
        <v>ISMA NAZARULLOH</v>
      </c>
      <c r="H236" s="27" t="str">
        <f>"8827181101150401"</f>
        <v>8827181101150401</v>
      </c>
      <c r="I236" s="28">
        <v>1391000</v>
      </c>
      <c r="J236" s="4"/>
      <c r="K236" s="10">
        <v>3900</v>
      </c>
      <c r="L236" s="11">
        <f t="shared" si="3"/>
        <v>1387100</v>
      </c>
      <c r="M236" s="6">
        <v>43453</v>
      </c>
      <c r="N236" s="27" t="str">
        <f>"474902"</f>
        <v>474902</v>
      </c>
    </row>
    <row r="237" spans="1:14" ht="15">
      <c r="A237" s="9">
        <v>230</v>
      </c>
      <c r="B237" s="4" t="s">
        <v>20</v>
      </c>
      <c r="C237" s="5" t="s">
        <v>21</v>
      </c>
      <c r="D237" s="27" t="str">
        <f>"2018-12-18 14:14:53"</f>
        <v>2018-12-18 14:14:53</v>
      </c>
      <c r="E237" s="27" t="str">
        <f>"15407019054128867729"</f>
        <v>15407019054128867729</v>
      </c>
      <c r="F237" s="4" t="s">
        <v>22</v>
      </c>
      <c r="G237" s="27" t="str">
        <f>"adi purwandi"</f>
        <v>adi purwandi</v>
      </c>
      <c r="H237" s="27" t="str">
        <f>"8827181028114501"</f>
        <v>8827181028114501</v>
      </c>
      <c r="I237" s="28">
        <v>1971600</v>
      </c>
      <c r="J237" s="4"/>
      <c r="K237" s="10">
        <v>3900</v>
      </c>
      <c r="L237" s="11">
        <f t="shared" si="3"/>
        <v>1967700</v>
      </c>
      <c r="M237" s="6">
        <v>43453</v>
      </c>
      <c r="N237" s="27" t="str">
        <f>"439163"</f>
        <v>439163</v>
      </c>
    </row>
    <row r="238" spans="1:14" ht="15">
      <c r="A238" s="9">
        <v>231</v>
      </c>
      <c r="B238" s="4" t="s">
        <v>20</v>
      </c>
      <c r="C238" s="5" t="s">
        <v>21</v>
      </c>
      <c r="D238" s="27" t="str">
        <f>"2018-12-18 14:13:56"</f>
        <v>2018-12-18 14:13:56</v>
      </c>
      <c r="E238" s="27" t="str">
        <f>"15421813604779594145"</f>
        <v>15421813604779594145</v>
      </c>
      <c r="F238" s="4" t="s">
        <v>22</v>
      </c>
      <c r="G238" s="27" t="str">
        <f>"samanta wulan mardikawati"</f>
        <v>samanta wulan mardikawati</v>
      </c>
      <c r="H238" s="27" t="str">
        <f>"8827181114144204"</f>
        <v>8827181114144204</v>
      </c>
      <c r="I238" s="28">
        <v>1045000</v>
      </c>
      <c r="J238" s="4"/>
      <c r="K238" s="10">
        <v>3900</v>
      </c>
      <c r="L238" s="11">
        <f t="shared" si="3"/>
        <v>1041100</v>
      </c>
      <c r="M238" s="6">
        <v>43453</v>
      </c>
      <c r="N238" s="27" t="str">
        <f>"410603"</f>
        <v>410603</v>
      </c>
    </row>
    <row r="239" spans="1:14" ht="15">
      <c r="A239" s="9">
        <v>232</v>
      </c>
      <c r="B239" s="4" t="s">
        <v>20</v>
      </c>
      <c r="C239" s="5" t="s">
        <v>21</v>
      </c>
      <c r="D239" s="27" t="str">
        <f>"2018-12-18 14:13:33"</f>
        <v>2018-12-18 14:13:33</v>
      </c>
      <c r="E239" s="27" t="str">
        <f>"15414891169595190407"</f>
        <v>15414891169595190407</v>
      </c>
      <c r="F239" s="4" t="s">
        <v>22</v>
      </c>
      <c r="G239" s="27" t="str">
        <f>"Desi Amanda Anggraini"</f>
        <v>Desi Amanda Anggraini</v>
      </c>
      <c r="H239" s="27" t="str">
        <f>"8827181106142502"</f>
        <v>8827181106142502</v>
      </c>
      <c r="I239" s="28">
        <v>1782000</v>
      </c>
      <c r="J239" s="4"/>
      <c r="K239" s="10">
        <v>3900</v>
      </c>
      <c r="L239" s="11">
        <f t="shared" si="3"/>
        <v>1778100</v>
      </c>
      <c r="M239" s="6">
        <v>43453</v>
      </c>
      <c r="N239" s="27" t="str">
        <f>"397636"</f>
        <v>397636</v>
      </c>
    </row>
    <row r="240" spans="1:14" ht="15">
      <c r="A240" s="9">
        <v>233</v>
      </c>
      <c r="B240" s="4" t="s">
        <v>20</v>
      </c>
      <c r="C240" s="5" t="s">
        <v>21</v>
      </c>
      <c r="D240" s="27" t="str">
        <f>"2018-12-18 14:12:50"</f>
        <v>2018-12-18 14:12:50</v>
      </c>
      <c r="E240" s="27" t="str">
        <f>"15433105148236992675"</f>
        <v>15433105148236992675</v>
      </c>
      <c r="F240" s="4" t="s">
        <v>22</v>
      </c>
      <c r="G240" s="27" t="str">
        <f>"Aji Kurnia"</f>
        <v>Aji Kurnia</v>
      </c>
      <c r="H240" s="27" t="str">
        <f>"8827181127162105"</f>
        <v>8827181127162105</v>
      </c>
      <c r="I240" s="28">
        <v>1767000</v>
      </c>
      <c r="J240" s="4"/>
      <c r="K240" s="10">
        <v>3900</v>
      </c>
      <c r="L240" s="11">
        <f t="shared" si="3"/>
        <v>1763100</v>
      </c>
      <c r="M240" s="6">
        <v>43453</v>
      </c>
      <c r="N240" s="27" t="str">
        <f>"373067"</f>
        <v>373067</v>
      </c>
    </row>
    <row r="241" spans="1:14" ht="15">
      <c r="A241" s="9">
        <v>234</v>
      </c>
      <c r="B241" s="4" t="s">
        <v>20</v>
      </c>
      <c r="C241" s="5" t="s">
        <v>21</v>
      </c>
      <c r="D241" s="27" t="str">
        <f>"2018-12-18 14:12:24"</f>
        <v>2018-12-18 14:12:24</v>
      </c>
      <c r="E241" s="27" t="str">
        <f>"15407150571376110650"</f>
        <v>15407150571376110650</v>
      </c>
      <c r="F241" s="4" t="s">
        <v>22</v>
      </c>
      <c r="G241" s="27" t="str">
        <f>"HETTY KARUNIAWATY"</f>
        <v>HETTY KARUNIAWATY</v>
      </c>
      <c r="H241" s="27" t="str">
        <f>"8827181028152402"</f>
        <v>8827181028152402</v>
      </c>
      <c r="I241" s="28">
        <v>923950</v>
      </c>
      <c r="J241" s="4"/>
      <c r="K241" s="10">
        <v>3900</v>
      </c>
      <c r="L241" s="11">
        <f t="shared" si="3"/>
        <v>920050</v>
      </c>
      <c r="M241" s="6">
        <v>43453</v>
      </c>
      <c r="N241" s="27" t="str">
        <f>"359914"</f>
        <v>359914</v>
      </c>
    </row>
    <row r="242" spans="1:14" ht="15">
      <c r="A242" s="9">
        <v>235</v>
      </c>
      <c r="B242" s="4" t="s">
        <v>20</v>
      </c>
      <c r="C242" s="5" t="s">
        <v>21</v>
      </c>
      <c r="D242" s="27" t="str">
        <f>"2018-12-18 14:07:19"</f>
        <v>2018-12-18 14:07:19</v>
      </c>
      <c r="E242" s="27" t="str">
        <f>"15421174176782509519"</f>
        <v>15421174176782509519</v>
      </c>
      <c r="F242" s="4" t="s">
        <v>22</v>
      </c>
      <c r="G242" s="27" t="str">
        <f>"arif rahman"</f>
        <v>arif rahman</v>
      </c>
      <c r="H242" s="27" t="str">
        <f>"8827181113205601"</f>
        <v>8827181113205601</v>
      </c>
      <c r="I242" s="28">
        <v>1692000</v>
      </c>
      <c r="J242" s="4"/>
      <c r="K242" s="10">
        <v>3900</v>
      </c>
      <c r="L242" s="11">
        <f t="shared" si="3"/>
        <v>1688100</v>
      </c>
      <c r="M242" s="6">
        <v>43453</v>
      </c>
      <c r="N242" s="27" t="str">
        <f>"211820"</f>
        <v>211820</v>
      </c>
    </row>
    <row r="243" spans="1:14" ht="15">
      <c r="A243" s="9">
        <v>236</v>
      </c>
      <c r="B243" s="4" t="s">
        <v>20</v>
      </c>
      <c r="C243" s="5" t="s">
        <v>21</v>
      </c>
      <c r="D243" s="27" t="str">
        <f>"2018-12-18 14:07:09"</f>
        <v>2018-12-18 14:07:09</v>
      </c>
      <c r="E243" s="27" t="str">
        <f>"15408198244785725795"</f>
        <v>15408198244785725795</v>
      </c>
      <c r="F243" s="4" t="s">
        <v>22</v>
      </c>
      <c r="G243" s="27" t="str">
        <f>"wulan pipi wiyanti"</f>
        <v>wulan pipi wiyanti</v>
      </c>
      <c r="H243" s="27" t="str">
        <f>"8827181029203005"</f>
        <v>8827181029203005</v>
      </c>
      <c r="I243" s="28">
        <v>1752000</v>
      </c>
      <c r="J243" s="4"/>
      <c r="K243" s="10">
        <v>3900</v>
      </c>
      <c r="L243" s="11">
        <f t="shared" si="3"/>
        <v>1748100</v>
      </c>
      <c r="M243" s="6">
        <v>43453</v>
      </c>
      <c r="N243" s="27" t="str">
        <f>"205859"</f>
        <v>205859</v>
      </c>
    </row>
    <row r="244" spans="1:14" ht="15">
      <c r="A244" s="9">
        <v>237</v>
      </c>
      <c r="B244" s="4" t="s">
        <v>20</v>
      </c>
      <c r="C244" s="5" t="s">
        <v>21</v>
      </c>
      <c r="D244" s="27" t="str">
        <f>"2018-12-18 14:01:10"</f>
        <v>2018-12-18 14:01:10</v>
      </c>
      <c r="E244" s="27" t="str">
        <f>"15408489527698833628"</f>
        <v>15408489527698833628</v>
      </c>
      <c r="F244" s="4" t="s">
        <v>22</v>
      </c>
      <c r="G244" s="27" t="str">
        <f>"randi wibowo"</f>
        <v>randi wibowo</v>
      </c>
      <c r="H244" s="27" t="str">
        <f>"8827181030043501"</f>
        <v>8827181030043501</v>
      </c>
      <c r="I244" s="28">
        <v>1752000</v>
      </c>
      <c r="J244" s="4"/>
      <c r="K244" s="10">
        <v>3900</v>
      </c>
      <c r="L244" s="11">
        <f t="shared" si="3"/>
        <v>1748100</v>
      </c>
      <c r="M244" s="6">
        <v>43453</v>
      </c>
      <c r="N244" s="27" t="str">
        <f>"060349"</f>
        <v>060349</v>
      </c>
    </row>
    <row r="245" spans="1:14" ht="15">
      <c r="A245" s="9">
        <v>238</v>
      </c>
      <c r="B245" s="4" t="s">
        <v>20</v>
      </c>
      <c r="C245" s="5" t="s">
        <v>21</v>
      </c>
      <c r="D245" s="27" t="str">
        <f>"2018-12-18 14:00:59"</f>
        <v>2018-12-18 14:00:59</v>
      </c>
      <c r="E245" s="27" t="str">
        <f>"15413920098628466531"</f>
        <v>15413920098628466531</v>
      </c>
      <c r="F245" s="4" t="s">
        <v>22</v>
      </c>
      <c r="G245" s="27" t="str">
        <f>"Nur amaliyah"</f>
        <v>Nur amaliyah</v>
      </c>
      <c r="H245" s="27" t="str">
        <f>"8827181105112605"</f>
        <v>8827181105112605</v>
      </c>
      <c r="I245" s="28">
        <v>1314000</v>
      </c>
      <c r="J245" s="4"/>
      <c r="K245" s="10">
        <v>3900</v>
      </c>
      <c r="L245" s="11">
        <f t="shared" si="3"/>
        <v>1310100</v>
      </c>
      <c r="M245" s="6">
        <v>43453</v>
      </c>
      <c r="N245" s="27" t="str">
        <f>"057777"</f>
        <v>057777</v>
      </c>
    </row>
    <row r="246" spans="1:14" ht="15">
      <c r="A246" s="9">
        <v>239</v>
      </c>
      <c r="B246" s="4" t="s">
        <v>20</v>
      </c>
      <c r="C246" s="5" t="s">
        <v>21</v>
      </c>
      <c r="D246" s="27" t="str">
        <f>"2018-12-18 14:00:39"</f>
        <v>2018-12-18 14:00:39</v>
      </c>
      <c r="E246" s="27" t="str">
        <f>"15415042832042694222"</f>
        <v>15415042832042694222</v>
      </c>
      <c r="F246" s="4" t="s">
        <v>22</v>
      </c>
      <c r="G246" s="27" t="str">
        <f>"ni wayan riska mei handayank"</f>
        <v>ni wayan riska mei handayank</v>
      </c>
      <c r="H246" s="27" t="str">
        <f>"8827181106183801"</f>
        <v>8827181106183801</v>
      </c>
      <c r="I246" s="28">
        <v>1890000</v>
      </c>
      <c r="J246" s="4"/>
      <c r="K246" s="10">
        <v>3900</v>
      </c>
      <c r="L246" s="11">
        <f t="shared" si="3"/>
        <v>1886100</v>
      </c>
      <c r="M246" s="6">
        <v>43453</v>
      </c>
      <c r="N246" s="27" t="str">
        <f>"974968"</f>
        <v>974968</v>
      </c>
    </row>
    <row r="247" spans="1:14" ht="15">
      <c r="A247" s="9">
        <v>240</v>
      </c>
      <c r="B247" s="4" t="s">
        <v>20</v>
      </c>
      <c r="C247" s="5" t="s">
        <v>21</v>
      </c>
      <c r="D247" s="27" t="str">
        <f>"2018-12-18 13:58:06"</f>
        <v>2018-12-18 13:58:06</v>
      </c>
      <c r="E247" s="27" t="str">
        <f>"15409499064138863792"</f>
        <v>15409499064138863792</v>
      </c>
      <c r="F247" s="4" t="s">
        <v>22</v>
      </c>
      <c r="G247" s="27" t="str">
        <f>"cindy andita devi"</f>
        <v>cindy andita devi</v>
      </c>
      <c r="H247" s="27" t="str">
        <f>"8827181031083802"</f>
        <v>8827181031083802</v>
      </c>
      <c r="I247" s="28">
        <v>1902000</v>
      </c>
      <c r="J247" s="4"/>
      <c r="K247" s="10">
        <v>3900</v>
      </c>
      <c r="L247" s="11">
        <f t="shared" si="3"/>
        <v>1898100</v>
      </c>
      <c r="M247" s="6">
        <v>43453</v>
      </c>
      <c r="N247" s="27" t="str">
        <f>"011387"</f>
        <v>011387</v>
      </c>
    </row>
    <row r="248" spans="1:14" ht="15">
      <c r="A248" s="9">
        <v>241</v>
      </c>
      <c r="B248" s="4" t="s">
        <v>20</v>
      </c>
      <c r="C248" s="5" t="s">
        <v>21</v>
      </c>
      <c r="D248" s="27" t="str">
        <f>"2018-12-18 13:56:16"</f>
        <v>2018-12-18 13:56:16</v>
      </c>
      <c r="E248" s="27" t="str">
        <f>"15415651989509982340"</f>
        <v>15415651989509982340</v>
      </c>
      <c r="F248" s="4" t="s">
        <v>22</v>
      </c>
      <c r="G248" s="27" t="str">
        <f>"rizki novika sari"</f>
        <v>rizki novika sari</v>
      </c>
      <c r="H248" s="27" t="str">
        <f>"8827181107113301"</f>
        <v>8827181107113301</v>
      </c>
      <c r="I248" s="28">
        <v>1531400</v>
      </c>
      <c r="J248" s="4"/>
      <c r="K248" s="10">
        <v>3900</v>
      </c>
      <c r="L248" s="11">
        <f t="shared" si="3"/>
        <v>1527500</v>
      </c>
      <c r="M248" s="6">
        <v>43453</v>
      </c>
      <c r="N248" s="27" t="str">
        <f>"779416"</f>
        <v>779416</v>
      </c>
    </row>
    <row r="249" spans="1:14" ht="15">
      <c r="A249" s="9">
        <v>242</v>
      </c>
      <c r="B249" s="4" t="s">
        <v>20</v>
      </c>
      <c r="C249" s="5" t="s">
        <v>21</v>
      </c>
      <c r="D249" s="27" t="str">
        <f>"2018-12-18 13:55:48"</f>
        <v>2018-12-18 13:55:48</v>
      </c>
      <c r="E249" s="27" t="str">
        <f>"15429587491511669042"</f>
        <v>15429587491511669042</v>
      </c>
      <c r="F249" s="4" t="s">
        <v>22</v>
      </c>
      <c r="G249" s="27" t="str">
        <f>"sopiah tri ulandari"</f>
        <v>sopiah tri ulandari</v>
      </c>
      <c r="H249" s="27" t="str">
        <f>"8827181123143902"</f>
        <v>8827181123143902</v>
      </c>
      <c r="I249" s="28">
        <v>981900</v>
      </c>
      <c r="J249" s="4"/>
      <c r="K249" s="10">
        <v>3900</v>
      </c>
      <c r="L249" s="11">
        <f t="shared" si="3"/>
        <v>978000</v>
      </c>
      <c r="M249" s="6">
        <v>43453</v>
      </c>
      <c r="N249" s="27" t="str">
        <f>"771541"</f>
        <v>771541</v>
      </c>
    </row>
    <row r="250" spans="1:14" ht="15">
      <c r="A250" s="9">
        <v>243</v>
      </c>
      <c r="B250" s="4" t="s">
        <v>20</v>
      </c>
      <c r="C250" s="5" t="s">
        <v>21</v>
      </c>
      <c r="D250" s="27" t="str">
        <f>"2018-12-18 13:55:17"</f>
        <v>2018-12-18 13:55:17</v>
      </c>
      <c r="E250" s="27" t="str">
        <f>"15409632095256019733"</f>
        <v>15409632095256019733</v>
      </c>
      <c r="F250" s="4" t="s">
        <v>22</v>
      </c>
      <c r="G250" s="27" t="str">
        <f>"Rika Rismawati"</f>
        <v>Rika Rismawati</v>
      </c>
      <c r="H250" s="27" t="str">
        <f>"8827181031122002"</f>
        <v>8827181031122002</v>
      </c>
      <c r="I250" s="28">
        <v>1675500</v>
      </c>
      <c r="J250" s="4"/>
      <c r="K250" s="10">
        <v>3900</v>
      </c>
      <c r="L250" s="11">
        <f t="shared" si="3"/>
        <v>1671600</v>
      </c>
      <c r="M250" s="6">
        <v>43453</v>
      </c>
      <c r="N250" s="27" t="str">
        <f>"762964"</f>
        <v>762964</v>
      </c>
    </row>
    <row r="251" spans="1:14" ht="15">
      <c r="A251" s="9">
        <v>244</v>
      </c>
      <c r="B251" s="4" t="s">
        <v>20</v>
      </c>
      <c r="C251" s="5" t="s">
        <v>21</v>
      </c>
      <c r="D251" s="27" t="str">
        <f>"2018-12-18 13:54:33"</f>
        <v>2018-12-18 13:54:33</v>
      </c>
      <c r="E251" s="27" t="str">
        <f>"15413920098628466531"</f>
        <v>15413920098628466531</v>
      </c>
      <c r="F251" s="4" t="s">
        <v>22</v>
      </c>
      <c r="G251" s="27" t="str">
        <f>"Nur amaliyah"</f>
        <v>Nur amaliyah</v>
      </c>
      <c r="H251" s="27" t="str">
        <f>"8827181105112605"</f>
        <v>8827181105112605</v>
      </c>
      <c r="I251" s="28">
        <v>146000</v>
      </c>
      <c r="J251" s="4"/>
      <c r="K251" s="10">
        <v>3900</v>
      </c>
      <c r="L251" s="11">
        <f t="shared" si="3"/>
        <v>142100</v>
      </c>
      <c r="M251" s="6">
        <v>43453</v>
      </c>
      <c r="N251" s="27" t="str">
        <f>"749916"</f>
        <v>749916</v>
      </c>
    </row>
    <row r="252" spans="1:14" ht="15">
      <c r="A252" s="9">
        <v>245</v>
      </c>
      <c r="B252" s="4" t="s">
        <v>20</v>
      </c>
      <c r="C252" s="5" t="s">
        <v>21</v>
      </c>
      <c r="D252" s="27" t="str">
        <f>"2018-12-18 13:53:25"</f>
        <v>2018-12-18 13:53:25</v>
      </c>
      <c r="E252" s="27" t="str">
        <f>"15439901601489008322"</f>
        <v>15439901601489008322</v>
      </c>
      <c r="F252" s="4" t="s">
        <v>22</v>
      </c>
      <c r="G252" s="27" t="str">
        <f>"Dwi nurdiyantara s"</f>
        <v>Dwi nurdiyantara s</v>
      </c>
      <c r="H252" s="27" t="str">
        <f>"8827181205130902"</f>
        <v>8827181205130902</v>
      </c>
      <c r="I252" s="28">
        <v>988200</v>
      </c>
      <c r="J252" s="4"/>
      <c r="K252" s="10">
        <v>3900</v>
      </c>
      <c r="L252" s="11">
        <f t="shared" si="3"/>
        <v>984300</v>
      </c>
      <c r="M252" s="6">
        <v>43453</v>
      </c>
      <c r="N252" s="27" t="str">
        <f>"729782"</f>
        <v>729782</v>
      </c>
    </row>
    <row r="253" spans="1:14" ht="15">
      <c r="A253" s="9">
        <v>246</v>
      </c>
      <c r="B253" s="4" t="s">
        <v>20</v>
      </c>
      <c r="C253" s="5" t="s">
        <v>21</v>
      </c>
      <c r="D253" s="27" t="str">
        <f>"2018-12-18 13:52:02"</f>
        <v>2018-12-18 13:52:02</v>
      </c>
      <c r="E253" s="27" t="str">
        <f>"15428570105987646137"</f>
        <v>15428570105987646137</v>
      </c>
      <c r="F253" s="4" t="s">
        <v>22</v>
      </c>
      <c r="G253" s="27" t="str">
        <f>"elis nurbaeti"</f>
        <v>elis nurbaeti</v>
      </c>
      <c r="H253" s="27" t="str">
        <f>"8827181122102301"</f>
        <v>8827181122102301</v>
      </c>
      <c r="I253" s="28">
        <v>1902000</v>
      </c>
      <c r="J253" s="4"/>
      <c r="K253" s="10">
        <v>3900</v>
      </c>
      <c r="L253" s="11">
        <f t="shared" si="3"/>
        <v>1898100</v>
      </c>
      <c r="M253" s="6">
        <v>43453</v>
      </c>
      <c r="N253" s="27" t="str">
        <f>"704953"</f>
        <v>704953</v>
      </c>
    </row>
    <row r="254" spans="1:14" ht="15">
      <c r="A254" s="9">
        <v>247</v>
      </c>
      <c r="B254" s="4" t="s">
        <v>20</v>
      </c>
      <c r="C254" s="5" t="s">
        <v>21</v>
      </c>
      <c r="D254" s="27" t="str">
        <f>"2018-12-18 13:52:01"</f>
        <v>2018-12-18 13:52:01</v>
      </c>
      <c r="E254" s="27" t="str">
        <f>"15413368817144613974"</f>
        <v>15413368817144613974</v>
      </c>
      <c r="F254" s="4" t="s">
        <v>22</v>
      </c>
      <c r="G254" s="27" t="str">
        <f>"Verawati"</f>
        <v>Verawati</v>
      </c>
      <c r="H254" s="27" t="str">
        <f>"8827181104200802"</f>
        <v>8827181104200802</v>
      </c>
      <c r="I254" s="28">
        <v>1752000</v>
      </c>
      <c r="J254" s="4"/>
      <c r="K254" s="10">
        <v>3900</v>
      </c>
      <c r="L254" s="11">
        <f t="shared" si="3"/>
        <v>1748100</v>
      </c>
      <c r="M254" s="6">
        <v>43453</v>
      </c>
      <c r="N254" s="27" t="str">
        <f>"704669"</f>
        <v>704669</v>
      </c>
    </row>
    <row r="255" spans="1:14" ht="15">
      <c r="A255" s="9">
        <v>248</v>
      </c>
      <c r="B255" s="4" t="s">
        <v>20</v>
      </c>
      <c r="C255" s="5" t="s">
        <v>21</v>
      </c>
      <c r="D255" s="27" t="str">
        <f>"2018-12-18 13:51:17"</f>
        <v>2018-12-18 13:51:17</v>
      </c>
      <c r="E255" s="27" t="str">
        <f>"15414172671381823852"</f>
        <v>15414172671381823852</v>
      </c>
      <c r="F255" s="4" t="s">
        <v>22</v>
      </c>
      <c r="G255" s="27" t="str">
        <f>"yesi oktaviani"</f>
        <v>yesi oktaviani</v>
      </c>
      <c r="H255" s="27" t="str">
        <f>"8827181105182703"</f>
        <v>8827181105182703</v>
      </c>
      <c r="I255" s="28">
        <v>1098000</v>
      </c>
      <c r="J255" s="4"/>
      <c r="K255" s="10">
        <v>3900</v>
      </c>
      <c r="L255" s="11">
        <f t="shared" si="3"/>
        <v>1094100</v>
      </c>
      <c r="M255" s="6">
        <v>43453</v>
      </c>
      <c r="N255" s="27" t="str">
        <f>"692027"</f>
        <v>692027</v>
      </c>
    </row>
    <row r="256" spans="1:14" ht="15">
      <c r="A256" s="9">
        <v>249</v>
      </c>
      <c r="B256" s="4" t="s">
        <v>20</v>
      </c>
      <c r="C256" s="5" t="s">
        <v>21</v>
      </c>
      <c r="D256" s="27" t="str">
        <f>"2018-12-18 13:46:56"</f>
        <v>2018-12-18 13:46:56</v>
      </c>
      <c r="E256" s="27" t="str">
        <f>"15416287891612557682"</f>
        <v>15416287891612557682</v>
      </c>
      <c r="F256" s="4" t="s">
        <v>22</v>
      </c>
      <c r="G256" s="27" t="str">
        <f>"Muvidah"</f>
        <v>Muvidah</v>
      </c>
      <c r="H256" s="27" t="str">
        <f>"8827181108051301"</f>
        <v>8827181108051301</v>
      </c>
      <c r="I256" s="28">
        <v>1752000</v>
      </c>
      <c r="J256" s="4"/>
      <c r="K256" s="10">
        <v>3900</v>
      </c>
      <c r="L256" s="11">
        <f t="shared" si="3"/>
        <v>1748100</v>
      </c>
      <c r="M256" s="6">
        <v>43453</v>
      </c>
      <c r="N256" s="27" t="str">
        <f>"614843"</f>
        <v>614843</v>
      </c>
    </row>
    <row r="257" spans="1:14" ht="15">
      <c r="A257" s="9">
        <v>250</v>
      </c>
      <c r="B257" s="4" t="s">
        <v>20</v>
      </c>
      <c r="C257" s="5" t="s">
        <v>21</v>
      </c>
      <c r="D257" s="27" t="str">
        <f>"2018-12-18 13:46:35"</f>
        <v>2018-12-18 13:46:35</v>
      </c>
      <c r="E257" s="27" t="str">
        <f>"15427852482212102769"</f>
        <v>15427852482212102769</v>
      </c>
      <c r="F257" s="4" t="s">
        <v>22</v>
      </c>
      <c r="G257" s="27" t="str">
        <f>"Dedy jayadi"</f>
        <v>Dedy jayadi</v>
      </c>
      <c r="H257" s="27" t="str">
        <f>"8827181121142703"</f>
        <v>8827181121142703</v>
      </c>
      <c r="I257" s="28">
        <v>1168000</v>
      </c>
      <c r="J257" s="4"/>
      <c r="K257" s="10">
        <v>3900</v>
      </c>
      <c r="L257" s="11">
        <f t="shared" si="3"/>
        <v>1164100</v>
      </c>
      <c r="M257" s="6">
        <v>43453</v>
      </c>
      <c r="N257" s="27" t="str">
        <f>"609144"</f>
        <v>609144</v>
      </c>
    </row>
    <row r="258" spans="1:14" ht="15">
      <c r="A258" s="9">
        <v>251</v>
      </c>
      <c r="B258" s="4" t="s">
        <v>20</v>
      </c>
      <c r="C258" s="5" t="s">
        <v>21</v>
      </c>
      <c r="D258" s="27" t="str">
        <f>"2018-12-18 13:43:45"</f>
        <v>2018-12-18 13:43:45</v>
      </c>
      <c r="E258" s="27" t="str">
        <f>"15423391109922031814"</f>
        <v>15423391109922031814</v>
      </c>
      <c r="F258" s="4" t="s">
        <v>22</v>
      </c>
      <c r="G258" s="27" t="str">
        <f>"Anggel Vegita Risdi"</f>
        <v>Anggel Vegita Risdi</v>
      </c>
      <c r="H258" s="27" t="str">
        <f>"8827181116103101"</f>
        <v>8827181116103101</v>
      </c>
      <c r="I258" s="28">
        <v>1692000</v>
      </c>
      <c r="J258" s="4"/>
      <c r="K258" s="10">
        <v>3900</v>
      </c>
      <c r="L258" s="11">
        <f t="shared" si="3"/>
        <v>1688100</v>
      </c>
      <c r="M258" s="6">
        <v>43453</v>
      </c>
      <c r="N258" s="27" t="str">
        <f>"561896"</f>
        <v>561896</v>
      </c>
    </row>
    <row r="259" spans="1:14" ht="15">
      <c r="A259" s="9">
        <v>252</v>
      </c>
      <c r="B259" s="4" t="s">
        <v>20</v>
      </c>
      <c r="C259" s="5" t="s">
        <v>21</v>
      </c>
      <c r="D259" s="27" t="str">
        <f>"2018-12-18 13:40:38"</f>
        <v>2018-12-18 13:40:38</v>
      </c>
      <c r="E259" s="27" t="str">
        <f>"15428704634544628979"</f>
        <v>15428704634544628979</v>
      </c>
      <c r="F259" s="4" t="s">
        <v>22</v>
      </c>
      <c r="G259" s="27" t="str">
        <f>"Melinda Aulia Istiqomah"</f>
        <v>Melinda Aulia Istiqomah</v>
      </c>
      <c r="H259" s="27" t="str">
        <f>"8827181122140702"</f>
        <v>8827181122140702</v>
      </c>
      <c r="I259" s="28">
        <v>1838600</v>
      </c>
      <c r="J259" s="4"/>
      <c r="K259" s="10">
        <v>3900</v>
      </c>
      <c r="L259" s="11">
        <f t="shared" si="3"/>
        <v>1834700</v>
      </c>
      <c r="M259" s="6">
        <v>43453</v>
      </c>
      <c r="N259" s="27" t="str">
        <f>"507656"</f>
        <v>507656</v>
      </c>
    </row>
    <row r="260" spans="1:14" ht="15">
      <c r="A260" s="9">
        <v>253</v>
      </c>
      <c r="B260" s="4" t="s">
        <v>20</v>
      </c>
      <c r="C260" s="5" t="s">
        <v>21</v>
      </c>
      <c r="D260" s="27" t="str">
        <f>"2018-12-18 13:38:02"</f>
        <v>2018-12-18 13:38:02</v>
      </c>
      <c r="E260" s="27" t="str">
        <f>"15413016371215743634"</f>
        <v>15413016371215743634</v>
      </c>
      <c r="F260" s="4" t="s">
        <v>22</v>
      </c>
      <c r="G260" s="27" t="str">
        <f>"camillus berlianto respati"</f>
        <v>camillus berlianto respati</v>
      </c>
      <c r="H260" s="27" t="str">
        <f>"8827181104102002"</f>
        <v>8827181104102002</v>
      </c>
      <c r="I260" s="28">
        <v>1707000</v>
      </c>
      <c r="J260" s="4"/>
      <c r="K260" s="10">
        <v>3900</v>
      </c>
      <c r="L260" s="11">
        <f t="shared" si="3"/>
        <v>1703100</v>
      </c>
      <c r="M260" s="6">
        <v>43453</v>
      </c>
      <c r="N260" s="27" t="str">
        <f>"458976"</f>
        <v>458976</v>
      </c>
    </row>
    <row r="261" spans="1:14" ht="15">
      <c r="A261" s="9">
        <v>254</v>
      </c>
      <c r="B261" s="4" t="s">
        <v>20</v>
      </c>
      <c r="C261" s="5" t="s">
        <v>21</v>
      </c>
      <c r="D261" s="27" t="str">
        <f>"2018-12-18 13:36:03"</f>
        <v>2018-12-18 13:36:03</v>
      </c>
      <c r="E261" s="27" t="str">
        <f>"15415546155678675154"</f>
        <v>15415546155678675154</v>
      </c>
      <c r="F261" s="4" t="s">
        <v>22</v>
      </c>
      <c r="G261" s="27" t="str">
        <f>"fadhlan fauzi"</f>
        <v>fadhlan fauzi</v>
      </c>
      <c r="H261" s="27" t="str">
        <f>"8827181107083602"</f>
        <v>8827181107083602</v>
      </c>
      <c r="I261" s="28">
        <v>600000</v>
      </c>
      <c r="J261" s="4"/>
      <c r="K261" s="10">
        <v>3900</v>
      </c>
      <c r="L261" s="11">
        <f t="shared" si="3"/>
        <v>596100</v>
      </c>
      <c r="M261" s="6">
        <v>43453</v>
      </c>
      <c r="N261" s="27" t="str">
        <f>"426237"</f>
        <v>426237</v>
      </c>
    </row>
    <row r="262" spans="1:14" ht="15">
      <c r="A262" s="9">
        <v>255</v>
      </c>
      <c r="B262" s="4" t="s">
        <v>20</v>
      </c>
      <c r="C262" s="5" t="s">
        <v>21</v>
      </c>
      <c r="D262" s="27" t="str">
        <f>"2018-12-18 13:28:51"</f>
        <v>2018-12-18 13:28:51</v>
      </c>
      <c r="E262" s="27" t="str">
        <f>"15420676930004487605"</f>
        <v>15420676930004487605</v>
      </c>
      <c r="F262" s="4" t="s">
        <v>22</v>
      </c>
      <c r="G262" s="27" t="str">
        <f>"Emilia widiati"</f>
        <v>Emilia widiati</v>
      </c>
      <c r="H262" s="27" t="str">
        <f>"8827181113070802"</f>
        <v>8827181113070802</v>
      </c>
      <c r="I262" s="28">
        <v>1251800</v>
      </c>
      <c r="J262" s="4"/>
      <c r="K262" s="10">
        <v>3900</v>
      </c>
      <c r="L262" s="11">
        <f t="shared" si="3"/>
        <v>1247900</v>
      </c>
      <c r="M262" s="6">
        <v>43453</v>
      </c>
      <c r="N262" s="27" t="str">
        <f>"300955"</f>
        <v>300955</v>
      </c>
    </row>
    <row r="263" spans="1:14" ht="15">
      <c r="A263" s="9">
        <v>256</v>
      </c>
      <c r="B263" s="4" t="s">
        <v>20</v>
      </c>
      <c r="C263" s="5" t="s">
        <v>21</v>
      </c>
      <c r="D263" s="27" t="str">
        <f>"2018-12-18 13:24:59"</f>
        <v>2018-12-18 13:24:59</v>
      </c>
      <c r="E263" s="27" t="str">
        <f>"15412041252366740402"</f>
        <v>15412041252366740402</v>
      </c>
      <c r="F263" s="4" t="s">
        <v>22</v>
      </c>
      <c r="G263" s="27" t="str">
        <f>"tuti kirana"</f>
        <v>tuti kirana</v>
      </c>
      <c r="H263" s="27" t="str">
        <f>"8827181103071501"</f>
        <v>8827181103071501</v>
      </c>
      <c r="I263" s="28">
        <v>1632000</v>
      </c>
      <c r="J263" s="4"/>
      <c r="K263" s="10">
        <v>3900</v>
      </c>
      <c r="L263" s="11">
        <f t="shared" si="3"/>
        <v>1628100</v>
      </c>
      <c r="M263" s="6">
        <v>43453</v>
      </c>
      <c r="N263" s="27" t="str">
        <f>"241567"</f>
        <v>241567</v>
      </c>
    </row>
    <row r="264" spans="1:14" ht="15">
      <c r="A264" s="9">
        <v>257</v>
      </c>
      <c r="B264" s="4" t="s">
        <v>20</v>
      </c>
      <c r="C264" s="5" t="s">
        <v>21</v>
      </c>
      <c r="D264" s="27" t="str">
        <f>"2018-12-18 13:24:16"</f>
        <v>2018-12-18 13:24:16</v>
      </c>
      <c r="E264" s="27" t="str">
        <f>"15409945904128306486"</f>
        <v>15409945904128306486</v>
      </c>
      <c r="F264" s="4" t="s">
        <v>22</v>
      </c>
      <c r="G264" s="27" t="str">
        <f>"eka purnama"</f>
        <v>eka purnama</v>
      </c>
      <c r="H264" s="27" t="str">
        <f>"8827181031210302"</f>
        <v>8827181031210302</v>
      </c>
      <c r="I264" s="28">
        <v>1890000</v>
      </c>
      <c r="J264" s="4"/>
      <c r="K264" s="10">
        <v>3900</v>
      </c>
      <c r="L264" s="11">
        <f t="shared" si="3"/>
        <v>1886100</v>
      </c>
      <c r="M264" s="6">
        <v>43453</v>
      </c>
      <c r="N264" s="27" t="str">
        <f>"231731"</f>
        <v>231731</v>
      </c>
    </row>
    <row r="265" spans="1:14" ht="15">
      <c r="A265" s="9">
        <v>258</v>
      </c>
      <c r="B265" s="4" t="s">
        <v>20</v>
      </c>
      <c r="C265" s="5" t="s">
        <v>21</v>
      </c>
      <c r="D265" s="27" t="str">
        <f>"2018-12-18 13:23:37"</f>
        <v>2018-12-18 13:23:37</v>
      </c>
      <c r="E265" s="27" t="str">
        <f>"15415737742673144899"</f>
        <v>15415737742673144899</v>
      </c>
      <c r="F265" s="4" t="s">
        <v>22</v>
      </c>
      <c r="G265" s="27" t="str">
        <f>"Charli Satrya Vega"</f>
        <v>Charli Satrya Vega</v>
      </c>
      <c r="H265" s="27" t="str">
        <f>"8827181107135602"</f>
        <v>8827181107135602</v>
      </c>
      <c r="I265" s="28">
        <v>1195700</v>
      </c>
      <c r="J265" s="4"/>
      <c r="K265" s="10">
        <v>3900</v>
      </c>
      <c r="L265" s="11">
        <f t="shared" ref="L265:L328" si="4">(I265-K265)</f>
        <v>1191800</v>
      </c>
      <c r="M265" s="6">
        <v>43453</v>
      </c>
      <c r="N265" s="27" t="str">
        <f>"222511"</f>
        <v>222511</v>
      </c>
    </row>
    <row r="266" spans="1:14" ht="15">
      <c r="A266" s="9">
        <v>259</v>
      </c>
      <c r="B266" s="4" t="s">
        <v>20</v>
      </c>
      <c r="C266" s="5" t="s">
        <v>21</v>
      </c>
      <c r="D266" s="27" t="str">
        <f>"2018-12-18 13:20:48"</f>
        <v>2018-12-18 13:20:48</v>
      </c>
      <c r="E266" s="27" t="str">
        <f>"15407972530358611666"</f>
        <v>15407972530358611666</v>
      </c>
      <c r="F266" s="4" t="s">
        <v>22</v>
      </c>
      <c r="G266" s="27" t="str">
        <f>"Andi Suherli Wiguna"</f>
        <v>Andi Suherli Wiguna</v>
      </c>
      <c r="H266" s="27" t="str">
        <f>"8827181029141404"</f>
        <v>8827181029141404</v>
      </c>
      <c r="I266" s="28">
        <v>1190250</v>
      </c>
      <c r="J266" s="4"/>
      <c r="K266" s="10">
        <v>3900</v>
      </c>
      <c r="L266" s="11">
        <f t="shared" si="4"/>
        <v>1186350</v>
      </c>
      <c r="M266" s="6">
        <v>43453</v>
      </c>
      <c r="N266" s="27" t="str">
        <f>"183265"</f>
        <v>183265</v>
      </c>
    </row>
    <row r="267" spans="1:14" ht="15">
      <c r="A267" s="9">
        <v>260</v>
      </c>
      <c r="B267" s="4" t="s">
        <v>20</v>
      </c>
      <c r="C267" s="5" t="s">
        <v>21</v>
      </c>
      <c r="D267" s="27" t="str">
        <f>"2018-12-18 13:19:48"</f>
        <v>2018-12-18 13:19:48</v>
      </c>
      <c r="E267" s="27" t="str">
        <f>"15418613109674714739"</f>
        <v>15418613109674714739</v>
      </c>
      <c r="F267" s="4" t="s">
        <v>22</v>
      </c>
      <c r="G267" s="27" t="str">
        <f>"jefrizal dwi mulya"</f>
        <v>jefrizal dwi mulya</v>
      </c>
      <c r="H267" s="27" t="str">
        <f>"8827181110214801"</f>
        <v>8827181110214801</v>
      </c>
      <c r="I267" s="28">
        <v>807750</v>
      </c>
      <c r="J267" s="4"/>
      <c r="K267" s="10">
        <v>3900</v>
      </c>
      <c r="L267" s="11">
        <f t="shared" si="4"/>
        <v>803850</v>
      </c>
      <c r="M267" s="6">
        <v>43453</v>
      </c>
      <c r="N267" s="27" t="str">
        <f>"169361"</f>
        <v>169361</v>
      </c>
    </row>
    <row r="268" spans="1:14" ht="15">
      <c r="A268" s="9">
        <v>261</v>
      </c>
      <c r="B268" s="4" t="s">
        <v>20</v>
      </c>
      <c r="C268" s="5" t="s">
        <v>21</v>
      </c>
      <c r="D268" s="27" t="str">
        <f>"2018-12-18 13:17:25"</f>
        <v>2018-12-18 13:17:25</v>
      </c>
      <c r="E268" s="27" t="str">
        <f>"15410902464134042779"</f>
        <v>15410902464134042779</v>
      </c>
      <c r="F268" s="4" t="s">
        <v>22</v>
      </c>
      <c r="G268" s="27" t="str">
        <f>"agus trianto k"</f>
        <v>agus trianto k</v>
      </c>
      <c r="H268" s="27" t="str">
        <f>"8827181101233702"</f>
        <v>8827181101233702</v>
      </c>
      <c r="I268" s="28">
        <v>1354700</v>
      </c>
      <c r="J268" s="4"/>
      <c r="K268" s="10">
        <v>3900</v>
      </c>
      <c r="L268" s="11">
        <f t="shared" si="4"/>
        <v>1350800</v>
      </c>
      <c r="M268" s="6">
        <v>43453</v>
      </c>
      <c r="N268" s="27" t="str">
        <f>"129657"</f>
        <v>129657</v>
      </c>
    </row>
    <row r="269" spans="1:14" ht="15">
      <c r="A269" s="9">
        <v>262</v>
      </c>
      <c r="B269" s="4" t="s">
        <v>20</v>
      </c>
      <c r="C269" s="5" t="s">
        <v>21</v>
      </c>
      <c r="D269" s="27" t="str">
        <f>"2018-12-18 13:15:38"</f>
        <v>2018-12-18 13:15:38</v>
      </c>
      <c r="E269" s="27" t="str">
        <f>"15442299489412333314"</f>
        <v>15442299489412333314</v>
      </c>
      <c r="F269" s="4" t="s">
        <v>22</v>
      </c>
      <c r="G269" s="27" t="str">
        <f>"willy hendrayani"</f>
        <v>willy hendrayani</v>
      </c>
      <c r="H269" s="27" t="str">
        <f>"8827181208074502"</f>
        <v>8827181208074502</v>
      </c>
      <c r="I269" s="28">
        <v>1077000</v>
      </c>
      <c r="J269" s="4"/>
      <c r="K269" s="10">
        <v>3900</v>
      </c>
      <c r="L269" s="11">
        <f t="shared" si="4"/>
        <v>1073100</v>
      </c>
      <c r="M269" s="6">
        <v>43453</v>
      </c>
      <c r="N269" s="27" t="str">
        <f>"101726"</f>
        <v>101726</v>
      </c>
    </row>
    <row r="270" spans="1:14" ht="15">
      <c r="A270" s="9">
        <v>263</v>
      </c>
      <c r="B270" s="4" t="s">
        <v>20</v>
      </c>
      <c r="C270" s="5" t="s">
        <v>21</v>
      </c>
      <c r="D270" s="27" t="str">
        <f>"2018-12-18 13:15:22"</f>
        <v>2018-12-18 13:15:22</v>
      </c>
      <c r="E270" s="27" t="str">
        <f>"15432714107537479470"</f>
        <v>15432714107537479470</v>
      </c>
      <c r="F270" s="4" t="s">
        <v>22</v>
      </c>
      <c r="G270" s="27" t="str">
        <f>"Listianti Silvia Putri"</f>
        <v>Listianti Silvia Putri</v>
      </c>
      <c r="H270" s="27" t="str">
        <f>"8827181127053001"</f>
        <v>8827181127053001</v>
      </c>
      <c r="I270" s="28">
        <v>1767000</v>
      </c>
      <c r="J270" s="4"/>
      <c r="K270" s="10">
        <v>3900</v>
      </c>
      <c r="L270" s="11">
        <f t="shared" si="4"/>
        <v>1763100</v>
      </c>
      <c r="M270" s="6">
        <v>43453</v>
      </c>
      <c r="N270" s="27" t="str">
        <f>"097820"</f>
        <v>097820</v>
      </c>
    </row>
    <row r="271" spans="1:14" ht="15">
      <c r="A271" s="9">
        <v>264</v>
      </c>
      <c r="B271" s="4" t="s">
        <v>20</v>
      </c>
      <c r="C271" s="5" t="s">
        <v>21</v>
      </c>
      <c r="D271" s="27" t="str">
        <f>"2018-12-18 13:15:17"</f>
        <v>2018-12-18 13:15:17</v>
      </c>
      <c r="E271" s="27" t="str">
        <f>"15415683867856273034"</f>
        <v>15415683867856273034</v>
      </c>
      <c r="F271" s="4" t="s">
        <v>22</v>
      </c>
      <c r="G271" s="27" t="str">
        <f>"vidya maria febrina"</f>
        <v>vidya maria febrina</v>
      </c>
      <c r="H271" s="27" t="str">
        <f>"8827181107122601"</f>
        <v>8827181107122601</v>
      </c>
      <c r="I271" s="28">
        <v>1207800</v>
      </c>
      <c r="J271" s="4"/>
      <c r="K271" s="10">
        <v>3900</v>
      </c>
      <c r="L271" s="11">
        <f t="shared" si="4"/>
        <v>1203900</v>
      </c>
      <c r="M271" s="6">
        <v>43453</v>
      </c>
      <c r="N271" s="27" t="str">
        <f>"096770"</f>
        <v>096770</v>
      </c>
    </row>
    <row r="272" spans="1:14" ht="15">
      <c r="A272" s="9">
        <v>265</v>
      </c>
      <c r="B272" s="4" t="s">
        <v>20</v>
      </c>
      <c r="C272" s="5" t="s">
        <v>21</v>
      </c>
      <c r="D272" s="27" t="str">
        <f>"2018-12-18 13:12:21"</f>
        <v>2018-12-18 13:12:21</v>
      </c>
      <c r="E272" s="27" t="str">
        <f>"15413212719741121660"</f>
        <v>15413212719741121660</v>
      </c>
      <c r="F272" s="4" t="s">
        <v>22</v>
      </c>
      <c r="G272" s="27" t="str">
        <f>"Gunanjar Barokah"</f>
        <v>Gunanjar Barokah</v>
      </c>
      <c r="H272" s="27" t="str">
        <f>"8827181104154701"</f>
        <v>8827181104154701</v>
      </c>
      <c r="I272" s="28">
        <v>1902000</v>
      </c>
      <c r="J272" s="4"/>
      <c r="K272" s="10">
        <v>3900</v>
      </c>
      <c r="L272" s="11">
        <f t="shared" si="4"/>
        <v>1898100</v>
      </c>
      <c r="M272" s="6">
        <v>43453</v>
      </c>
      <c r="N272" s="27" t="str">
        <f>"054591"</f>
        <v>054591</v>
      </c>
    </row>
    <row r="273" spans="1:14" ht="15">
      <c r="A273" s="9">
        <v>266</v>
      </c>
      <c r="B273" s="4" t="s">
        <v>20</v>
      </c>
      <c r="C273" s="5" t="s">
        <v>21</v>
      </c>
      <c r="D273" s="27" t="str">
        <f>"2018-12-18 13:03:42"</f>
        <v>2018-12-18 13:03:42</v>
      </c>
      <c r="E273" s="27" t="str">
        <f>"15411638493543932912"</f>
        <v>15411638493543932912</v>
      </c>
      <c r="F273" s="4" t="s">
        <v>22</v>
      </c>
      <c r="G273" s="27" t="str">
        <f>"yanto"</f>
        <v>yanto</v>
      </c>
      <c r="H273" s="27" t="str">
        <f>"8827181102200401"</f>
        <v>8827181102200401</v>
      </c>
      <c r="I273" s="28">
        <v>1522500</v>
      </c>
      <c r="J273" s="4"/>
      <c r="K273" s="10">
        <v>3900</v>
      </c>
      <c r="L273" s="11">
        <f t="shared" si="4"/>
        <v>1518600</v>
      </c>
      <c r="M273" s="6">
        <v>43453</v>
      </c>
      <c r="N273" s="27" t="str">
        <f>"725075"</f>
        <v>725075</v>
      </c>
    </row>
    <row r="274" spans="1:14" ht="15">
      <c r="A274" s="9">
        <v>267</v>
      </c>
      <c r="B274" s="4" t="s">
        <v>20</v>
      </c>
      <c r="C274" s="5" t="s">
        <v>21</v>
      </c>
      <c r="D274" s="27" t="str">
        <f>"2018-12-18 13:03:31"</f>
        <v>2018-12-18 13:03:31</v>
      </c>
      <c r="E274" s="27" t="str">
        <f>"15416469743833018428"</f>
        <v>15416469743833018428</v>
      </c>
      <c r="F274" s="4" t="s">
        <v>22</v>
      </c>
      <c r="G274" s="27" t="str">
        <f>"Ori Prasetyo Indrajati"</f>
        <v>Ori Prasetyo Indrajati</v>
      </c>
      <c r="H274" s="27" t="str">
        <f>"8827181108101601"</f>
        <v>8827181108101601</v>
      </c>
      <c r="I274" s="28">
        <v>1752000</v>
      </c>
      <c r="J274" s="4"/>
      <c r="K274" s="10">
        <v>3900</v>
      </c>
      <c r="L274" s="11">
        <f t="shared" si="4"/>
        <v>1748100</v>
      </c>
      <c r="M274" s="6">
        <v>43453</v>
      </c>
      <c r="N274" s="27" t="str">
        <f>"722230"</f>
        <v>722230</v>
      </c>
    </row>
    <row r="275" spans="1:14" ht="15">
      <c r="A275" s="9">
        <v>268</v>
      </c>
      <c r="B275" s="4" t="s">
        <v>20</v>
      </c>
      <c r="C275" s="5" t="s">
        <v>21</v>
      </c>
      <c r="D275" s="27" t="str">
        <f>"2018-12-18 13:02:42"</f>
        <v>2018-12-18 13:02:42</v>
      </c>
      <c r="E275" s="27" t="str">
        <f>"15417673309728423489"</f>
        <v>15417673309728423489</v>
      </c>
      <c r="F275" s="4" t="s">
        <v>22</v>
      </c>
      <c r="G275" s="27" t="str">
        <f>"shinta isnawati"</f>
        <v>shinta isnawati</v>
      </c>
      <c r="H275" s="27" t="str">
        <f>"8827181109194202"</f>
        <v>8827181109194202</v>
      </c>
      <c r="I275" s="28">
        <v>1572000</v>
      </c>
      <c r="J275" s="4"/>
      <c r="K275" s="10">
        <v>3900</v>
      </c>
      <c r="L275" s="11">
        <f t="shared" si="4"/>
        <v>1568100</v>
      </c>
      <c r="M275" s="6">
        <v>43453</v>
      </c>
      <c r="N275" s="27" t="str">
        <f>"710480"</f>
        <v>710480</v>
      </c>
    </row>
    <row r="276" spans="1:14" ht="15">
      <c r="A276" s="9">
        <v>269</v>
      </c>
      <c r="B276" s="4" t="s">
        <v>20</v>
      </c>
      <c r="C276" s="5" t="s">
        <v>21</v>
      </c>
      <c r="D276" s="27" t="str">
        <f>"2018-12-18 12:59:06"</f>
        <v>2018-12-18 12:59:06</v>
      </c>
      <c r="E276" s="27" t="str">
        <f>"15427850483578896248"</f>
        <v>15427850483578896248</v>
      </c>
      <c r="F276" s="4" t="s">
        <v>22</v>
      </c>
      <c r="G276" s="27" t="str">
        <f>"Fellicia Puspaningtyas "</f>
        <v xml:space="preserve">Fellicia Puspaningtyas </v>
      </c>
      <c r="H276" s="27" t="str">
        <f>"8827181121142401"</f>
        <v>8827181121142401</v>
      </c>
      <c r="I276" s="28">
        <v>1160000</v>
      </c>
      <c r="J276" s="4"/>
      <c r="K276" s="10">
        <v>3900</v>
      </c>
      <c r="L276" s="11">
        <f t="shared" si="4"/>
        <v>1156100</v>
      </c>
      <c r="M276" s="6">
        <v>43453</v>
      </c>
      <c r="N276" s="27" t="str">
        <f>"660581"</f>
        <v>660581</v>
      </c>
    </row>
    <row r="277" spans="1:14" ht="15">
      <c r="A277" s="9">
        <v>270</v>
      </c>
      <c r="B277" s="4" t="s">
        <v>20</v>
      </c>
      <c r="C277" s="5" t="s">
        <v>21</v>
      </c>
      <c r="D277" s="27" t="str">
        <f>"2018-12-18 12:57:40"</f>
        <v>2018-12-18 12:57:40</v>
      </c>
      <c r="E277" s="27" t="str">
        <f>"15411267188393850575"</f>
        <v>15411267188393850575</v>
      </c>
      <c r="F277" s="4" t="s">
        <v>22</v>
      </c>
      <c r="G277" s="27" t="str">
        <f>"ibnu fajar nur hakim"</f>
        <v>ibnu fajar nur hakim</v>
      </c>
      <c r="H277" s="27" t="str">
        <f>"8827181102094502"</f>
        <v>8827181102094502</v>
      </c>
      <c r="I277" s="28">
        <v>1752000</v>
      </c>
      <c r="J277" s="4"/>
      <c r="K277" s="10">
        <v>3900</v>
      </c>
      <c r="L277" s="11">
        <f t="shared" si="4"/>
        <v>1748100</v>
      </c>
      <c r="M277" s="6">
        <v>43453</v>
      </c>
      <c r="N277" s="27" t="str">
        <f>"641972"</f>
        <v>641972</v>
      </c>
    </row>
    <row r="278" spans="1:14" ht="15">
      <c r="A278" s="9">
        <v>271</v>
      </c>
      <c r="B278" s="4" t="s">
        <v>20</v>
      </c>
      <c r="C278" s="5" t="s">
        <v>21</v>
      </c>
      <c r="D278" s="27" t="str">
        <f>"2018-12-18 12:55:29"</f>
        <v>2018-12-18 12:55:29</v>
      </c>
      <c r="E278" s="27" t="str">
        <f>"15418143358627016320"</f>
        <v>15418143358627016320</v>
      </c>
      <c r="F278" s="4" t="s">
        <v>22</v>
      </c>
      <c r="G278" s="27" t="str">
        <f>"mochamad safei"</f>
        <v>mochamad safei</v>
      </c>
      <c r="H278" s="27" t="str">
        <f>"8827181110084502"</f>
        <v>8827181110084502</v>
      </c>
      <c r="I278" s="28">
        <v>1200000</v>
      </c>
      <c r="J278" s="4"/>
      <c r="K278" s="10">
        <v>3900</v>
      </c>
      <c r="L278" s="11">
        <f t="shared" si="4"/>
        <v>1196100</v>
      </c>
      <c r="M278" s="6">
        <v>43453</v>
      </c>
      <c r="N278" s="27" t="str">
        <f>"606119"</f>
        <v>606119</v>
      </c>
    </row>
    <row r="279" spans="1:14" ht="15">
      <c r="A279" s="9">
        <v>272</v>
      </c>
      <c r="B279" s="4" t="s">
        <v>20</v>
      </c>
      <c r="C279" s="5" t="s">
        <v>21</v>
      </c>
      <c r="D279" s="27" t="str">
        <f>"2018-12-18 12:55:14"</f>
        <v>2018-12-18 12:55:14</v>
      </c>
      <c r="E279" s="27" t="str">
        <f>"15434593644027920106"</f>
        <v>15434593644027920106</v>
      </c>
      <c r="F279" s="4" t="s">
        <v>22</v>
      </c>
      <c r="G279" s="27" t="str">
        <f>"purwanto"</f>
        <v>purwanto</v>
      </c>
      <c r="H279" s="27" t="str">
        <f>"8827181129094204"</f>
        <v>8827181129094204</v>
      </c>
      <c r="I279" s="28">
        <v>1677200</v>
      </c>
      <c r="J279" s="4"/>
      <c r="K279" s="10">
        <v>3900</v>
      </c>
      <c r="L279" s="11">
        <f t="shared" si="4"/>
        <v>1673300</v>
      </c>
      <c r="M279" s="6">
        <v>43453</v>
      </c>
      <c r="N279" s="27" t="str">
        <f>"601165"</f>
        <v>601165</v>
      </c>
    </row>
    <row r="280" spans="1:14" ht="15">
      <c r="A280" s="9">
        <v>273</v>
      </c>
      <c r="B280" s="4" t="s">
        <v>20</v>
      </c>
      <c r="C280" s="5" t="s">
        <v>21</v>
      </c>
      <c r="D280" s="27" t="str">
        <f>"2018-12-18 12:52:50"</f>
        <v>2018-12-18 12:52:50</v>
      </c>
      <c r="E280" s="27" t="str">
        <f>"15408847754449874466"</f>
        <v>15408847754449874466</v>
      </c>
      <c r="F280" s="4" t="s">
        <v>22</v>
      </c>
      <c r="G280" s="27" t="str">
        <f>"Desia Andaresta"</f>
        <v>Desia Andaresta</v>
      </c>
      <c r="H280" s="27" t="str">
        <f>"8827181030143209"</f>
        <v>8827181030143209</v>
      </c>
      <c r="I280" s="28">
        <v>1317800</v>
      </c>
      <c r="J280" s="4"/>
      <c r="K280" s="10">
        <v>3900</v>
      </c>
      <c r="L280" s="11">
        <f t="shared" si="4"/>
        <v>1313900</v>
      </c>
      <c r="M280" s="6">
        <v>43453</v>
      </c>
      <c r="N280" s="27" t="str">
        <f>"562973"</f>
        <v>562973</v>
      </c>
    </row>
    <row r="281" spans="1:14" ht="15">
      <c r="A281" s="9">
        <v>274</v>
      </c>
      <c r="B281" s="4" t="s">
        <v>20</v>
      </c>
      <c r="C281" s="5" t="s">
        <v>21</v>
      </c>
      <c r="D281" s="27" t="str">
        <f>"2018-12-18 12:51:20"</f>
        <v>2018-12-18 12:51:20</v>
      </c>
      <c r="E281" s="27" t="str">
        <f>"15421025240845452018"</f>
        <v>15421025240845452018</v>
      </c>
      <c r="F281" s="4" t="s">
        <v>22</v>
      </c>
      <c r="G281" s="27" t="str">
        <f>"Ardian jaya sakti"</f>
        <v>Ardian jaya sakti</v>
      </c>
      <c r="H281" s="27" t="str">
        <f>"8827181113164803"</f>
        <v>8827181113164803</v>
      </c>
      <c r="I281" s="28">
        <v>1000000</v>
      </c>
      <c r="J281" s="4"/>
      <c r="K281" s="10">
        <v>3900</v>
      </c>
      <c r="L281" s="11">
        <f t="shared" si="4"/>
        <v>996100</v>
      </c>
      <c r="M281" s="6">
        <v>43453</v>
      </c>
      <c r="N281" s="27" t="str">
        <f>"541683"</f>
        <v>541683</v>
      </c>
    </row>
    <row r="282" spans="1:14" ht="15">
      <c r="A282" s="9">
        <v>275</v>
      </c>
      <c r="B282" s="4" t="s">
        <v>20</v>
      </c>
      <c r="C282" s="5" t="s">
        <v>21</v>
      </c>
      <c r="D282" s="27" t="str">
        <f>"2018-12-18 12:48:29"</f>
        <v>2018-12-18 12:48:29</v>
      </c>
      <c r="E282" s="27" t="str">
        <f>"15414114170033679336"</f>
        <v>15414114170033679336</v>
      </c>
      <c r="F282" s="4" t="s">
        <v>22</v>
      </c>
      <c r="G282" s="27" t="str">
        <f>"SITI LAILY TOHAROH"</f>
        <v>SITI LAILY TOHAROH</v>
      </c>
      <c r="H282" s="27" t="str">
        <f>"8827181105165002"</f>
        <v>8827181105165002</v>
      </c>
      <c r="I282" s="28">
        <v>1797000</v>
      </c>
      <c r="J282" s="4"/>
      <c r="K282" s="10">
        <v>3900</v>
      </c>
      <c r="L282" s="11">
        <f t="shared" si="4"/>
        <v>1793100</v>
      </c>
      <c r="M282" s="6">
        <v>43453</v>
      </c>
      <c r="N282" s="27" t="str">
        <f>"497777"</f>
        <v>497777</v>
      </c>
    </row>
    <row r="283" spans="1:14" ht="15">
      <c r="A283" s="9">
        <v>276</v>
      </c>
      <c r="B283" s="4" t="s">
        <v>20</v>
      </c>
      <c r="C283" s="5" t="s">
        <v>21</v>
      </c>
      <c r="D283" s="27" t="str">
        <f>"2018-12-18 12:47:11"</f>
        <v>2018-12-18 12:47:11</v>
      </c>
      <c r="E283" s="27" t="str">
        <f>"15415188607159206763"</f>
        <v>15415188607159206763</v>
      </c>
      <c r="F283" s="4" t="s">
        <v>22</v>
      </c>
      <c r="G283" s="27" t="str">
        <f>"danan wahyu setyojati"</f>
        <v>danan wahyu setyojati</v>
      </c>
      <c r="H283" s="27" t="str">
        <f>"8827181106224101"</f>
        <v>8827181106224101</v>
      </c>
      <c r="I283" s="28">
        <v>1767000</v>
      </c>
      <c r="J283" s="4"/>
      <c r="K283" s="10">
        <v>3900</v>
      </c>
      <c r="L283" s="11">
        <f t="shared" si="4"/>
        <v>1763100</v>
      </c>
      <c r="M283" s="6">
        <v>43453</v>
      </c>
      <c r="N283" s="27" t="str">
        <f>"475338"</f>
        <v>475338</v>
      </c>
    </row>
    <row r="284" spans="1:14" ht="15">
      <c r="A284" s="9">
        <v>277</v>
      </c>
      <c r="B284" s="4" t="s">
        <v>20</v>
      </c>
      <c r="C284" s="5" t="s">
        <v>21</v>
      </c>
      <c r="D284" s="27" t="str">
        <f>"2018-12-18 12:45:03"</f>
        <v>2018-12-18 12:45:03</v>
      </c>
      <c r="E284" s="27" t="str">
        <f>"15415428362886122107"</f>
        <v>15415428362886122107</v>
      </c>
      <c r="F284" s="4" t="s">
        <v>22</v>
      </c>
      <c r="G284" s="27" t="str">
        <f>"rudi irawan"</f>
        <v>rudi irawan</v>
      </c>
      <c r="H284" s="27" t="str">
        <f>"8827181107052001"</f>
        <v>8827181107052001</v>
      </c>
      <c r="I284" s="28">
        <v>1752000</v>
      </c>
      <c r="J284" s="4"/>
      <c r="K284" s="10">
        <v>3900</v>
      </c>
      <c r="L284" s="11">
        <f t="shared" si="4"/>
        <v>1748100</v>
      </c>
      <c r="M284" s="6">
        <v>43453</v>
      </c>
      <c r="N284" s="27" t="str">
        <f>"442023"</f>
        <v>442023</v>
      </c>
    </row>
    <row r="285" spans="1:14" ht="15">
      <c r="A285" s="9">
        <v>278</v>
      </c>
      <c r="B285" s="4" t="s">
        <v>20</v>
      </c>
      <c r="C285" s="5" t="s">
        <v>21</v>
      </c>
      <c r="D285" s="27" t="str">
        <f>"2018-12-18 12:44:10"</f>
        <v>2018-12-18 12:44:10</v>
      </c>
      <c r="E285" s="27" t="str">
        <f>"15406857742612142979"</f>
        <v>15406857742612142979</v>
      </c>
      <c r="F285" s="4" t="s">
        <v>22</v>
      </c>
      <c r="G285" s="27" t="str">
        <f>"andi junaedi"</f>
        <v>andi junaedi</v>
      </c>
      <c r="H285" s="27" t="str">
        <f>"8827181028071601"</f>
        <v>8827181028071601</v>
      </c>
      <c r="I285" s="28">
        <v>1924500</v>
      </c>
      <c r="J285" s="4"/>
      <c r="K285" s="10">
        <v>3900</v>
      </c>
      <c r="L285" s="11">
        <f t="shared" si="4"/>
        <v>1920600</v>
      </c>
      <c r="M285" s="6">
        <v>43453</v>
      </c>
      <c r="N285" s="27" t="str">
        <f>"426203"</f>
        <v>426203</v>
      </c>
    </row>
    <row r="286" spans="1:14" ht="15">
      <c r="A286" s="9">
        <v>279</v>
      </c>
      <c r="B286" s="4" t="s">
        <v>20</v>
      </c>
      <c r="C286" s="5" t="s">
        <v>21</v>
      </c>
      <c r="D286" s="27" t="str">
        <f>"2018-12-18 12:43:09"</f>
        <v>2018-12-18 12:43:09</v>
      </c>
      <c r="E286" s="27" t="str">
        <f>"15433994011717246553"</f>
        <v>15433994011717246553</v>
      </c>
      <c r="F286" s="4" t="s">
        <v>22</v>
      </c>
      <c r="G286" s="27" t="str">
        <f>"recsonly"</f>
        <v>recsonly</v>
      </c>
      <c r="H286" s="27" t="str">
        <f>"8827181128170302"</f>
        <v>8827181128170302</v>
      </c>
      <c r="I286" s="28">
        <v>1284800</v>
      </c>
      <c r="J286" s="4"/>
      <c r="K286" s="10">
        <v>3900</v>
      </c>
      <c r="L286" s="11">
        <f t="shared" si="4"/>
        <v>1280900</v>
      </c>
      <c r="M286" s="6">
        <v>43453</v>
      </c>
      <c r="N286" s="27" t="str">
        <f>"929924"</f>
        <v>929924</v>
      </c>
    </row>
    <row r="287" spans="1:14" ht="15">
      <c r="A287" s="9">
        <v>280</v>
      </c>
      <c r="B287" s="4" t="s">
        <v>20</v>
      </c>
      <c r="C287" s="5" t="s">
        <v>21</v>
      </c>
      <c r="D287" s="27" t="str">
        <f>"2018-12-18 12:40:27"</f>
        <v>2018-12-18 12:40:27</v>
      </c>
      <c r="E287" s="27" t="str">
        <f>"15420845295791663020"</f>
        <v>15420845295791663020</v>
      </c>
      <c r="F287" s="4" t="s">
        <v>22</v>
      </c>
      <c r="G287" s="27" t="str">
        <f>"wandi sopian"</f>
        <v>wandi sopian</v>
      </c>
      <c r="H287" s="27" t="str">
        <f>"8827181113114805"</f>
        <v>8827181113114805</v>
      </c>
      <c r="I287" s="28">
        <v>1070000</v>
      </c>
      <c r="J287" s="4"/>
      <c r="K287" s="10">
        <v>3900</v>
      </c>
      <c r="L287" s="11">
        <f t="shared" si="4"/>
        <v>1066100</v>
      </c>
      <c r="M287" s="6">
        <v>43453</v>
      </c>
      <c r="N287" s="27" t="str">
        <f>"928461"</f>
        <v>928461</v>
      </c>
    </row>
    <row r="288" spans="1:14" ht="15">
      <c r="A288" s="9">
        <v>281</v>
      </c>
      <c r="B288" s="4" t="s">
        <v>20</v>
      </c>
      <c r="C288" s="5" t="s">
        <v>21</v>
      </c>
      <c r="D288" s="27" t="str">
        <f>"2018-12-18 12:37:40"</f>
        <v>2018-12-18 12:37:40</v>
      </c>
      <c r="E288" s="27" t="str">
        <f>"15423564203707605076"</f>
        <v>15423564203707605076</v>
      </c>
      <c r="F288" s="4" t="s">
        <v>22</v>
      </c>
      <c r="G288" s="27" t="str">
        <f>"Regina anggita"</f>
        <v>Regina anggita</v>
      </c>
      <c r="H288" s="27" t="str">
        <f>"8827181116152001"</f>
        <v>8827181116152001</v>
      </c>
      <c r="I288" s="28">
        <v>1392000</v>
      </c>
      <c r="J288" s="4"/>
      <c r="K288" s="10">
        <v>3900</v>
      </c>
      <c r="L288" s="11">
        <f t="shared" si="4"/>
        <v>1388100</v>
      </c>
      <c r="M288" s="6">
        <v>43453</v>
      </c>
      <c r="N288" s="27" t="str">
        <f>"334145"</f>
        <v>334145</v>
      </c>
    </row>
    <row r="289" spans="1:14" ht="15">
      <c r="A289" s="9">
        <v>282</v>
      </c>
      <c r="B289" s="4" t="s">
        <v>20</v>
      </c>
      <c r="C289" s="5" t="s">
        <v>21</v>
      </c>
      <c r="D289" s="27" t="str">
        <f>"2018-12-18 12:33:34"</f>
        <v>2018-12-18 12:33:34</v>
      </c>
      <c r="E289" s="27" t="str">
        <f>"15409710319433810705"</f>
        <v>15409710319433810705</v>
      </c>
      <c r="F289" s="4" t="s">
        <v>22</v>
      </c>
      <c r="G289" s="27" t="str">
        <f>"ficry m noverdi"</f>
        <v>ficry m noverdi</v>
      </c>
      <c r="H289" s="27" t="str">
        <f>"8827181031143002"</f>
        <v>8827181031143002</v>
      </c>
      <c r="I289" s="28">
        <v>1647000</v>
      </c>
      <c r="J289" s="4"/>
      <c r="K289" s="10">
        <v>3900</v>
      </c>
      <c r="L289" s="11">
        <f t="shared" si="4"/>
        <v>1643100</v>
      </c>
      <c r="M289" s="6">
        <v>43453</v>
      </c>
      <c r="N289" s="27" t="str">
        <f>"280587"</f>
        <v>280587</v>
      </c>
    </row>
    <row r="290" spans="1:14" ht="15">
      <c r="A290" s="9">
        <v>283</v>
      </c>
      <c r="B290" s="4" t="s">
        <v>20</v>
      </c>
      <c r="C290" s="5" t="s">
        <v>21</v>
      </c>
      <c r="D290" s="27" t="str">
        <f>"2018-12-18 12:30:03"</f>
        <v>2018-12-18 12:30:03</v>
      </c>
      <c r="E290" s="27" t="str">
        <f>"15410497081273859292"</f>
        <v>15410497081273859292</v>
      </c>
      <c r="F290" s="4" t="s">
        <v>22</v>
      </c>
      <c r="G290" s="27" t="str">
        <f>"ajat sudrajat"</f>
        <v>ajat sudrajat</v>
      </c>
      <c r="H290" s="27" t="str">
        <f>"8827181101122104"</f>
        <v>8827181101122104</v>
      </c>
      <c r="I290" s="28">
        <v>1353600</v>
      </c>
      <c r="J290" s="4"/>
      <c r="K290" s="10">
        <v>3900</v>
      </c>
      <c r="L290" s="11">
        <f t="shared" si="4"/>
        <v>1349700</v>
      </c>
      <c r="M290" s="6">
        <v>43453</v>
      </c>
      <c r="N290" s="27" t="str">
        <f>"229934"</f>
        <v>229934</v>
      </c>
    </row>
    <row r="291" spans="1:14" ht="15">
      <c r="A291" s="9">
        <v>284</v>
      </c>
      <c r="B291" s="4" t="s">
        <v>20</v>
      </c>
      <c r="C291" s="5" t="s">
        <v>21</v>
      </c>
      <c r="D291" s="27" t="str">
        <f>"2018-12-18 12:29:12"</f>
        <v>2018-12-18 12:29:12</v>
      </c>
      <c r="E291" s="27" t="str">
        <f>"15414745197506246534"</f>
        <v>15414745197506246534</v>
      </c>
      <c r="F291" s="4" t="s">
        <v>22</v>
      </c>
      <c r="G291" s="27" t="str">
        <f>"Mahathir"</f>
        <v>Mahathir</v>
      </c>
      <c r="H291" s="27" t="str">
        <f>"8827181106102107"</f>
        <v>8827181106102107</v>
      </c>
      <c r="I291" s="28">
        <v>1767000</v>
      </c>
      <c r="J291" s="4"/>
      <c r="K291" s="10">
        <v>3900</v>
      </c>
      <c r="L291" s="11">
        <f t="shared" si="4"/>
        <v>1763100</v>
      </c>
      <c r="M291" s="6">
        <v>43453</v>
      </c>
      <c r="N291" s="27" t="str">
        <f>"922528"</f>
        <v>922528</v>
      </c>
    </row>
    <row r="292" spans="1:14" ht="15">
      <c r="A292" s="9">
        <v>285</v>
      </c>
      <c r="B292" s="4" t="s">
        <v>20</v>
      </c>
      <c r="C292" s="5" t="s">
        <v>21</v>
      </c>
      <c r="D292" s="27" t="str">
        <f>"2018-12-18 12:26:22"</f>
        <v>2018-12-18 12:26:22</v>
      </c>
      <c r="E292" s="27" t="str">
        <f>"15408938769148628653"</f>
        <v>15408938769148628653</v>
      </c>
      <c r="F292" s="4" t="s">
        <v>22</v>
      </c>
      <c r="G292" s="27" t="str">
        <f>"nita lestari"</f>
        <v>nita lestari</v>
      </c>
      <c r="H292" s="27" t="str">
        <f>"8827181030170406"</f>
        <v>8827181030170406</v>
      </c>
      <c r="I292" s="28">
        <v>1198000</v>
      </c>
      <c r="J292" s="4"/>
      <c r="K292" s="10">
        <v>3900</v>
      </c>
      <c r="L292" s="11">
        <f t="shared" si="4"/>
        <v>1194100</v>
      </c>
      <c r="M292" s="6">
        <v>43453</v>
      </c>
      <c r="N292" s="27" t="str">
        <f>"171778"</f>
        <v>171778</v>
      </c>
    </row>
    <row r="293" spans="1:14" ht="15">
      <c r="A293" s="9">
        <v>286</v>
      </c>
      <c r="B293" s="4" t="s">
        <v>20</v>
      </c>
      <c r="C293" s="5" t="s">
        <v>21</v>
      </c>
      <c r="D293" s="27" t="str">
        <f>"2018-12-18 12:21:47"</f>
        <v>2018-12-18 12:21:47</v>
      </c>
      <c r="E293" s="27" t="str">
        <f>"15425366681833829272"</f>
        <v>15425366681833829272</v>
      </c>
      <c r="F293" s="4" t="s">
        <v>22</v>
      </c>
      <c r="G293" s="27" t="str">
        <f>"Lusy Nurhajany"</f>
        <v>Lusy Nurhajany</v>
      </c>
      <c r="H293" s="27" t="str">
        <f>"8827181118172404"</f>
        <v>8827181118172404</v>
      </c>
      <c r="I293" s="28">
        <v>806400</v>
      </c>
      <c r="J293" s="4"/>
      <c r="K293" s="10">
        <v>3900</v>
      </c>
      <c r="L293" s="11">
        <f t="shared" si="4"/>
        <v>802500</v>
      </c>
      <c r="M293" s="6">
        <v>43453</v>
      </c>
      <c r="N293" s="27" t="str">
        <f>"109644"</f>
        <v>109644</v>
      </c>
    </row>
    <row r="294" spans="1:14" ht="15">
      <c r="A294" s="9">
        <v>287</v>
      </c>
      <c r="B294" s="4" t="s">
        <v>20</v>
      </c>
      <c r="C294" s="5" t="s">
        <v>21</v>
      </c>
      <c r="D294" s="27" t="str">
        <f>"2018-12-18 12:21:15"</f>
        <v>2018-12-18 12:21:15</v>
      </c>
      <c r="E294" s="27" t="str">
        <f>"15418360681934818835"</f>
        <v>15418360681934818835</v>
      </c>
      <c r="F294" s="4" t="s">
        <v>22</v>
      </c>
      <c r="G294" s="27" t="str">
        <f>"indra maylanda"</f>
        <v>indra maylanda</v>
      </c>
      <c r="H294" s="27" t="str">
        <f>"8827181110144705"</f>
        <v>8827181110144705</v>
      </c>
      <c r="I294" s="28">
        <v>727800</v>
      </c>
      <c r="J294" s="4"/>
      <c r="K294" s="10">
        <v>3900</v>
      </c>
      <c r="L294" s="11">
        <f t="shared" si="4"/>
        <v>723900</v>
      </c>
      <c r="M294" s="6">
        <v>43453</v>
      </c>
      <c r="N294" s="27" t="str">
        <f>"102401"</f>
        <v>102401</v>
      </c>
    </row>
    <row r="295" spans="1:14" ht="15">
      <c r="A295" s="9">
        <v>288</v>
      </c>
      <c r="B295" s="4" t="s">
        <v>20</v>
      </c>
      <c r="C295" s="5" t="s">
        <v>21</v>
      </c>
      <c r="D295" s="27" t="str">
        <f>"2018-12-18 12:18:42"</f>
        <v>2018-12-18 12:18:42</v>
      </c>
      <c r="E295" s="27" t="str">
        <f>"15413319309693689997"</f>
        <v>15413319309693689997</v>
      </c>
      <c r="F295" s="4" t="s">
        <v>22</v>
      </c>
      <c r="G295" s="27" t="str">
        <f>"agung julianto"</f>
        <v>agung julianto</v>
      </c>
      <c r="H295" s="27" t="str">
        <f>"8827181104184502"</f>
        <v>8827181104184502</v>
      </c>
      <c r="I295" s="28">
        <v>779000</v>
      </c>
      <c r="J295" s="4"/>
      <c r="K295" s="10">
        <v>3900</v>
      </c>
      <c r="L295" s="11">
        <f t="shared" si="4"/>
        <v>775100</v>
      </c>
      <c r="M295" s="6">
        <v>43453</v>
      </c>
      <c r="N295" s="27" t="str">
        <f>"067583"</f>
        <v>067583</v>
      </c>
    </row>
    <row r="296" spans="1:14" ht="15">
      <c r="A296" s="9">
        <v>289</v>
      </c>
      <c r="B296" s="4" t="s">
        <v>20</v>
      </c>
      <c r="C296" s="5" t="s">
        <v>21</v>
      </c>
      <c r="D296" s="27" t="str">
        <f>"2018-12-18 12:12:49"</f>
        <v>2018-12-18 12:12:49</v>
      </c>
      <c r="E296" s="27" t="str">
        <f>"15408725667716879832"</f>
        <v>15408725667716879832</v>
      </c>
      <c r="F296" s="4" t="s">
        <v>22</v>
      </c>
      <c r="G296" s="27" t="str">
        <f>"m agsha smarsyah"</f>
        <v>m agsha smarsyah</v>
      </c>
      <c r="H296" s="27" t="str">
        <f>"8827181030110903"</f>
        <v>8827181030110903</v>
      </c>
      <c r="I296" s="28">
        <v>542000</v>
      </c>
      <c r="J296" s="4"/>
      <c r="K296" s="10">
        <v>3900</v>
      </c>
      <c r="L296" s="11">
        <f t="shared" si="4"/>
        <v>538100</v>
      </c>
      <c r="M296" s="6">
        <v>43453</v>
      </c>
      <c r="N296" s="27" t="str">
        <f>"782698"</f>
        <v>782698</v>
      </c>
    </row>
    <row r="297" spans="1:14" ht="15">
      <c r="A297" s="9">
        <v>290</v>
      </c>
      <c r="B297" s="4" t="s">
        <v>20</v>
      </c>
      <c r="C297" s="5" t="s">
        <v>21</v>
      </c>
      <c r="D297" s="27" t="str">
        <f>"2018-12-18 12:10:34"</f>
        <v>2018-12-18 12:10:34</v>
      </c>
      <c r="E297" s="27" t="str">
        <f>"15415611402838961699"</f>
        <v>15415611402838961699</v>
      </c>
      <c r="F297" s="4" t="s">
        <v>22</v>
      </c>
      <c r="G297" s="27" t="str">
        <f>"Marlentina Tangguhdipura"</f>
        <v>Marlentina Tangguhdipura</v>
      </c>
      <c r="H297" s="27" t="str">
        <f>"8827181107102507"</f>
        <v>8827181107102507</v>
      </c>
      <c r="I297" s="28">
        <v>1752000</v>
      </c>
      <c r="J297" s="4"/>
      <c r="K297" s="10">
        <v>3900</v>
      </c>
      <c r="L297" s="11">
        <f t="shared" si="4"/>
        <v>1748100</v>
      </c>
      <c r="M297" s="6">
        <v>43453</v>
      </c>
      <c r="N297" s="27" t="str">
        <f>"752610"</f>
        <v>752610</v>
      </c>
    </row>
    <row r="298" spans="1:14" ht="15">
      <c r="A298" s="9">
        <v>291</v>
      </c>
      <c r="B298" s="4" t="s">
        <v>20</v>
      </c>
      <c r="C298" s="5" t="s">
        <v>21</v>
      </c>
      <c r="D298" s="27" t="str">
        <f>"2018-12-18 12:10:31"</f>
        <v>2018-12-18 12:10:31</v>
      </c>
      <c r="E298" s="27" t="str">
        <f>"15422504403461203736"</f>
        <v>15422504403461203736</v>
      </c>
      <c r="F298" s="4" t="s">
        <v>22</v>
      </c>
      <c r="G298" s="27" t="str">
        <f>"mochamad dendiyo alip utama"</f>
        <v>mochamad dendiyo alip utama</v>
      </c>
      <c r="H298" s="27" t="str">
        <f>"8827181115095401"</f>
        <v>8827181115095401</v>
      </c>
      <c r="I298" s="28">
        <v>1647000</v>
      </c>
      <c r="J298" s="4"/>
      <c r="K298" s="10">
        <v>3900</v>
      </c>
      <c r="L298" s="11">
        <f t="shared" si="4"/>
        <v>1643100</v>
      </c>
      <c r="M298" s="6">
        <v>43453</v>
      </c>
      <c r="N298" s="27" t="str">
        <f>"912106"</f>
        <v>912106</v>
      </c>
    </row>
    <row r="299" spans="1:14" ht="15">
      <c r="A299" s="9">
        <v>292</v>
      </c>
      <c r="B299" s="4" t="s">
        <v>20</v>
      </c>
      <c r="C299" s="5" t="s">
        <v>21</v>
      </c>
      <c r="D299" s="27" t="str">
        <f>"2018-12-18 12:03:25"</f>
        <v>2018-12-18 12:03:25</v>
      </c>
      <c r="E299" s="27" t="str">
        <f>"15413869665263203930"</f>
        <v>15413869665263203930</v>
      </c>
      <c r="F299" s="4" t="s">
        <v>22</v>
      </c>
      <c r="G299" s="27" t="str">
        <f>"sukasih"</f>
        <v>sukasih</v>
      </c>
      <c r="H299" s="27" t="str">
        <f>"8827181105100208"</f>
        <v>8827181105100208</v>
      </c>
      <c r="I299" s="28">
        <v>1782000</v>
      </c>
      <c r="J299" s="4"/>
      <c r="K299" s="10">
        <v>3900</v>
      </c>
      <c r="L299" s="11">
        <f t="shared" si="4"/>
        <v>1778100</v>
      </c>
      <c r="M299" s="6">
        <v>43453</v>
      </c>
      <c r="N299" s="27" t="str">
        <f>"645676"</f>
        <v>645676</v>
      </c>
    </row>
    <row r="300" spans="1:14" ht="15">
      <c r="A300" s="9">
        <v>293</v>
      </c>
      <c r="B300" s="4" t="s">
        <v>20</v>
      </c>
      <c r="C300" s="5" t="s">
        <v>21</v>
      </c>
      <c r="D300" s="27" t="str">
        <f>"2018-12-18 11:51:42"</f>
        <v>2018-12-18 11:51:42</v>
      </c>
      <c r="E300" s="27" t="str">
        <f>"15418342308189942584"</f>
        <v>15418342308189942584</v>
      </c>
      <c r="F300" s="4" t="s">
        <v>22</v>
      </c>
      <c r="G300" s="27" t="str">
        <f>"dylida prastiwi"</f>
        <v>dylida prastiwi</v>
      </c>
      <c r="H300" s="27" t="str">
        <f>"8827181110141701"</f>
        <v>8827181110141701</v>
      </c>
      <c r="I300" s="28">
        <v>1485000</v>
      </c>
      <c r="J300" s="4"/>
      <c r="K300" s="10">
        <v>3900</v>
      </c>
      <c r="L300" s="11">
        <f t="shared" si="4"/>
        <v>1481100</v>
      </c>
      <c r="M300" s="6">
        <v>43453</v>
      </c>
      <c r="N300" s="27" t="str">
        <f>"429118"</f>
        <v>429118</v>
      </c>
    </row>
    <row r="301" spans="1:14" ht="15">
      <c r="A301" s="9">
        <v>294</v>
      </c>
      <c r="B301" s="4" t="s">
        <v>20</v>
      </c>
      <c r="C301" s="5" t="s">
        <v>21</v>
      </c>
      <c r="D301" s="27" t="str">
        <f>"2018-12-18 11:51:37"</f>
        <v>2018-12-18 11:51:37</v>
      </c>
      <c r="E301" s="27" t="str">
        <f>"15425863422048867829"</f>
        <v>15425863422048867829</v>
      </c>
      <c r="F301" s="4" t="s">
        <v>22</v>
      </c>
      <c r="G301" s="27" t="str">
        <f>"aditya atmaja"</f>
        <v>aditya atmaja</v>
      </c>
      <c r="H301" s="27" t="str">
        <f>"8827181119071202"</f>
        <v>8827181119071202</v>
      </c>
      <c r="I301" s="28">
        <v>1969500</v>
      </c>
      <c r="J301" s="4"/>
      <c r="K301" s="10">
        <v>3900</v>
      </c>
      <c r="L301" s="11">
        <f t="shared" si="4"/>
        <v>1965600</v>
      </c>
      <c r="M301" s="6">
        <v>43453</v>
      </c>
      <c r="N301" s="27" t="str">
        <f>"427515"</f>
        <v>427515</v>
      </c>
    </row>
    <row r="302" spans="1:14" ht="15">
      <c r="A302" s="9">
        <v>295</v>
      </c>
      <c r="B302" s="4" t="s">
        <v>20</v>
      </c>
      <c r="C302" s="5" t="s">
        <v>21</v>
      </c>
      <c r="D302" s="27" t="str">
        <f>"2018-12-18 11:49:35"</f>
        <v>2018-12-18 11:49:35</v>
      </c>
      <c r="E302" s="27" t="str">
        <f>"15412178162198438507"</f>
        <v>15412178162198438507</v>
      </c>
      <c r="F302" s="4" t="s">
        <v>22</v>
      </c>
      <c r="G302" s="27" t="str">
        <f>"rahmad yanto"</f>
        <v>rahmad yanto</v>
      </c>
      <c r="H302" s="27" t="str">
        <f>"8827181103110304"</f>
        <v>8827181103110304</v>
      </c>
      <c r="I302" s="28">
        <v>1178000</v>
      </c>
      <c r="J302" s="4"/>
      <c r="K302" s="10">
        <v>3900</v>
      </c>
      <c r="L302" s="11">
        <f t="shared" si="4"/>
        <v>1174100</v>
      </c>
      <c r="M302" s="6">
        <v>43453</v>
      </c>
      <c r="N302" s="27" t="str">
        <f>"394049"</f>
        <v>394049</v>
      </c>
    </row>
    <row r="303" spans="1:14" ht="15">
      <c r="A303" s="9">
        <v>296</v>
      </c>
      <c r="B303" s="4" t="s">
        <v>20</v>
      </c>
      <c r="C303" s="5" t="s">
        <v>21</v>
      </c>
      <c r="D303" s="27" t="str">
        <f>"2018-12-18 11:48:03"</f>
        <v>2018-12-18 11:48:03</v>
      </c>
      <c r="E303" s="27" t="str">
        <f>"15411383979005399244"</f>
        <v>15411383979005399244</v>
      </c>
      <c r="F303" s="4" t="s">
        <v>22</v>
      </c>
      <c r="G303" s="27" t="str">
        <f>"Afrizal Hardiansyah"</f>
        <v>Afrizal Hardiansyah</v>
      </c>
      <c r="H303" s="27" t="str">
        <f>"8827181102125905"</f>
        <v>8827181102125905</v>
      </c>
      <c r="I303" s="28">
        <v>1677000</v>
      </c>
      <c r="J303" s="4"/>
      <c r="K303" s="10">
        <v>3900</v>
      </c>
      <c r="L303" s="11">
        <f t="shared" si="4"/>
        <v>1673100</v>
      </c>
      <c r="M303" s="6">
        <v>43453</v>
      </c>
      <c r="N303" s="27" t="str">
        <f>"998966"</f>
        <v>998966</v>
      </c>
    </row>
    <row r="304" spans="1:14" ht="15">
      <c r="A304" s="9">
        <v>297</v>
      </c>
      <c r="B304" s="4" t="s">
        <v>20</v>
      </c>
      <c r="C304" s="5" t="s">
        <v>21</v>
      </c>
      <c r="D304" s="27" t="str">
        <f>"2018-12-18 11:46:51"</f>
        <v>2018-12-18 11:46:51</v>
      </c>
      <c r="E304" s="27" t="str">
        <f>"15415893777964571551"</f>
        <v>15415893777964571551</v>
      </c>
      <c r="F304" s="4" t="s">
        <v>22</v>
      </c>
      <c r="G304" s="27" t="str">
        <f>"andi dabi"</f>
        <v>andi dabi</v>
      </c>
      <c r="H304" s="27" t="str">
        <f>"8827181107181603"</f>
        <v>8827181107181603</v>
      </c>
      <c r="I304" s="28">
        <v>1752000</v>
      </c>
      <c r="J304" s="4"/>
      <c r="K304" s="10">
        <v>3900</v>
      </c>
      <c r="L304" s="11">
        <f t="shared" si="4"/>
        <v>1748100</v>
      </c>
      <c r="M304" s="6">
        <v>43453</v>
      </c>
      <c r="N304" s="27" t="str">
        <f>"351270"</f>
        <v>351270</v>
      </c>
    </row>
    <row r="305" spans="1:14" ht="15">
      <c r="A305" s="9">
        <v>298</v>
      </c>
      <c r="B305" s="4" t="s">
        <v>20</v>
      </c>
      <c r="C305" s="5" t="s">
        <v>21</v>
      </c>
      <c r="D305" s="27" t="str">
        <f>"2018-12-18 11:45:45"</f>
        <v>2018-12-18 11:45:45</v>
      </c>
      <c r="E305" s="27" t="str">
        <f>"15414768649817749241"</f>
        <v>15414768649817749241</v>
      </c>
      <c r="F305" s="4" t="s">
        <v>22</v>
      </c>
      <c r="G305" s="27" t="str">
        <f>"Hana Hydrika"</f>
        <v>Hana Hydrika</v>
      </c>
      <c r="H305" s="27" t="str">
        <f>"8827181106110102"</f>
        <v>8827181106110102</v>
      </c>
      <c r="I305" s="28">
        <v>1752000</v>
      </c>
      <c r="J305" s="4"/>
      <c r="K305" s="10">
        <v>3900</v>
      </c>
      <c r="L305" s="11">
        <f t="shared" si="4"/>
        <v>1748100</v>
      </c>
      <c r="M305" s="6">
        <v>43453</v>
      </c>
      <c r="N305" s="27" t="str">
        <f>"335756"</f>
        <v>335756</v>
      </c>
    </row>
    <row r="306" spans="1:14" ht="15">
      <c r="A306" s="9">
        <v>299</v>
      </c>
      <c r="B306" s="4" t="s">
        <v>20</v>
      </c>
      <c r="C306" s="5" t="s">
        <v>21</v>
      </c>
      <c r="D306" s="27" t="str">
        <f>"2018-12-18 11:42:29"</f>
        <v>2018-12-18 11:42:29</v>
      </c>
      <c r="E306" s="27" t="str">
        <f>"15414618552613327927"</f>
        <v>15414618552613327927</v>
      </c>
      <c r="F306" s="4" t="s">
        <v>22</v>
      </c>
      <c r="G306" s="27" t="str">
        <f>"dayat hidayat"</f>
        <v>dayat hidayat</v>
      </c>
      <c r="H306" s="27" t="str">
        <f>"8827181106065002"</f>
        <v>8827181106065002</v>
      </c>
      <c r="I306" s="28">
        <v>1752000</v>
      </c>
      <c r="J306" s="4"/>
      <c r="K306" s="10">
        <v>3900</v>
      </c>
      <c r="L306" s="11">
        <f t="shared" si="4"/>
        <v>1748100</v>
      </c>
      <c r="M306" s="6">
        <v>43453</v>
      </c>
      <c r="N306" s="27" t="str">
        <f>"281596"</f>
        <v>281596</v>
      </c>
    </row>
    <row r="307" spans="1:14" ht="15">
      <c r="A307" s="9">
        <v>300</v>
      </c>
      <c r="B307" s="4" t="s">
        <v>20</v>
      </c>
      <c r="C307" s="5" t="s">
        <v>21</v>
      </c>
      <c r="D307" s="27" t="str">
        <f>"2018-12-18 11:41:04"</f>
        <v>2018-12-18 11:41:04</v>
      </c>
      <c r="E307" s="27" t="str">
        <f>"15434595989808652580"</f>
        <v>15434595989808652580</v>
      </c>
      <c r="F307" s="4" t="s">
        <v>22</v>
      </c>
      <c r="G307" s="27" t="str">
        <f>"dewi sariana hafifah"</f>
        <v>dewi sariana hafifah</v>
      </c>
      <c r="H307" s="27" t="str">
        <f>"8827181129094607"</f>
        <v>8827181129094607</v>
      </c>
      <c r="I307" s="28">
        <v>1797000</v>
      </c>
      <c r="J307" s="4"/>
      <c r="K307" s="10">
        <v>3900</v>
      </c>
      <c r="L307" s="11">
        <f t="shared" si="4"/>
        <v>1793100</v>
      </c>
      <c r="M307" s="6">
        <v>43453</v>
      </c>
      <c r="N307" s="27" t="str">
        <f>"257412"</f>
        <v>257412</v>
      </c>
    </row>
    <row r="308" spans="1:14" ht="15">
      <c r="A308" s="9">
        <v>301</v>
      </c>
      <c r="B308" s="4" t="s">
        <v>20</v>
      </c>
      <c r="C308" s="5" t="s">
        <v>21</v>
      </c>
      <c r="D308" s="27" t="str">
        <f>"2018-12-18 11:40:10"</f>
        <v>2018-12-18 11:40:10</v>
      </c>
      <c r="E308" s="27" t="str">
        <f>"15449544799285822304"</f>
        <v>15449544799285822304</v>
      </c>
      <c r="F308" s="4" t="s">
        <v>22</v>
      </c>
      <c r="G308" s="27" t="str">
        <f>"Gadis Mayang Sara"</f>
        <v>Gadis Mayang Sara</v>
      </c>
      <c r="H308" s="27" t="str">
        <f>"8827181216170101"</f>
        <v>8827181216170101</v>
      </c>
      <c r="I308" s="28">
        <v>510500</v>
      </c>
      <c r="J308" s="4"/>
      <c r="K308" s="10">
        <v>3900</v>
      </c>
      <c r="L308" s="11">
        <f t="shared" si="4"/>
        <v>506600</v>
      </c>
      <c r="M308" s="6">
        <v>43453</v>
      </c>
      <c r="N308" s="27" t="str">
        <f>"242337"</f>
        <v>242337</v>
      </c>
    </row>
    <row r="309" spans="1:14" ht="15">
      <c r="A309" s="9">
        <v>302</v>
      </c>
      <c r="B309" s="4" t="s">
        <v>20</v>
      </c>
      <c r="C309" s="5" t="s">
        <v>21</v>
      </c>
      <c r="D309" s="27" t="str">
        <f>"2018-12-18 11:37:52"</f>
        <v>2018-12-18 11:37:52</v>
      </c>
      <c r="E309" s="27" t="str">
        <f>"15414770332091408410"</f>
        <v>15414770332091408410</v>
      </c>
      <c r="F309" s="4" t="s">
        <v>22</v>
      </c>
      <c r="G309" s="27" t="str">
        <f>"fresti sundari"</f>
        <v>fresti sundari</v>
      </c>
      <c r="H309" s="27" t="str">
        <f>"8827181106110305"</f>
        <v>8827181106110305</v>
      </c>
      <c r="I309" s="28">
        <v>1782000</v>
      </c>
      <c r="J309" s="4"/>
      <c r="K309" s="10">
        <v>3900</v>
      </c>
      <c r="L309" s="11">
        <f t="shared" si="4"/>
        <v>1778100</v>
      </c>
      <c r="M309" s="6">
        <v>43453</v>
      </c>
      <c r="N309" s="27" t="str">
        <f>"993332"</f>
        <v>993332</v>
      </c>
    </row>
    <row r="310" spans="1:14" ht="15">
      <c r="A310" s="9">
        <v>303</v>
      </c>
      <c r="B310" s="4" t="s">
        <v>20</v>
      </c>
      <c r="C310" s="5" t="s">
        <v>21</v>
      </c>
      <c r="D310" s="27" t="str">
        <f>"2018-12-18 11:37:43"</f>
        <v>2018-12-18 11:37:43</v>
      </c>
      <c r="E310" s="27" t="str">
        <f>"15415604915064010085"</f>
        <v>15415604915064010085</v>
      </c>
      <c r="F310" s="4" t="s">
        <v>22</v>
      </c>
      <c r="G310" s="27" t="str">
        <f>"reni puji lestari"</f>
        <v>reni puji lestari</v>
      </c>
      <c r="H310" s="27" t="str">
        <f>"8827181107101405"</f>
        <v>8827181107101405</v>
      </c>
      <c r="I310" s="28">
        <v>1782000</v>
      </c>
      <c r="J310" s="4"/>
      <c r="K310" s="10">
        <v>3900</v>
      </c>
      <c r="L310" s="11">
        <f t="shared" si="4"/>
        <v>1778100</v>
      </c>
      <c r="M310" s="6">
        <v>43453</v>
      </c>
      <c r="N310" s="27" t="str">
        <f>"199325"</f>
        <v>199325</v>
      </c>
    </row>
    <row r="311" spans="1:14" ht="15">
      <c r="A311" s="9">
        <v>304</v>
      </c>
      <c r="B311" s="4" t="s">
        <v>20</v>
      </c>
      <c r="C311" s="5" t="s">
        <v>21</v>
      </c>
      <c r="D311" s="27" t="str">
        <f>"2018-12-18 11:37:42"</f>
        <v>2018-12-18 11:37:42</v>
      </c>
      <c r="E311" s="27" t="str">
        <f>"15433098529099844401"</f>
        <v>15433098529099844401</v>
      </c>
      <c r="F311" s="4" t="s">
        <v>22</v>
      </c>
      <c r="G311" s="27" t="str">
        <f>"Irma ristiani"</f>
        <v>Irma ristiani</v>
      </c>
      <c r="H311" s="27" t="str">
        <f>"8827181127161040"</f>
        <v>8827181127161040</v>
      </c>
      <c r="I311" s="28">
        <v>797250</v>
      </c>
      <c r="J311" s="4"/>
      <c r="K311" s="10">
        <v>3900</v>
      </c>
      <c r="L311" s="11">
        <f t="shared" si="4"/>
        <v>793350</v>
      </c>
      <c r="M311" s="6">
        <v>43453</v>
      </c>
      <c r="N311" s="27" t="str">
        <f>"199131"</f>
        <v>199131</v>
      </c>
    </row>
    <row r="312" spans="1:14" ht="15">
      <c r="A312" s="9">
        <v>305</v>
      </c>
      <c r="B312" s="4" t="s">
        <v>20</v>
      </c>
      <c r="C312" s="5" t="s">
        <v>21</v>
      </c>
      <c r="D312" s="27" t="str">
        <f>"2018-12-18 11:37:19"</f>
        <v>2018-12-18 11:37:19</v>
      </c>
      <c r="E312" s="27" t="str">
        <f>"15407969870275165006"</f>
        <v>15407969870275165006</v>
      </c>
      <c r="F312" s="4" t="s">
        <v>22</v>
      </c>
      <c r="G312" s="27" t="str">
        <f>"varuck ellyas susanto"</f>
        <v>varuck ellyas susanto</v>
      </c>
      <c r="H312" s="27" t="str">
        <f>"8827181029140903"</f>
        <v>8827181029140903</v>
      </c>
      <c r="I312" s="28">
        <v>1608000</v>
      </c>
      <c r="J312" s="4"/>
      <c r="K312" s="10">
        <v>3900</v>
      </c>
      <c r="L312" s="11">
        <f t="shared" si="4"/>
        <v>1604100</v>
      </c>
      <c r="M312" s="6">
        <v>43453</v>
      </c>
      <c r="N312" s="27" t="str">
        <f>"193471"</f>
        <v>193471</v>
      </c>
    </row>
    <row r="313" spans="1:14" ht="15">
      <c r="A313" s="9">
        <v>306</v>
      </c>
      <c r="B313" s="4" t="s">
        <v>20</v>
      </c>
      <c r="C313" s="5" t="s">
        <v>21</v>
      </c>
      <c r="D313" s="27" t="str">
        <f>"2018-12-18 11:33:38"</f>
        <v>2018-12-18 11:33:38</v>
      </c>
      <c r="E313" s="27" t="str">
        <f>"15409612689923064409"</f>
        <v>15409612689923064409</v>
      </c>
      <c r="F313" s="4" t="s">
        <v>22</v>
      </c>
      <c r="G313" s="27" t="str">
        <f>"sumedi"</f>
        <v>sumedi</v>
      </c>
      <c r="H313" s="27" t="str">
        <f>"8827181031114704"</f>
        <v>8827181031114704</v>
      </c>
      <c r="I313" s="28">
        <v>1411300</v>
      </c>
      <c r="J313" s="4"/>
      <c r="K313" s="10">
        <v>3900</v>
      </c>
      <c r="L313" s="11">
        <f t="shared" si="4"/>
        <v>1407400</v>
      </c>
      <c r="M313" s="6">
        <v>43453</v>
      </c>
      <c r="N313" s="27" t="str">
        <f>"138933"</f>
        <v>138933</v>
      </c>
    </row>
    <row r="314" spans="1:14" ht="15">
      <c r="A314" s="9">
        <v>307</v>
      </c>
      <c r="B314" s="4" t="s">
        <v>20</v>
      </c>
      <c r="C314" s="5" t="s">
        <v>21</v>
      </c>
      <c r="D314" s="27" t="str">
        <f>"2018-12-18 11:27:28"</f>
        <v>2018-12-18 11:27:28</v>
      </c>
      <c r="E314" s="27" t="str">
        <f>"15426158935444338314"</f>
        <v>15426158935444338314</v>
      </c>
      <c r="F314" s="4" t="s">
        <v>22</v>
      </c>
      <c r="G314" s="27" t="str">
        <f>"ARIF SETIAWAN"</f>
        <v>ARIF SETIAWAN</v>
      </c>
      <c r="H314" s="27" t="str">
        <f>"8827181119152404"</f>
        <v>8827181119152404</v>
      </c>
      <c r="I314" s="28">
        <v>1969500</v>
      </c>
      <c r="J314" s="4"/>
      <c r="K314" s="10">
        <v>3900</v>
      </c>
      <c r="L314" s="11">
        <f t="shared" si="4"/>
        <v>1965600</v>
      </c>
      <c r="M314" s="6">
        <v>43453</v>
      </c>
      <c r="N314" s="27" t="str">
        <f>"048648"</f>
        <v>048648</v>
      </c>
    </row>
    <row r="315" spans="1:14" ht="15">
      <c r="A315" s="9">
        <v>308</v>
      </c>
      <c r="B315" s="4" t="s">
        <v>20</v>
      </c>
      <c r="C315" s="5" t="s">
        <v>21</v>
      </c>
      <c r="D315" s="27" t="str">
        <f>"2018-12-18 11:26:40"</f>
        <v>2018-12-18 11:26:40</v>
      </c>
      <c r="E315" s="27" t="str">
        <f>"15411314734908908709"</f>
        <v>15411314734908908709</v>
      </c>
      <c r="F315" s="4" t="s">
        <v>22</v>
      </c>
      <c r="G315" s="27" t="str">
        <f>"septy rizqi santoso putri"</f>
        <v>septy rizqi santoso putri</v>
      </c>
      <c r="H315" s="27" t="str">
        <f>"8827181102110404"</f>
        <v>8827181102110404</v>
      </c>
      <c r="I315" s="28">
        <v>1531400</v>
      </c>
      <c r="J315" s="4"/>
      <c r="K315" s="10">
        <v>3900</v>
      </c>
      <c r="L315" s="11">
        <f t="shared" si="4"/>
        <v>1527500</v>
      </c>
      <c r="M315" s="6">
        <v>43453</v>
      </c>
      <c r="N315" s="27" t="str">
        <f>"036562"</f>
        <v>036562</v>
      </c>
    </row>
    <row r="316" spans="1:14" ht="15">
      <c r="A316" s="9">
        <v>309</v>
      </c>
      <c r="B316" s="4" t="s">
        <v>20</v>
      </c>
      <c r="C316" s="5" t="s">
        <v>21</v>
      </c>
      <c r="D316" s="27" t="str">
        <f>"2018-12-18 11:23:47"</f>
        <v>2018-12-18 11:23:47</v>
      </c>
      <c r="E316" s="27" t="str">
        <f>"15422773368109644610"</f>
        <v>15422773368109644610</v>
      </c>
      <c r="F316" s="4" t="s">
        <v>22</v>
      </c>
      <c r="G316" s="27" t="str">
        <f>"Asi oktarini"</f>
        <v>Asi oktarini</v>
      </c>
      <c r="H316" s="27" t="str">
        <f>"8827181115172202"</f>
        <v>8827181115172202</v>
      </c>
      <c r="I316" s="28">
        <v>1168000</v>
      </c>
      <c r="J316" s="4"/>
      <c r="K316" s="10">
        <v>3900</v>
      </c>
      <c r="L316" s="11">
        <f t="shared" si="4"/>
        <v>1164100</v>
      </c>
      <c r="M316" s="6">
        <v>43453</v>
      </c>
      <c r="N316" s="27" t="str">
        <f>"791439"</f>
        <v>791439</v>
      </c>
    </row>
    <row r="317" spans="1:14" ht="15">
      <c r="A317" s="9">
        <v>310</v>
      </c>
      <c r="B317" s="4" t="s">
        <v>20</v>
      </c>
      <c r="C317" s="5" t="s">
        <v>21</v>
      </c>
      <c r="D317" s="27" t="str">
        <f>"2018-12-18 11:22:58"</f>
        <v>2018-12-18 11:22:58</v>
      </c>
      <c r="E317" s="27" t="str">
        <f>"15426105724652268116"</f>
        <v>15426105724652268116</v>
      </c>
      <c r="F317" s="4" t="s">
        <v>22</v>
      </c>
      <c r="G317" s="27" t="str">
        <f>"melvi roslina sinaga"</f>
        <v>melvi roslina sinaga</v>
      </c>
      <c r="H317" s="27" t="str">
        <f>"8827181119135601"</f>
        <v>8827181119135601</v>
      </c>
      <c r="I317" s="28">
        <v>650000</v>
      </c>
      <c r="J317" s="4"/>
      <c r="K317" s="10">
        <v>3900</v>
      </c>
      <c r="L317" s="11">
        <f t="shared" si="4"/>
        <v>646100</v>
      </c>
      <c r="M317" s="6">
        <v>43453</v>
      </c>
      <c r="N317" s="27" t="str">
        <f>"778786"</f>
        <v>778786</v>
      </c>
    </row>
    <row r="318" spans="1:14" ht="15">
      <c r="A318" s="9">
        <v>311</v>
      </c>
      <c r="B318" s="4" t="s">
        <v>20</v>
      </c>
      <c r="C318" s="5" t="s">
        <v>21</v>
      </c>
      <c r="D318" s="27" t="str">
        <f>"2018-12-18 11:20:21"</f>
        <v>2018-12-18 11:20:21</v>
      </c>
      <c r="E318" s="27" t="str">
        <f>"15427959056405444482"</f>
        <v>15427959056405444482</v>
      </c>
      <c r="F318" s="4" t="s">
        <v>22</v>
      </c>
      <c r="G318" s="27" t="str">
        <f>"Haryo Jati"</f>
        <v>Haryo Jati</v>
      </c>
      <c r="H318" s="27" t="str">
        <f>"8827181121172501"</f>
        <v>8827181121172501</v>
      </c>
      <c r="I318" s="28">
        <v>1585000</v>
      </c>
      <c r="J318" s="4"/>
      <c r="K318" s="10">
        <v>3900</v>
      </c>
      <c r="L318" s="11">
        <f t="shared" si="4"/>
        <v>1581100</v>
      </c>
      <c r="M318" s="6">
        <v>43453</v>
      </c>
      <c r="N318" s="27" t="str">
        <f>"740410"</f>
        <v>740410</v>
      </c>
    </row>
    <row r="319" spans="1:14" ht="15">
      <c r="A319" s="9">
        <v>312</v>
      </c>
      <c r="B319" s="4" t="s">
        <v>20</v>
      </c>
      <c r="C319" s="5" t="s">
        <v>21</v>
      </c>
      <c r="D319" s="27" t="str">
        <f>"2018-12-18 11:19:37"</f>
        <v>2018-12-18 11:19:37</v>
      </c>
      <c r="E319" s="27" t="str">
        <f>"15433814266715513045"</f>
        <v>15433814266715513045</v>
      </c>
      <c r="F319" s="4" t="s">
        <v>22</v>
      </c>
      <c r="G319" s="27" t="str">
        <f>"Dwy Utami"</f>
        <v>Dwy Utami</v>
      </c>
      <c r="H319" s="27" t="str">
        <f>"8827181128120302"</f>
        <v>8827181128120302</v>
      </c>
      <c r="I319" s="28">
        <v>1460000</v>
      </c>
      <c r="J319" s="4"/>
      <c r="K319" s="10">
        <v>3900</v>
      </c>
      <c r="L319" s="11">
        <f t="shared" si="4"/>
        <v>1456100</v>
      </c>
      <c r="M319" s="6">
        <v>43453</v>
      </c>
      <c r="N319" s="27" t="str">
        <f>"729049"</f>
        <v>729049</v>
      </c>
    </row>
    <row r="320" spans="1:14" ht="15">
      <c r="A320" s="9">
        <v>313</v>
      </c>
      <c r="B320" s="4" t="s">
        <v>20</v>
      </c>
      <c r="C320" s="5" t="s">
        <v>21</v>
      </c>
      <c r="D320" s="27" t="str">
        <f>"2018-12-18 11:19:07"</f>
        <v>2018-12-18 11:19:07</v>
      </c>
      <c r="E320" s="27" t="str">
        <f>"15408904599519741606"</f>
        <v>15408904599519741606</v>
      </c>
      <c r="F320" s="4" t="s">
        <v>22</v>
      </c>
      <c r="G320" s="27" t="str">
        <f>"Sari Dewi"</f>
        <v>Sari Dewi</v>
      </c>
      <c r="H320" s="27" t="str">
        <f>"8827181030160709"</f>
        <v>8827181030160709</v>
      </c>
      <c r="I320" s="28">
        <v>1680000</v>
      </c>
      <c r="J320" s="4"/>
      <c r="K320" s="10">
        <v>3900</v>
      </c>
      <c r="L320" s="11">
        <f t="shared" si="4"/>
        <v>1676100</v>
      </c>
      <c r="M320" s="6">
        <v>43453</v>
      </c>
      <c r="N320" s="27" t="str">
        <f>"721526"</f>
        <v>721526</v>
      </c>
    </row>
    <row r="321" spans="1:14" ht="15">
      <c r="A321" s="9">
        <v>314</v>
      </c>
      <c r="B321" s="4" t="s">
        <v>20</v>
      </c>
      <c r="C321" s="5" t="s">
        <v>21</v>
      </c>
      <c r="D321" s="27" t="str">
        <f>"2018-12-18 11:17:56"</f>
        <v>2018-12-18 11:17:56</v>
      </c>
      <c r="E321" s="27" t="str">
        <f>"15409025407671960414"</f>
        <v>15409025407671960414</v>
      </c>
      <c r="F321" s="4" t="s">
        <v>22</v>
      </c>
      <c r="G321" s="27" t="str">
        <f>"FIRDA INDRIYANI"</f>
        <v>FIRDA INDRIYANI</v>
      </c>
      <c r="H321" s="27" t="str">
        <f>"8827181030192901"</f>
        <v>8827181030192901</v>
      </c>
      <c r="I321" s="28">
        <v>1000000</v>
      </c>
      <c r="J321" s="4"/>
      <c r="K321" s="10">
        <v>3900</v>
      </c>
      <c r="L321" s="11">
        <f t="shared" si="4"/>
        <v>996100</v>
      </c>
      <c r="M321" s="6">
        <v>43453</v>
      </c>
      <c r="N321" s="27" t="str">
        <f>"703647"</f>
        <v>703647</v>
      </c>
    </row>
    <row r="322" spans="1:14" ht="15">
      <c r="A322" s="9">
        <v>315</v>
      </c>
      <c r="B322" s="4" t="s">
        <v>20</v>
      </c>
      <c r="C322" s="5" t="s">
        <v>21</v>
      </c>
      <c r="D322" s="27" t="str">
        <f>"2018-12-18 11:16:19"</f>
        <v>2018-12-18 11:16:19</v>
      </c>
      <c r="E322" s="27" t="str">
        <f>"15416655267701208258"</f>
        <v>15416655267701208258</v>
      </c>
      <c r="F322" s="4" t="s">
        <v>22</v>
      </c>
      <c r="G322" s="27" t="str">
        <f>"Aditya Pasha"</f>
        <v>Aditya Pasha</v>
      </c>
      <c r="H322" s="27" t="str">
        <f>"8827181108152503"</f>
        <v>8827181108152503</v>
      </c>
      <c r="I322" s="28">
        <v>1168000</v>
      </c>
      <c r="J322" s="4"/>
      <c r="K322" s="10">
        <v>3900</v>
      </c>
      <c r="L322" s="11">
        <f t="shared" si="4"/>
        <v>1164100</v>
      </c>
      <c r="M322" s="6">
        <v>43453</v>
      </c>
      <c r="N322" s="27" t="str">
        <f>"980818"</f>
        <v>980818</v>
      </c>
    </row>
    <row r="323" spans="1:14" ht="15">
      <c r="A323" s="9">
        <v>316</v>
      </c>
      <c r="B323" s="4" t="s">
        <v>20</v>
      </c>
      <c r="C323" s="5" t="s">
        <v>21</v>
      </c>
      <c r="D323" s="27" t="str">
        <f>"2018-12-18 11:16:07"</f>
        <v>2018-12-18 11:16:07</v>
      </c>
      <c r="E323" s="27" t="str">
        <f>"15409025407671960414"</f>
        <v>15409025407671960414</v>
      </c>
      <c r="F323" s="4" t="s">
        <v>22</v>
      </c>
      <c r="G323" s="27" t="str">
        <f>"FIRDA INDRIYANI"</f>
        <v>FIRDA INDRIYANI</v>
      </c>
      <c r="H323" s="27" t="str">
        <f>"8827181030192901"</f>
        <v>8827181030192901</v>
      </c>
      <c r="I323" s="28">
        <v>118000</v>
      </c>
      <c r="J323" s="4"/>
      <c r="K323" s="10">
        <v>3900</v>
      </c>
      <c r="L323" s="11">
        <f t="shared" si="4"/>
        <v>114100</v>
      </c>
      <c r="M323" s="6">
        <v>43453</v>
      </c>
      <c r="N323" s="27" t="str">
        <f>"673165"</f>
        <v>673165</v>
      </c>
    </row>
    <row r="324" spans="1:14" ht="15">
      <c r="A324" s="9">
        <v>317</v>
      </c>
      <c r="B324" s="4" t="s">
        <v>20</v>
      </c>
      <c r="C324" s="5" t="s">
        <v>21</v>
      </c>
      <c r="D324" s="27" t="str">
        <f>"2018-12-18 11:15:06"</f>
        <v>2018-12-18 11:15:06</v>
      </c>
      <c r="E324" s="27" t="str">
        <f>"15414165611539678733"</f>
        <v>15414165611539678733</v>
      </c>
      <c r="F324" s="4" t="s">
        <v>22</v>
      </c>
      <c r="G324" s="27" t="str">
        <f>"Ginanjar Satriya Mukti"</f>
        <v>Ginanjar Satriya Mukti</v>
      </c>
      <c r="H324" s="27" t="str">
        <f>"8827181105181601"</f>
        <v>8827181105181601</v>
      </c>
      <c r="I324" s="28">
        <v>1590300</v>
      </c>
      <c r="J324" s="4"/>
      <c r="K324" s="10">
        <v>3900</v>
      </c>
      <c r="L324" s="11">
        <f t="shared" si="4"/>
        <v>1586400</v>
      </c>
      <c r="M324" s="6">
        <v>43453</v>
      </c>
      <c r="N324" s="27" t="str">
        <f>"652890"</f>
        <v>652890</v>
      </c>
    </row>
    <row r="325" spans="1:14" ht="15">
      <c r="A325" s="9">
        <v>318</v>
      </c>
      <c r="B325" s="4" t="s">
        <v>20</v>
      </c>
      <c r="C325" s="5" t="s">
        <v>21</v>
      </c>
      <c r="D325" s="27" t="str">
        <f>"2018-12-18 11:12:04"</f>
        <v>2018-12-18 11:12:04</v>
      </c>
      <c r="E325" s="27" t="str">
        <f>"15433732495812748344"</f>
        <v>15433732495812748344</v>
      </c>
      <c r="F325" s="4" t="s">
        <v>22</v>
      </c>
      <c r="G325" s="27" t="str">
        <f>"devina delianty"</f>
        <v>devina delianty</v>
      </c>
      <c r="H325" s="27" t="str">
        <f>"8827181128094701"</f>
        <v>8827181128094701</v>
      </c>
      <c r="I325" s="28">
        <v>1401600</v>
      </c>
      <c r="J325" s="4"/>
      <c r="K325" s="10">
        <v>3900</v>
      </c>
      <c r="L325" s="11">
        <f t="shared" si="4"/>
        <v>1397700</v>
      </c>
      <c r="M325" s="6">
        <v>43453</v>
      </c>
      <c r="N325" s="27" t="str">
        <f>"601863"</f>
        <v>601863</v>
      </c>
    </row>
    <row r="326" spans="1:14" ht="15">
      <c r="A326" s="9">
        <v>319</v>
      </c>
      <c r="B326" s="4" t="s">
        <v>20</v>
      </c>
      <c r="C326" s="5" t="s">
        <v>21</v>
      </c>
      <c r="D326" s="27" t="str">
        <f>"2018-12-18 11:07:18"</f>
        <v>2018-12-18 11:07:18</v>
      </c>
      <c r="E326" s="27" t="str">
        <f>"15408670547575294271"</f>
        <v>15408670547575294271</v>
      </c>
      <c r="F326" s="4" t="s">
        <v>22</v>
      </c>
      <c r="G326" s="27" t="str">
        <f>"kriswan ariyadi"</f>
        <v>kriswan ariyadi</v>
      </c>
      <c r="H326" s="27" t="str">
        <f>"8827181030093704"</f>
        <v>8827181030093704</v>
      </c>
      <c r="I326" s="28">
        <v>1372500</v>
      </c>
      <c r="J326" s="4"/>
      <c r="K326" s="10">
        <v>3900</v>
      </c>
      <c r="L326" s="11">
        <f t="shared" si="4"/>
        <v>1368600</v>
      </c>
      <c r="M326" s="6">
        <v>43453</v>
      </c>
      <c r="N326" s="27" t="str">
        <f>"523887"</f>
        <v>523887</v>
      </c>
    </row>
    <row r="327" spans="1:14" ht="15">
      <c r="A327" s="9">
        <v>320</v>
      </c>
      <c r="B327" s="4" t="s">
        <v>20</v>
      </c>
      <c r="C327" s="5" t="s">
        <v>21</v>
      </c>
      <c r="D327" s="27" t="str">
        <f>"2018-12-18 11:00:11"</f>
        <v>2018-12-18 11:00:11</v>
      </c>
      <c r="E327" s="27" t="str">
        <f>"15422626991141998688"</f>
        <v>15422626991141998688</v>
      </c>
      <c r="F327" s="4" t="s">
        <v>22</v>
      </c>
      <c r="G327" s="27" t="str">
        <f>"A Sri Maryanto"</f>
        <v>A Sri Maryanto</v>
      </c>
      <c r="H327" s="27" t="str">
        <f>"8827181115131801"</f>
        <v>8827181115131801</v>
      </c>
      <c r="I327" s="28">
        <v>1647000</v>
      </c>
      <c r="J327" s="4"/>
      <c r="K327" s="10">
        <v>3900</v>
      </c>
      <c r="L327" s="11">
        <f t="shared" si="4"/>
        <v>1643100</v>
      </c>
      <c r="M327" s="6">
        <v>43453</v>
      </c>
      <c r="N327" s="27" t="str">
        <f>"417785"</f>
        <v>417785</v>
      </c>
    </row>
    <row r="328" spans="1:14" ht="15">
      <c r="A328" s="9">
        <v>321</v>
      </c>
      <c r="B328" s="4" t="s">
        <v>20</v>
      </c>
      <c r="C328" s="5" t="s">
        <v>21</v>
      </c>
      <c r="D328" s="27" t="str">
        <f>"2018-12-18 10:59:22"</f>
        <v>2018-12-18 10:59:22</v>
      </c>
      <c r="E328" s="27" t="str">
        <f>"15416843929105791234"</f>
        <v>15416843929105791234</v>
      </c>
      <c r="F328" s="4" t="s">
        <v>22</v>
      </c>
      <c r="G328" s="27" t="str">
        <f>"HIDAYATUL QADINA"</f>
        <v>HIDAYATUL QADINA</v>
      </c>
      <c r="H328" s="27" t="str">
        <f>"8827181108203903"</f>
        <v>8827181108203903</v>
      </c>
      <c r="I328" s="28">
        <v>1755600</v>
      </c>
      <c r="J328" s="4"/>
      <c r="K328" s="10">
        <v>3900</v>
      </c>
      <c r="L328" s="11">
        <f t="shared" si="4"/>
        <v>1751700</v>
      </c>
      <c r="M328" s="6">
        <v>43453</v>
      </c>
      <c r="N328" s="27" t="str">
        <f>"405137"</f>
        <v>405137</v>
      </c>
    </row>
    <row r="329" spans="1:14" ht="15">
      <c r="A329" s="9">
        <v>322</v>
      </c>
      <c r="B329" s="4" t="s">
        <v>20</v>
      </c>
      <c r="C329" s="5" t="s">
        <v>21</v>
      </c>
      <c r="D329" s="27" t="str">
        <f>"2018-12-18 10:52:31"</f>
        <v>2018-12-18 10:52:31</v>
      </c>
      <c r="E329" s="27" t="str">
        <f>"15408721752751720415"</f>
        <v>15408721752751720415</v>
      </c>
      <c r="F329" s="4" t="s">
        <v>22</v>
      </c>
      <c r="G329" s="27" t="str">
        <f>"yubertus"</f>
        <v>yubertus</v>
      </c>
      <c r="H329" s="27" t="str">
        <f>"8827181030110206"</f>
        <v>8827181030110206</v>
      </c>
      <c r="I329" s="28">
        <v>1813500</v>
      </c>
      <c r="J329" s="4"/>
      <c r="K329" s="10">
        <v>3900</v>
      </c>
      <c r="L329" s="11">
        <f t="shared" ref="L329:L392" si="5">(I329-K329)</f>
        <v>1809600</v>
      </c>
      <c r="M329" s="6">
        <v>43453</v>
      </c>
      <c r="N329" s="27" t="str">
        <f>"295167"</f>
        <v>295167</v>
      </c>
    </row>
    <row r="330" spans="1:14" ht="15">
      <c r="A330" s="9">
        <v>323</v>
      </c>
      <c r="B330" s="4" t="s">
        <v>20</v>
      </c>
      <c r="C330" s="5" t="s">
        <v>21</v>
      </c>
      <c r="D330" s="27" t="str">
        <f>"2018-12-18 10:51:28"</f>
        <v>2018-12-18 10:51:28</v>
      </c>
      <c r="E330" s="27" t="str">
        <f>"15410748494662428038"</f>
        <v>15410748494662428038</v>
      </c>
      <c r="F330" s="4" t="s">
        <v>22</v>
      </c>
      <c r="G330" s="27" t="str">
        <f>"saiful rijal nusu"</f>
        <v>saiful rijal nusu</v>
      </c>
      <c r="H330" s="27" t="str">
        <f>"8827181101192003"</f>
        <v>8827181101192003</v>
      </c>
      <c r="I330" s="28">
        <v>1497500</v>
      </c>
      <c r="J330" s="4"/>
      <c r="K330" s="10">
        <v>3900</v>
      </c>
      <c r="L330" s="11">
        <f t="shared" si="5"/>
        <v>1493600</v>
      </c>
      <c r="M330" s="6">
        <v>43453</v>
      </c>
      <c r="N330" s="27" t="str">
        <f>"967017"</f>
        <v>967017</v>
      </c>
    </row>
    <row r="331" spans="1:14" ht="15">
      <c r="A331" s="9">
        <v>324</v>
      </c>
      <c r="B331" s="4" t="s">
        <v>20</v>
      </c>
      <c r="C331" s="5" t="s">
        <v>21</v>
      </c>
      <c r="D331" s="27" t="str">
        <f>"2018-12-18 10:51:08"</f>
        <v>2018-12-18 10:51:08</v>
      </c>
      <c r="E331" s="27" t="str">
        <f>"15432163740427298641"</f>
        <v>15432163740427298641</v>
      </c>
      <c r="F331" s="4" t="s">
        <v>22</v>
      </c>
      <c r="G331" s="27" t="str">
        <f>"ari hermawati"</f>
        <v>ari hermawati</v>
      </c>
      <c r="H331" s="27" t="str">
        <f>"8827181126141205"</f>
        <v>8827181126141205</v>
      </c>
      <c r="I331" s="28">
        <v>1782000</v>
      </c>
      <c r="J331" s="4"/>
      <c r="K331" s="10">
        <v>3900</v>
      </c>
      <c r="L331" s="11">
        <f t="shared" si="5"/>
        <v>1778100</v>
      </c>
      <c r="M331" s="6">
        <v>43453</v>
      </c>
      <c r="N331" s="27" t="str">
        <f>"270734"</f>
        <v>270734</v>
      </c>
    </row>
    <row r="332" spans="1:14" ht="15">
      <c r="A332" s="9">
        <v>325</v>
      </c>
      <c r="B332" s="4" t="s">
        <v>20</v>
      </c>
      <c r="C332" s="5" t="s">
        <v>21</v>
      </c>
      <c r="D332" s="27" t="str">
        <f>"2018-12-18 10:48:02"</f>
        <v>2018-12-18 10:48:02</v>
      </c>
      <c r="E332" s="27" t="str">
        <f>"15414083494162859390"</f>
        <v>15414083494162859390</v>
      </c>
      <c r="F332" s="4" t="s">
        <v>22</v>
      </c>
      <c r="G332" s="27" t="str">
        <f>"willda br panjaitan"</f>
        <v>willda br panjaitan</v>
      </c>
      <c r="H332" s="27" t="str">
        <f>"8827181105155901"</f>
        <v>8827181105155901</v>
      </c>
      <c r="I332" s="28">
        <v>1782000</v>
      </c>
      <c r="J332" s="4"/>
      <c r="K332" s="10">
        <v>3900</v>
      </c>
      <c r="L332" s="11">
        <f t="shared" si="5"/>
        <v>1778100</v>
      </c>
      <c r="M332" s="6">
        <v>43453</v>
      </c>
      <c r="N332" s="27" t="str">
        <f>"217968"</f>
        <v>217968</v>
      </c>
    </row>
    <row r="333" spans="1:14" ht="15">
      <c r="A333" s="9">
        <v>326</v>
      </c>
      <c r="B333" s="4" t="s">
        <v>20</v>
      </c>
      <c r="C333" s="5" t="s">
        <v>21</v>
      </c>
      <c r="D333" s="27" t="str">
        <f>"2018-12-18 10:46:35"</f>
        <v>2018-12-18 10:46:35</v>
      </c>
      <c r="E333" s="27" t="str">
        <f>"15413669375404683008"</f>
        <v>15413669375404683008</v>
      </c>
      <c r="F333" s="4" t="s">
        <v>22</v>
      </c>
      <c r="G333" s="27" t="str">
        <f>"wanda virginia silanno"</f>
        <v>wanda virginia silanno</v>
      </c>
      <c r="H333" s="27" t="str">
        <f>"8827181105042803"</f>
        <v>8827181105042803</v>
      </c>
      <c r="I333" s="28">
        <v>1295800</v>
      </c>
      <c r="J333" s="4"/>
      <c r="K333" s="10">
        <v>3900</v>
      </c>
      <c r="L333" s="11">
        <f t="shared" si="5"/>
        <v>1291900</v>
      </c>
      <c r="M333" s="6">
        <v>43453</v>
      </c>
      <c r="N333" s="27" t="str">
        <f>"195582"</f>
        <v>195582</v>
      </c>
    </row>
    <row r="334" spans="1:14" ht="15">
      <c r="A334" s="9">
        <v>327</v>
      </c>
      <c r="B334" s="4" t="s">
        <v>20</v>
      </c>
      <c r="C334" s="5" t="s">
        <v>21</v>
      </c>
      <c r="D334" s="27" t="str">
        <f>"2018-12-18 10:45:44"</f>
        <v>2018-12-18 10:45:44</v>
      </c>
      <c r="E334" s="27" t="str">
        <f>"15408066294039608895"</f>
        <v>15408066294039608895</v>
      </c>
      <c r="F334" s="4" t="s">
        <v>22</v>
      </c>
      <c r="G334" s="27" t="str">
        <f>"akhmad fauzi"</f>
        <v>akhmad fauzi</v>
      </c>
      <c r="H334" s="27" t="str">
        <f>"8827181029165003"</f>
        <v>8827181029165003</v>
      </c>
      <c r="I334" s="28">
        <v>1531400</v>
      </c>
      <c r="J334" s="4"/>
      <c r="K334" s="10">
        <v>3900</v>
      </c>
      <c r="L334" s="11">
        <f t="shared" si="5"/>
        <v>1527500</v>
      </c>
      <c r="M334" s="6">
        <v>43453</v>
      </c>
      <c r="N334" s="27" t="str">
        <f>"182704"</f>
        <v>182704</v>
      </c>
    </row>
    <row r="335" spans="1:14" ht="15">
      <c r="A335" s="9">
        <v>328</v>
      </c>
      <c r="B335" s="4" t="s">
        <v>20</v>
      </c>
      <c r="C335" s="5" t="s">
        <v>21</v>
      </c>
      <c r="D335" s="27" t="str">
        <f>"2018-12-18 10:44:15"</f>
        <v>2018-12-18 10:44:15</v>
      </c>
      <c r="E335" s="27" t="str">
        <f>"15414615936604307872"</f>
        <v>15414615936604307872</v>
      </c>
      <c r="F335" s="4" t="s">
        <v>22</v>
      </c>
      <c r="G335" s="27" t="str">
        <f>"nadia fajaryanti"</f>
        <v>nadia fajaryanti</v>
      </c>
      <c r="H335" s="27" t="str">
        <f>"8827181106064601"</f>
        <v>8827181106064601</v>
      </c>
      <c r="I335" s="28">
        <v>1647000</v>
      </c>
      <c r="J335" s="4"/>
      <c r="K335" s="10">
        <v>3900</v>
      </c>
      <c r="L335" s="11">
        <f t="shared" si="5"/>
        <v>1643100</v>
      </c>
      <c r="M335" s="6">
        <v>43453</v>
      </c>
      <c r="N335" s="27" t="str">
        <f>"160922"</f>
        <v>160922</v>
      </c>
    </row>
    <row r="336" spans="1:14" ht="15">
      <c r="A336" s="9">
        <v>329</v>
      </c>
      <c r="B336" s="4" t="s">
        <v>20</v>
      </c>
      <c r="C336" s="5" t="s">
        <v>21</v>
      </c>
      <c r="D336" s="27" t="str">
        <f>"2018-12-18 10:35:57"</f>
        <v>2018-12-18 10:35:57</v>
      </c>
      <c r="E336" s="27" t="str">
        <f>"15411366850374962745"</f>
        <v>15411366850374962745</v>
      </c>
      <c r="F336" s="4" t="s">
        <v>22</v>
      </c>
      <c r="G336" s="27" t="str">
        <f>"Lamtiurma Anastasya Yunianti S"</f>
        <v>Lamtiurma Anastasya Yunianti S</v>
      </c>
      <c r="H336" s="27" t="str">
        <f>"8827181102123105"</f>
        <v>8827181102123105</v>
      </c>
      <c r="I336" s="28">
        <v>1084000</v>
      </c>
      <c r="J336" s="4"/>
      <c r="K336" s="10">
        <v>3900</v>
      </c>
      <c r="L336" s="11">
        <f t="shared" si="5"/>
        <v>1080100</v>
      </c>
      <c r="M336" s="6">
        <v>43453</v>
      </c>
      <c r="N336" s="27" t="str">
        <f>"034933"</f>
        <v>034933</v>
      </c>
    </row>
    <row r="337" spans="1:14" ht="15">
      <c r="A337" s="9">
        <v>330</v>
      </c>
      <c r="B337" s="4" t="s">
        <v>20</v>
      </c>
      <c r="C337" s="5" t="s">
        <v>21</v>
      </c>
      <c r="D337" s="27" t="str">
        <f>"2018-12-18 10:32:45"</f>
        <v>2018-12-18 10:32:45</v>
      </c>
      <c r="E337" s="27" t="str">
        <f>"15420246767607595718"</f>
        <v>15420246767607595718</v>
      </c>
      <c r="F337" s="4" t="s">
        <v>22</v>
      </c>
      <c r="G337" s="27" t="str">
        <f>"citha ratih kusumadewi"</f>
        <v>citha ratih kusumadewi</v>
      </c>
      <c r="H337" s="27" t="str">
        <f>"8827181112191102"</f>
        <v>8827181112191102</v>
      </c>
      <c r="I337" s="28">
        <v>1660500</v>
      </c>
      <c r="J337" s="4"/>
      <c r="K337" s="10">
        <v>3900</v>
      </c>
      <c r="L337" s="11">
        <f t="shared" si="5"/>
        <v>1656600</v>
      </c>
      <c r="M337" s="6">
        <v>43453</v>
      </c>
      <c r="N337" s="27" t="str">
        <f>"786892"</f>
        <v>786892</v>
      </c>
    </row>
    <row r="338" spans="1:14" ht="15">
      <c r="A338" s="9">
        <v>331</v>
      </c>
      <c r="B338" s="4" t="s">
        <v>20</v>
      </c>
      <c r="C338" s="5" t="s">
        <v>21</v>
      </c>
      <c r="D338" s="27" t="str">
        <f>"2018-12-18 10:30:40"</f>
        <v>2018-12-18 10:30:40</v>
      </c>
      <c r="E338" s="27" t="str">
        <f>"15411246411341635825"</f>
        <v>15411246411341635825</v>
      </c>
      <c r="F338" s="4" t="s">
        <v>22</v>
      </c>
      <c r="G338" s="27" t="str">
        <f>"imam ariyanto"</f>
        <v>imam ariyanto</v>
      </c>
      <c r="H338" s="27" t="str">
        <f>"8827181102091005"</f>
        <v>8827181102091005</v>
      </c>
      <c r="I338" s="28">
        <v>1692000</v>
      </c>
      <c r="J338" s="4"/>
      <c r="K338" s="10">
        <v>3900</v>
      </c>
      <c r="L338" s="11">
        <f t="shared" si="5"/>
        <v>1688100</v>
      </c>
      <c r="M338" s="6">
        <v>43453</v>
      </c>
      <c r="N338" s="27" t="str">
        <f>"955486"</f>
        <v>955486</v>
      </c>
    </row>
    <row r="339" spans="1:14" ht="15">
      <c r="A339" s="9">
        <v>332</v>
      </c>
      <c r="B339" s="4" t="s">
        <v>20</v>
      </c>
      <c r="C339" s="5" t="s">
        <v>21</v>
      </c>
      <c r="D339" s="27" t="str">
        <f>"2018-12-18 10:28:43"</f>
        <v>2018-12-18 10:28:43</v>
      </c>
      <c r="E339" s="27" t="str">
        <f>"15412817367419402275"</f>
        <v>15412817367419402275</v>
      </c>
      <c r="F339" s="4" t="s">
        <v>22</v>
      </c>
      <c r="G339" s="27" t="str">
        <f>"Arinald Syarif Gobel"</f>
        <v>Arinald Syarif Gobel</v>
      </c>
      <c r="H339" s="27" t="str">
        <f>"8827181104044802"</f>
        <v>8827181104044802</v>
      </c>
      <c r="I339" s="28">
        <v>1752000</v>
      </c>
      <c r="J339" s="4"/>
      <c r="K339" s="10">
        <v>3900</v>
      </c>
      <c r="L339" s="11">
        <f t="shared" si="5"/>
        <v>1748100</v>
      </c>
      <c r="M339" s="6">
        <v>43453</v>
      </c>
      <c r="N339" s="27" t="str">
        <f>"724279"</f>
        <v>724279</v>
      </c>
    </row>
    <row r="340" spans="1:14" ht="15">
      <c r="A340" s="9">
        <v>333</v>
      </c>
      <c r="B340" s="4" t="s">
        <v>20</v>
      </c>
      <c r="C340" s="5" t="s">
        <v>21</v>
      </c>
      <c r="D340" s="27" t="str">
        <f>"2018-12-18 10:24:01"</f>
        <v>2018-12-18 10:24:01</v>
      </c>
      <c r="E340" s="27" t="str">
        <f>"15413029896788767755"</f>
        <v>15413029896788767755</v>
      </c>
      <c r="F340" s="4" t="s">
        <v>22</v>
      </c>
      <c r="G340" s="27" t="str">
        <f>"chaerunnisa"</f>
        <v>chaerunnisa</v>
      </c>
      <c r="H340" s="27" t="str">
        <f>"8827181104104301"</f>
        <v>8827181104104301</v>
      </c>
      <c r="I340" s="28">
        <v>1752000</v>
      </c>
      <c r="J340" s="4"/>
      <c r="K340" s="10">
        <v>3900</v>
      </c>
      <c r="L340" s="11">
        <f t="shared" si="5"/>
        <v>1748100</v>
      </c>
      <c r="M340" s="6">
        <v>43453</v>
      </c>
      <c r="N340" s="27" t="str">
        <f>"636244"</f>
        <v>636244</v>
      </c>
    </row>
    <row r="341" spans="1:14" ht="15">
      <c r="A341" s="9">
        <v>334</v>
      </c>
      <c r="B341" s="4" t="s">
        <v>20</v>
      </c>
      <c r="C341" s="5" t="s">
        <v>21</v>
      </c>
      <c r="D341" s="27" t="str">
        <f>"2018-12-18 10:20:37"</f>
        <v>2018-12-18 10:20:37</v>
      </c>
      <c r="E341" s="27" t="str">
        <f>"15411456309183953817"</f>
        <v>15411456309183953817</v>
      </c>
      <c r="F341" s="4" t="s">
        <v>22</v>
      </c>
      <c r="G341" s="27" t="str">
        <f>"rais"</f>
        <v>rais</v>
      </c>
      <c r="H341" s="27" t="str">
        <f>"8827181102150004"</f>
        <v>8827181102150004</v>
      </c>
      <c r="I341" s="28">
        <v>1902000</v>
      </c>
      <c r="J341" s="4"/>
      <c r="K341" s="10">
        <v>3900</v>
      </c>
      <c r="L341" s="11">
        <f t="shared" si="5"/>
        <v>1898100</v>
      </c>
      <c r="M341" s="6">
        <v>43453</v>
      </c>
      <c r="N341" s="27" t="str">
        <f>"584623"</f>
        <v>584623</v>
      </c>
    </row>
    <row r="342" spans="1:14" ht="15">
      <c r="A342" s="9">
        <v>335</v>
      </c>
      <c r="B342" s="4" t="s">
        <v>20</v>
      </c>
      <c r="C342" s="5" t="s">
        <v>21</v>
      </c>
      <c r="D342" s="27" t="str">
        <f>"2018-12-18 10:15:37"</f>
        <v>2018-12-18 10:15:37</v>
      </c>
      <c r="E342" s="27" t="str">
        <f>"15418544919363316789"</f>
        <v>15418544919363316789</v>
      </c>
      <c r="F342" s="4" t="s">
        <v>22</v>
      </c>
      <c r="G342" s="27" t="str">
        <f>"lesti yanitasari"</f>
        <v>lesti yanitasari</v>
      </c>
      <c r="H342" s="27" t="str">
        <f>"8827181110195402"</f>
        <v>8827181110195402</v>
      </c>
      <c r="I342" s="28">
        <v>1692000</v>
      </c>
      <c r="J342" s="4"/>
      <c r="K342" s="10">
        <v>3900</v>
      </c>
      <c r="L342" s="11">
        <f t="shared" si="5"/>
        <v>1688100</v>
      </c>
      <c r="M342" s="6">
        <v>43453</v>
      </c>
      <c r="N342" s="27" t="str">
        <f>"947200"</f>
        <v>947200</v>
      </c>
    </row>
    <row r="343" spans="1:14" ht="15">
      <c r="A343" s="9">
        <v>336</v>
      </c>
      <c r="B343" s="4" t="s">
        <v>20</v>
      </c>
      <c r="C343" s="5" t="s">
        <v>21</v>
      </c>
      <c r="D343" s="27" t="str">
        <f>"2018-12-18 10:14:04"</f>
        <v>2018-12-18 10:14:04</v>
      </c>
      <c r="E343" s="27" t="str">
        <f>"15431508714242843438"</f>
        <v>15431508714242843438</v>
      </c>
      <c r="F343" s="4" t="s">
        <v>22</v>
      </c>
      <c r="G343" s="27" t="str">
        <f>"Ely Ermawati"</f>
        <v>Ely Ermawati</v>
      </c>
      <c r="H343" s="27" t="str">
        <f>"8827181125200101"</f>
        <v>8827181125200101</v>
      </c>
      <c r="I343" s="28">
        <v>1636500</v>
      </c>
      <c r="J343" s="4"/>
      <c r="K343" s="10">
        <v>3900</v>
      </c>
      <c r="L343" s="11">
        <f t="shared" si="5"/>
        <v>1632600</v>
      </c>
      <c r="M343" s="6">
        <v>43453</v>
      </c>
      <c r="N343" s="27" t="str">
        <f>"484917"</f>
        <v>484917</v>
      </c>
    </row>
    <row r="344" spans="1:14" ht="15">
      <c r="A344" s="9">
        <v>337</v>
      </c>
      <c r="B344" s="4" t="s">
        <v>20</v>
      </c>
      <c r="C344" s="5" t="s">
        <v>21</v>
      </c>
      <c r="D344" s="27" t="str">
        <f>"2018-12-18 10:11:01"</f>
        <v>2018-12-18 10:11:01</v>
      </c>
      <c r="E344" s="27" t="str">
        <f>"15410758235766994681"</f>
        <v>15410758235766994681</v>
      </c>
      <c r="F344" s="4" t="s">
        <v>22</v>
      </c>
      <c r="G344" s="27" t="str">
        <f>"Alfrits Pitherson Rondonuwu"</f>
        <v>Alfrits Pitherson Rondonuwu</v>
      </c>
      <c r="H344" s="27" t="str">
        <f>"8827181101193704"</f>
        <v>8827181101193704</v>
      </c>
      <c r="I344" s="28">
        <v>1648400</v>
      </c>
      <c r="J344" s="4"/>
      <c r="K344" s="10">
        <v>3900</v>
      </c>
      <c r="L344" s="11">
        <f t="shared" si="5"/>
        <v>1644500</v>
      </c>
      <c r="M344" s="6">
        <v>43453</v>
      </c>
      <c r="N344" s="27" t="str">
        <f>"944509"</f>
        <v>944509</v>
      </c>
    </row>
    <row r="345" spans="1:14" ht="15">
      <c r="A345" s="9">
        <v>338</v>
      </c>
      <c r="B345" s="4" t="s">
        <v>20</v>
      </c>
      <c r="C345" s="5" t="s">
        <v>21</v>
      </c>
      <c r="D345" s="27" t="str">
        <f>"2018-12-18 10:10:46"</f>
        <v>2018-12-18 10:10:46</v>
      </c>
      <c r="E345" s="27" t="str">
        <f>"15425979731457910958"</f>
        <v>15425979731457910958</v>
      </c>
      <c r="F345" s="4" t="s">
        <v>22</v>
      </c>
      <c r="G345" s="27" t="str">
        <f>"ICHWANDI. R"</f>
        <v>ICHWANDI. R</v>
      </c>
      <c r="H345" s="27" t="str">
        <f>"8827181119102609"</f>
        <v>8827181119102609</v>
      </c>
      <c r="I345" s="28">
        <v>1168000</v>
      </c>
      <c r="J345" s="4"/>
      <c r="K345" s="10">
        <v>3900</v>
      </c>
      <c r="L345" s="11">
        <f t="shared" si="5"/>
        <v>1164100</v>
      </c>
      <c r="M345" s="6">
        <v>43453</v>
      </c>
      <c r="N345" s="27" t="str">
        <f>"433968"</f>
        <v>433968</v>
      </c>
    </row>
    <row r="346" spans="1:14" ht="15">
      <c r="A346" s="9">
        <v>339</v>
      </c>
      <c r="B346" s="4" t="s">
        <v>20</v>
      </c>
      <c r="C346" s="5" t="s">
        <v>21</v>
      </c>
      <c r="D346" s="27" t="str">
        <f>"2018-12-18 10:01:51"</f>
        <v>2018-12-18 10:01:51</v>
      </c>
      <c r="E346" s="27" t="str">
        <f>"15419043179245369106"</f>
        <v>15419043179245369106</v>
      </c>
      <c r="F346" s="4" t="s">
        <v>22</v>
      </c>
      <c r="G346" s="27" t="str">
        <f>"darulia"</f>
        <v>darulia</v>
      </c>
      <c r="H346" s="27" t="str">
        <f>"8827181111094503"</f>
        <v>8827181111094503</v>
      </c>
      <c r="I346" s="28">
        <v>1704000</v>
      </c>
      <c r="J346" s="4"/>
      <c r="K346" s="10">
        <v>3900</v>
      </c>
      <c r="L346" s="11">
        <f t="shared" si="5"/>
        <v>1700100</v>
      </c>
      <c r="M346" s="6">
        <v>43453</v>
      </c>
      <c r="N346" s="27" t="str">
        <f>"273888"</f>
        <v>273888</v>
      </c>
    </row>
    <row r="347" spans="1:14" ht="15">
      <c r="A347" s="9">
        <v>340</v>
      </c>
      <c r="B347" s="4" t="s">
        <v>20</v>
      </c>
      <c r="C347" s="5" t="s">
        <v>21</v>
      </c>
      <c r="D347" s="27" t="str">
        <f>"2018-12-18 10:01:44"</f>
        <v>2018-12-18 10:01:44</v>
      </c>
      <c r="E347" s="27" t="str">
        <f>"15407980102656573096"</f>
        <v>15407980102656573096</v>
      </c>
      <c r="F347" s="4" t="s">
        <v>22</v>
      </c>
      <c r="G347" s="27" t="str">
        <f>"Meilani Kartika Sinaga"</f>
        <v>Meilani Kartika Sinaga</v>
      </c>
      <c r="H347" s="27" t="str">
        <f>"8827181029142607"</f>
        <v>8827181029142607</v>
      </c>
      <c r="I347" s="28">
        <v>1317600</v>
      </c>
      <c r="J347" s="4"/>
      <c r="K347" s="10">
        <v>3900</v>
      </c>
      <c r="L347" s="11">
        <f t="shared" si="5"/>
        <v>1313700</v>
      </c>
      <c r="M347" s="6">
        <v>43453</v>
      </c>
      <c r="N347" s="27" t="str">
        <f>"939536"</f>
        <v>939536</v>
      </c>
    </row>
    <row r="348" spans="1:14" ht="15">
      <c r="A348" s="9">
        <v>341</v>
      </c>
      <c r="B348" s="4" t="s">
        <v>20</v>
      </c>
      <c r="C348" s="5" t="s">
        <v>21</v>
      </c>
      <c r="D348" s="27" t="str">
        <f>"2018-12-18 09:58:46"</f>
        <v>2018-12-18 09:58:46</v>
      </c>
      <c r="E348" s="27" t="str">
        <f>"15429393510275318039"</f>
        <v>15429393510275318039</v>
      </c>
      <c r="F348" s="4" t="s">
        <v>22</v>
      </c>
      <c r="G348" s="27" t="str">
        <f>"Farizi herwin saputra"</f>
        <v>Farizi herwin saputra</v>
      </c>
      <c r="H348" s="27" t="str">
        <f>"8827181123091501"</f>
        <v>8827181123091501</v>
      </c>
      <c r="I348" s="28">
        <v>524500</v>
      </c>
      <c r="J348" s="4"/>
      <c r="K348" s="10">
        <v>3900</v>
      </c>
      <c r="L348" s="11">
        <f t="shared" si="5"/>
        <v>520600</v>
      </c>
      <c r="M348" s="6">
        <v>43453</v>
      </c>
      <c r="N348" s="27" t="str">
        <f>"223413"</f>
        <v>223413</v>
      </c>
    </row>
    <row r="349" spans="1:14" ht="15">
      <c r="A349" s="9">
        <v>342</v>
      </c>
      <c r="B349" s="4" t="s">
        <v>20</v>
      </c>
      <c r="C349" s="5" t="s">
        <v>21</v>
      </c>
      <c r="D349" s="27" t="str">
        <f>"2018-12-18 09:58:36"</f>
        <v>2018-12-18 09:58:36</v>
      </c>
      <c r="E349" s="27" t="str">
        <f>"15421680754169474718"</f>
        <v>15421680754169474718</v>
      </c>
      <c r="F349" s="4" t="s">
        <v>22</v>
      </c>
      <c r="G349" s="27" t="str">
        <f>"marhadi"</f>
        <v>marhadi</v>
      </c>
      <c r="H349" s="27" t="str">
        <f>"8827181114110104"</f>
        <v>8827181114110104</v>
      </c>
      <c r="I349" s="28">
        <v>1343200</v>
      </c>
      <c r="J349" s="4"/>
      <c r="K349" s="10">
        <v>3900</v>
      </c>
      <c r="L349" s="11">
        <f t="shared" si="5"/>
        <v>1339300</v>
      </c>
      <c r="M349" s="6">
        <v>43453</v>
      </c>
      <c r="N349" s="27" t="str">
        <f>"220766"</f>
        <v>220766</v>
      </c>
    </row>
    <row r="350" spans="1:14" ht="15">
      <c r="A350" s="9">
        <v>343</v>
      </c>
      <c r="B350" s="4" t="s">
        <v>20</v>
      </c>
      <c r="C350" s="5" t="s">
        <v>21</v>
      </c>
      <c r="D350" s="27" t="str">
        <f>"2018-12-18 09:58:26"</f>
        <v>2018-12-18 09:58:26</v>
      </c>
      <c r="E350" s="27" t="str">
        <f>"15445358257188929579"</f>
        <v>15445358257188929579</v>
      </c>
      <c r="F350" s="4" t="s">
        <v>22</v>
      </c>
      <c r="G350" s="27" t="str">
        <f>"Abdul Fattah"</f>
        <v>Abdul Fattah</v>
      </c>
      <c r="H350" s="27" t="str">
        <f>"8827181211204301"</f>
        <v>8827181211204301</v>
      </c>
      <c r="I350" s="28">
        <v>1584000</v>
      </c>
      <c r="J350" s="4"/>
      <c r="K350" s="10">
        <v>3900</v>
      </c>
      <c r="L350" s="11">
        <f t="shared" si="5"/>
        <v>1580100</v>
      </c>
      <c r="M350" s="6">
        <v>43453</v>
      </c>
      <c r="N350" s="27" t="str">
        <f>"218185"</f>
        <v>218185</v>
      </c>
    </row>
    <row r="351" spans="1:14" ht="15">
      <c r="A351" s="9">
        <v>344</v>
      </c>
      <c r="B351" s="4" t="s">
        <v>20</v>
      </c>
      <c r="C351" s="5" t="s">
        <v>21</v>
      </c>
      <c r="D351" s="27" t="str">
        <f>"2018-12-18 09:57:36"</f>
        <v>2018-12-18 09:57:36</v>
      </c>
      <c r="E351" s="27" t="str">
        <f>"15425056192469148968"</f>
        <v>15425056192469148968</v>
      </c>
      <c r="F351" s="4" t="s">
        <v>22</v>
      </c>
      <c r="G351" s="27" t="str">
        <f>"Dana Sopiana"</f>
        <v>Dana Sopiana</v>
      </c>
      <c r="H351" s="27" t="str">
        <f>"8827181118084602"</f>
        <v>8827181118084602</v>
      </c>
      <c r="I351" s="28">
        <v>603900</v>
      </c>
      <c r="J351" s="4"/>
      <c r="K351" s="10">
        <v>3900</v>
      </c>
      <c r="L351" s="11">
        <f t="shared" si="5"/>
        <v>600000</v>
      </c>
      <c r="M351" s="6">
        <v>43453</v>
      </c>
      <c r="N351" s="27" t="str">
        <f>"203768"</f>
        <v>203768</v>
      </c>
    </row>
    <row r="352" spans="1:14" ht="15">
      <c r="A352" s="9">
        <v>345</v>
      </c>
      <c r="B352" s="4" t="s">
        <v>20</v>
      </c>
      <c r="C352" s="5" t="s">
        <v>21</v>
      </c>
      <c r="D352" s="27" t="str">
        <f>"2018-12-18 09:57:02"</f>
        <v>2018-12-18 09:57:02</v>
      </c>
      <c r="E352" s="27" t="str">
        <f>"15408010486348645172"</f>
        <v>15408010486348645172</v>
      </c>
      <c r="F352" s="4" t="s">
        <v>22</v>
      </c>
      <c r="G352" s="27" t="str">
        <f>"Veni Masruchah Fibriyanti"</f>
        <v>Veni Masruchah Fibriyanti</v>
      </c>
      <c r="H352" s="27" t="str">
        <f>"8827181029151702"</f>
        <v>8827181029151702</v>
      </c>
      <c r="I352" s="28">
        <v>1630500</v>
      </c>
      <c r="J352" s="4"/>
      <c r="K352" s="10">
        <v>3900</v>
      </c>
      <c r="L352" s="11">
        <f t="shared" si="5"/>
        <v>1626600</v>
      </c>
      <c r="M352" s="6">
        <v>43453</v>
      </c>
      <c r="N352" s="27" t="str">
        <f>"193875"</f>
        <v>193875</v>
      </c>
    </row>
    <row r="353" spans="1:14" ht="15">
      <c r="A353" s="9">
        <v>346</v>
      </c>
      <c r="B353" s="4" t="s">
        <v>20</v>
      </c>
      <c r="C353" s="5" t="s">
        <v>21</v>
      </c>
      <c r="D353" s="27" t="str">
        <f>"2018-12-18 09:56:13"</f>
        <v>2018-12-18 09:56:13</v>
      </c>
      <c r="E353" s="27" t="str">
        <f>"15421878834148894895"</f>
        <v>15421878834148894895</v>
      </c>
      <c r="F353" s="4" t="s">
        <v>22</v>
      </c>
      <c r="G353" s="27" t="str">
        <f>"KARNAWINATA MAHADI"</f>
        <v>KARNAWINATA MAHADI</v>
      </c>
      <c r="H353" s="27" t="str">
        <f>"8827181114163103"</f>
        <v>8827181114163103</v>
      </c>
      <c r="I353" s="28">
        <v>300000</v>
      </c>
      <c r="J353" s="4"/>
      <c r="K353" s="10">
        <v>3900</v>
      </c>
      <c r="L353" s="11">
        <f t="shared" si="5"/>
        <v>296100</v>
      </c>
      <c r="M353" s="6">
        <v>43453</v>
      </c>
      <c r="N353" s="27" t="str">
        <f>"181449"</f>
        <v>181449</v>
      </c>
    </row>
    <row r="354" spans="1:14" ht="15">
      <c r="A354" s="9">
        <v>347</v>
      </c>
      <c r="B354" s="4" t="s">
        <v>20</v>
      </c>
      <c r="C354" s="5" t="s">
        <v>21</v>
      </c>
      <c r="D354" s="27" t="str">
        <f>"2018-12-18 09:53:20"</f>
        <v>2018-12-18 09:53:20</v>
      </c>
      <c r="E354" s="27" t="str">
        <f>"15409558614252692475"</f>
        <v>15409558614252692475</v>
      </c>
      <c r="F354" s="4" t="s">
        <v>22</v>
      </c>
      <c r="G354" s="27" t="str">
        <f>"Mohammad Iqbal"</f>
        <v>Mohammad Iqbal</v>
      </c>
      <c r="H354" s="27" t="str">
        <f>"8827181031101704"</f>
        <v>8827181031101704</v>
      </c>
      <c r="I354" s="28">
        <v>1647000</v>
      </c>
      <c r="J354" s="4"/>
      <c r="K354" s="10">
        <v>3900</v>
      </c>
      <c r="L354" s="11">
        <f t="shared" si="5"/>
        <v>1643100</v>
      </c>
      <c r="M354" s="6">
        <v>43453</v>
      </c>
      <c r="N354" s="27" t="str">
        <f>"135055"</f>
        <v>135055</v>
      </c>
    </row>
    <row r="355" spans="1:14" ht="15">
      <c r="A355" s="9">
        <v>348</v>
      </c>
      <c r="B355" s="4" t="s">
        <v>20</v>
      </c>
      <c r="C355" s="5" t="s">
        <v>21</v>
      </c>
      <c r="D355" s="27" t="str">
        <f>"2018-12-18 09:52:32"</f>
        <v>2018-12-18 09:52:32</v>
      </c>
      <c r="E355" s="27" t="str">
        <f>"15425973681025704043"</f>
        <v>15425973681025704043</v>
      </c>
      <c r="F355" s="4" t="s">
        <v>22</v>
      </c>
      <c r="G355" s="27" t="str">
        <f>"DINURI PUTRA DESKALA"</f>
        <v>DINURI PUTRA DESKALA</v>
      </c>
      <c r="H355" s="27" t="str">
        <f>"8827181119101601"</f>
        <v>8827181119101601</v>
      </c>
      <c r="I355" s="28">
        <v>1313000</v>
      </c>
      <c r="J355" s="4"/>
      <c r="K355" s="10">
        <v>3900</v>
      </c>
      <c r="L355" s="11">
        <f t="shared" si="5"/>
        <v>1309100</v>
      </c>
      <c r="M355" s="6">
        <v>43453</v>
      </c>
      <c r="N355" s="27" t="str">
        <f>"122952"</f>
        <v>122952</v>
      </c>
    </row>
    <row r="356" spans="1:14" ht="15">
      <c r="A356" s="9">
        <v>349</v>
      </c>
      <c r="B356" s="4" t="s">
        <v>20</v>
      </c>
      <c r="C356" s="5" t="s">
        <v>21</v>
      </c>
      <c r="D356" s="27" t="str">
        <f>"2018-12-18 09:52:16"</f>
        <v>2018-12-18 09:52:16</v>
      </c>
      <c r="E356" s="27" t="str">
        <f>"15420785283946051328"</f>
        <v>15420785283946051328</v>
      </c>
      <c r="F356" s="4" t="s">
        <v>22</v>
      </c>
      <c r="G356" s="27" t="str">
        <f>"m. yusuf"</f>
        <v>m. yusuf</v>
      </c>
      <c r="H356" s="27" t="str">
        <f>"8827181113100805"</f>
        <v>8827181113100805</v>
      </c>
      <c r="I356" s="28">
        <v>531500</v>
      </c>
      <c r="J356" s="4"/>
      <c r="K356" s="10">
        <v>3900</v>
      </c>
      <c r="L356" s="11">
        <f t="shared" si="5"/>
        <v>527600</v>
      </c>
      <c r="M356" s="6">
        <v>43453</v>
      </c>
      <c r="N356" s="27" t="str">
        <f>"118768"</f>
        <v>118768</v>
      </c>
    </row>
    <row r="357" spans="1:14" ht="15">
      <c r="A357" s="9">
        <v>350</v>
      </c>
      <c r="B357" s="4" t="s">
        <v>20</v>
      </c>
      <c r="C357" s="5" t="s">
        <v>21</v>
      </c>
      <c r="D357" s="27" t="str">
        <f>"2018-12-18 09:51:19"</f>
        <v>2018-12-18 09:51:19</v>
      </c>
      <c r="E357" s="27" t="str">
        <f>"15408849812551072213"</f>
        <v>15408849812551072213</v>
      </c>
      <c r="F357" s="4" t="s">
        <v>22</v>
      </c>
      <c r="G357" s="27" t="str">
        <f>"yusuf setia adi nugroho"</f>
        <v>yusuf setia adi nugroho</v>
      </c>
      <c r="H357" s="27" t="str">
        <f>"8827181030143603"</f>
        <v>8827181030143603</v>
      </c>
      <c r="I357" s="28">
        <v>524500</v>
      </c>
      <c r="J357" s="4"/>
      <c r="K357" s="10">
        <v>3900</v>
      </c>
      <c r="L357" s="11">
        <f t="shared" si="5"/>
        <v>520600</v>
      </c>
      <c r="M357" s="6">
        <v>43453</v>
      </c>
      <c r="N357" s="27" t="str">
        <f>"104771"</f>
        <v>104771</v>
      </c>
    </row>
    <row r="358" spans="1:14" ht="15">
      <c r="A358" s="9">
        <v>351</v>
      </c>
      <c r="B358" s="4" t="s">
        <v>20</v>
      </c>
      <c r="C358" s="5" t="s">
        <v>21</v>
      </c>
      <c r="D358" s="27" t="str">
        <f>"2018-12-18 09:46:17"</f>
        <v>2018-12-18 09:46:17</v>
      </c>
      <c r="E358" s="27" t="str">
        <f>"15411618098463139857"</f>
        <v>15411618098463139857</v>
      </c>
      <c r="F358" s="4" t="s">
        <v>22</v>
      </c>
      <c r="G358" s="27" t="str">
        <f>"elen fredika setiawan"</f>
        <v>elen fredika setiawan</v>
      </c>
      <c r="H358" s="27" t="str">
        <f>"8827181102193001"</f>
        <v>8827181102193001</v>
      </c>
      <c r="I358" s="28">
        <v>1752000</v>
      </c>
      <c r="J358" s="4"/>
      <c r="K358" s="10">
        <v>3900</v>
      </c>
      <c r="L358" s="11">
        <f t="shared" si="5"/>
        <v>1748100</v>
      </c>
      <c r="M358" s="6">
        <v>43453</v>
      </c>
      <c r="N358" s="27" t="str">
        <f>"028396"</f>
        <v>028396</v>
      </c>
    </row>
    <row r="359" spans="1:14" ht="15">
      <c r="A359" s="9">
        <v>352</v>
      </c>
      <c r="B359" s="4" t="s">
        <v>20</v>
      </c>
      <c r="C359" s="5" t="s">
        <v>21</v>
      </c>
      <c r="D359" s="27" t="str">
        <f>"2018-12-18 09:39:27"</f>
        <v>2018-12-18 09:39:27</v>
      </c>
      <c r="E359" s="27" t="str">
        <f>"15425947770372585455"</f>
        <v>15425947770372585455</v>
      </c>
      <c r="F359" s="4" t="s">
        <v>22</v>
      </c>
      <c r="G359" s="27" t="str">
        <f>"Ade Rosmanah"</f>
        <v>Ade Rosmanah</v>
      </c>
      <c r="H359" s="27" t="str">
        <f>"8827181119093202"</f>
        <v>8827181119093202</v>
      </c>
      <c r="I359" s="28">
        <v>1168000</v>
      </c>
      <c r="J359" s="4"/>
      <c r="K359" s="10">
        <v>3900</v>
      </c>
      <c r="L359" s="11">
        <f t="shared" si="5"/>
        <v>1164100</v>
      </c>
      <c r="M359" s="6">
        <v>43453</v>
      </c>
      <c r="N359" s="27" t="str">
        <f>"709789"</f>
        <v>709789</v>
      </c>
    </row>
    <row r="360" spans="1:14" ht="15">
      <c r="A360" s="9">
        <v>353</v>
      </c>
      <c r="B360" s="4" t="s">
        <v>20</v>
      </c>
      <c r="C360" s="5" t="s">
        <v>21</v>
      </c>
      <c r="D360" s="27" t="str">
        <f>"2018-12-18 09:31:18"</f>
        <v>2018-12-18 09:31:18</v>
      </c>
      <c r="E360" s="27" t="str">
        <f>"15433001239216044243"</f>
        <v>15433001239216044243</v>
      </c>
      <c r="F360" s="4" t="s">
        <v>22</v>
      </c>
      <c r="G360" s="27" t="str">
        <f>"fitri nursari"</f>
        <v>fitri nursari</v>
      </c>
      <c r="H360" s="27" t="str">
        <f>"8827181127132801"</f>
        <v>8827181127132801</v>
      </c>
      <c r="I360" s="28">
        <v>1535000</v>
      </c>
      <c r="J360" s="4"/>
      <c r="K360" s="10">
        <v>3900</v>
      </c>
      <c r="L360" s="11">
        <f t="shared" si="5"/>
        <v>1531100</v>
      </c>
      <c r="M360" s="6">
        <v>43453</v>
      </c>
      <c r="N360" s="27" t="str">
        <f>"576650"</f>
        <v>576650</v>
      </c>
    </row>
    <row r="361" spans="1:14" ht="15">
      <c r="A361" s="9">
        <v>354</v>
      </c>
      <c r="B361" s="4" t="s">
        <v>20</v>
      </c>
      <c r="C361" s="5" t="s">
        <v>21</v>
      </c>
      <c r="D361" s="27" t="str">
        <f>"2018-12-18 09:27:51"</f>
        <v>2018-12-18 09:27:51</v>
      </c>
      <c r="E361" s="27" t="str">
        <f>"15422554611784461028"</f>
        <v>15422554611784461028</v>
      </c>
      <c r="F361" s="4" t="s">
        <v>22</v>
      </c>
      <c r="G361" s="27" t="str">
        <f>"ulfah"</f>
        <v>ulfah</v>
      </c>
      <c r="H361" s="27" t="str">
        <f>"8827181115111704"</f>
        <v>8827181115111704</v>
      </c>
      <c r="I361" s="28">
        <v>668000</v>
      </c>
      <c r="J361" s="4"/>
      <c r="K361" s="10">
        <v>3900</v>
      </c>
      <c r="L361" s="11">
        <f t="shared" si="5"/>
        <v>664100</v>
      </c>
      <c r="M361" s="6">
        <v>43453</v>
      </c>
      <c r="N361" s="27" t="str">
        <f>"519042"</f>
        <v>519042</v>
      </c>
    </row>
    <row r="362" spans="1:14" ht="15">
      <c r="A362" s="9">
        <v>355</v>
      </c>
      <c r="B362" s="4" t="s">
        <v>20</v>
      </c>
      <c r="C362" s="5" t="s">
        <v>21</v>
      </c>
      <c r="D362" s="27" t="str">
        <f>"2018-12-18 09:26:44"</f>
        <v>2018-12-18 09:26:44</v>
      </c>
      <c r="E362" s="27" t="str">
        <f>"15406892419699664961"</f>
        <v>15406892419699664961</v>
      </c>
      <c r="F362" s="4" t="s">
        <v>22</v>
      </c>
      <c r="G362" s="27" t="str">
        <f>"Bonan Apriawan"</f>
        <v>Bonan Apriawan</v>
      </c>
      <c r="H362" s="27" t="str">
        <f>"8827181028081401"</f>
        <v>8827181028081401</v>
      </c>
      <c r="I362" s="28">
        <v>1615500</v>
      </c>
      <c r="J362" s="4"/>
      <c r="K362" s="10">
        <v>3900</v>
      </c>
      <c r="L362" s="11">
        <f t="shared" si="5"/>
        <v>1611600</v>
      </c>
      <c r="M362" s="6">
        <v>43453</v>
      </c>
      <c r="N362" s="27" t="str">
        <f>"500341"</f>
        <v>500341</v>
      </c>
    </row>
    <row r="363" spans="1:14" ht="15">
      <c r="A363" s="9">
        <v>356</v>
      </c>
      <c r="B363" s="4" t="s">
        <v>20</v>
      </c>
      <c r="C363" s="5" t="s">
        <v>21</v>
      </c>
      <c r="D363" s="27" t="str">
        <f>"2018-12-18 09:23:08"</f>
        <v>2018-12-18 09:23:08</v>
      </c>
      <c r="E363" s="27" t="str">
        <f>"15434595728141294631"</f>
        <v>15434595728141294631</v>
      </c>
      <c r="F363" s="4" t="s">
        <v>22</v>
      </c>
      <c r="G363" s="27" t="str">
        <f>"nella septyani suade"</f>
        <v>nella septyani suade</v>
      </c>
      <c r="H363" s="27" t="str">
        <f>"8827181129094603"</f>
        <v>8827181129094603</v>
      </c>
      <c r="I363" s="28">
        <v>855400</v>
      </c>
      <c r="J363" s="4"/>
      <c r="K363" s="10">
        <v>3900</v>
      </c>
      <c r="L363" s="11">
        <f t="shared" si="5"/>
        <v>851500</v>
      </c>
      <c r="M363" s="6">
        <v>43453</v>
      </c>
      <c r="N363" s="27" t="str">
        <f>"437072"</f>
        <v>437072</v>
      </c>
    </row>
    <row r="364" spans="1:14" ht="15">
      <c r="A364" s="9">
        <v>357</v>
      </c>
      <c r="B364" s="4" t="s">
        <v>20</v>
      </c>
      <c r="C364" s="5" t="s">
        <v>21</v>
      </c>
      <c r="D364" s="27" t="str">
        <f>"2018-12-18 09:20:06"</f>
        <v>2018-12-18 09:20:06</v>
      </c>
      <c r="E364" s="27" t="str">
        <f>"15412221035693449460"</f>
        <v>15412221035693449460</v>
      </c>
      <c r="F364" s="4" t="s">
        <v>22</v>
      </c>
      <c r="G364" s="27" t="str">
        <f>"erick daniel"</f>
        <v>erick daniel</v>
      </c>
      <c r="H364" s="27" t="str">
        <f>"8827181103121502"</f>
        <v>8827181103121502</v>
      </c>
      <c r="I364" s="28">
        <v>1708300</v>
      </c>
      <c r="J364" s="4"/>
      <c r="K364" s="10">
        <v>3900</v>
      </c>
      <c r="L364" s="11">
        <f t="shared" si="5"/>
        <v>1704400</v>
      </c>
      <c r="M364" s="6">
        <v>43453</v>
      </c>
      <c r="N364" s="27" t="str">
        <f>"385997"</f>
        <v>385997</v>
      </c>
    </row>
    <row r="365" spans="1:14" ht="15">
      <c r="A365" s="9">
        <v>358</v>
      </c>
      <c r="B365" s="4" t="s">
        <v>20</v>
      </c>
      <c r="C365" s="5" t="s">
        <v>21</v>
      </c>
      <c r="D365" s="27" t="str">
        <f>"2018-12-18 09:19:19"</f>
        <v>2018-12-18 09:19:19</v>
      </c>
      <c r="E365" s="27" t="str">
        <f>"15441770733644680167"</f>
        <v>15441770733644680167</v>
      </c>
      <c r="F365" s="4" t="s">
        <v>22</v>
      </c>
      <c r="G365" s="27" t="str">
        <f>"Isa Maisa"</f>
        <v>Isa Maisa</v>
      </c>
      <c r="H365" s="27" t="str">
        <f>"8827181207170401"</f>
        <v>8827181207170401</v>
      </c>
      <c r="I365" s="28">
        <v>815250</v>
      </c>
      <c r="J365" s="4"/>
      <c r="K365" s="10">
        <v>3900</v>
      </c>
      <c r="L365" s="11">
        <f t="shared" si="5"/>
        <v>811350</v>
      </c>
      <c r="M365" s="6">
        <v>43453</v>
      </c>
      <c r="N365" s="27" t="str">
        <f>"372218"</f>
        <v>372218</v>
      </c>
    </row>
    <row r="366" spans="1:14" ht="15">
      <c r="A366" s="9">
        <v>359</v>
      </c>
      <c r="B366" s="4" t="s">
        <v>20</v>
      </c>
      <c r="C366" s="5" t="s">
        <v>21</v>
      </c>
      <c r="D366" s="27" t="str">
        <f>"2018-12-18 09:18:09"</f>
        <v>2018-12-18 09:18:09</v>
      </c>
      <c r="E366" s="27" t="str">
        <f>"15421785203352538266"</f>
        <v>15421785203352538266</v>
      </c>
      <c r="F366" s="4" t="s">
        <v>22</v>
      </c>
      <c r="G366" s="27" t="str">
        <f>"Ricki pratama saputro"</f>
        <v>Ricki pratama saputro</v>
      </c>
      <c r="H366" s="27" t="str">
        <f>"8827181114135501"</f>
        <v>8827181114135501</v>
      </c>
      <c r="I366" s="28">
        <v>1111000</v>
      </c>
      <c r="J366" s="4"/>
      <c r="K366" s="10">
        <v>3900</v>
      </c>
      <c r="L366" s="11">
        <f t="shared" si="5"/>
        <v>1107100</v>
      </c>
      <c r="M366" s="6">
        <v>43453</v>
      </c>
      <c r="N366" s="27" t="str">
        <f>"347350"</f>
        <v>347350</v>
      </c>
    </row>
    <row r="367" spans="1:14" ht="15">
      <c r="A367" s="9">
        <v>360</v>
      </c>
      <c r="B367" s="4" t="s">
        <v>20</v>
      </c>
      <c r="C367" s="5" t="s">
        <v>21</v>
      </c>
      <c r="D367" s="27" t="str">
        <f>"2018-12-18 09:17:50"</f>
        <v>2018-12-18 09:17:50</v>
      </c>
      <c r="E367" s="27" t="str">
        <f>"15407971254807470974"</f>
        <v>15407971254807470974</v>
      </c>
      <c r="F367" s="4" t="s">
        <v>22</v>
      </c>
      <c r="G367" s="27" t="str">
        <f>"heri hendrawan"</f>
        <v>heri hendrawan</v>
      </c>
      <c r="H367" s="27" t="str">
        <f>"8827181029141201"</f>
        <v>8827181029141201</v>
      </c>
      <c r="I367" s="28">
        <v>1992000</v>
      </c>
      <c r="J367" s="4"/>
      <c r="K367" s="10">
        <v>3900</v>
      </c>
      <c r="L367" s="11">
        <f t="shared" si="5"/>
        <v>1988100</v>
      </c>
      <c r="M367" s="6">
        <v>43453</v>
      </c>
      <c r="N367" s="27" t="str">
        <f>"340524"</f>
        <v>340524</v>
      </c>
    </row>
    <row r="368" spans="1:14" ht="15">
      <c r="A368" s="9">
        <v>361</v>
      </c>
      <c r="B368" s="4" t="s">
        <v>20</v>
      </c>
      <c r="C368" s="5" t="s">
        <v>21</v>
      </c>
      <c r="D368" s="27" t="str">
        <f>"2018-12-18 09:13:59"</f>
        <v>2018-12-18 09:13:59</v>
      </c>
      <c r="E368" s="27" t="str">
        <f>"15433537485875122937"</f>
        <v>15433537485875122937</v>
      </c>
      <c r="F368" s="4" t="s">
        <v>22</v>
      </c>
      <c r="G368" s="27" t="str">
        <f>"dedy sulaeman"</f>
        <v>dedy sulaeman</v>
      </c>
      <c r="H368" s="27" t="str">
        <f>"8827181128042201"</f>
        <v>8827181128042201</v>
      </c>
      <c r="I368" s="28">
        <v>1518400</v>
      </c>
      <c r="J368" s="4"/>
      <c r="K368" s="10">
        <v>3900</v>
      </c>
      <c r="L368" s="11">
        <f t="shared" si="5"/>
        <v>1514500</v>
      </c>
      <c r="M368" s="6">
        <v>43453</v>
      </c>
      <c r="N368" s="27" t="str">
        <f>"273352"</f>
        <v>273352</v>
      </c>
    </row>
    <row r="369" spans="1:14" ht="15">
      <c r="A369" s="9">
        <v>362</v>
      </c>
      <c r="B369" s="4" t="s">
        <v>20</v>
      </c>
      <c r="C369" s="5" t="s">
        <v>21</v>
      </c>
      <c r="D369" s="27" t="str">
        <f>"2018-12-18 09:10:34"</f>
        <v>2018-12-18 09:10:34</v>
      </c>
      <c r="E369" s="27" t="str">
        <f>"15425622274301400225"</f>
        <v>15425622274301400225</v>
      </c>
      <c r="F369" s="4" t="s">
        <v>22</v>
      </c>
      <c r="G369" s="27" t="str">
        <f>"Ignatius Ardiyanto"</f>
        <v>Ignatius Ardiyanto</v>
      </c>
      <c r="H369" s="27" t="str">
        <f>"8827181119003001"</f>
        <v>8827181119003001</v>
      </c>
      <c r="I369" s="28">
        <v>1969500</v>
      </c>
      <c r="J369" s="4"/>
      <c r="K369" s="10">
        <v>3900</v>
      </c>
      <c r="L369" s="11">
        <f t="shared" si="5"/>
        <v>1965600</v>
      </c>
      <c r="M369" s="6">
        <v>43453</v>
      </c>
      <c r="N369" s="27" t="str">
        <f>"216816"</f>
        <v>216816</v>
      </c>
    </row>
    <row r="370" spans="1:14" ht="15">
      <c r="A370" s="9">
        <v>363</v>
      </c>
      <c r="B370" s="4" t="s">
        <v>20</v>
      </c>
      <c r="C370" s="5" t="s">
        <v>21</v>
      </c>
      <c r="D370" s="27" t="str">
        <f>"2018-12-18 09:07:50"</f>
        <v>2018-12-18 09:07:50</v>
      </c>
      <c r="E370" s="27" t="str">
        <f>"15408067832754471055"</f>
        <v>15408067832754471055</v>
      </c>
      <c r="F370" s="4" t="s">
        <v>22</v>
      </c>
      <c r="G370" s="27" t="str">
        <f>"Dais Anastrida"</f>
        <v>Dais Anastrida</v>
      </c>
      <c r="H370" s="27" t="str">
        <f>"8827181029165302"</f>
        <v>8827181029165302</v>
      </c>
      <c r="I370" s="28">
        <v>965600</v>
      </c>
      <c r="J370" s="4"/>
      <c r="K370" s="10">
        <v>3900</v>
      </c>
      <c r="L370" s="11">
        <f t="shared" si="5"/>
        <v>961700</v>
      </c>
      <c r="M370" s="6">
        <v>43453</v>
      </c>
      <c r="N370" s="27" t="str">
        <f>"169145"</f>
        <v>169145</v>
      </c>
    </row>
    <row r="371" spans="1:14" ht="15">
      <c r="A371" s="9">
        <v>364</v>
      </c>
      <c r="B371" s="4" t="s">
        <v>20</v>
      </c>
      <c r="C371" s="5" t="s">
        <v>21</v>
      </c>
      <c r="D371" s="27" t="str">
        <f>"2018-12-18 09:07:15"</f>
        <v>2018-12-18 09:07:15</v>
      </c>
      <c r="E371" s="27" t="str">
        <f>"15417259629041374413"</f>
        <v>15417259629041374413</v>
      </c>
      <c r="F371" s="4" t="s">
        <v>22</v>
      </c>
      <c r="G371" s="27" t="str">
        <f>"Rhesma Anggraeni"</f>
        <v>Rhesma Anggraeni</v>
      </c>
      <c r="H371" s="27" t="str">
        <f>"8827181109081203"</f>
        <v>8827181109081203</v>
      </c>
      <c r="I371" s="28">
        <v>1752000</v>
      </c>
      <c r="J371" s="4"/>
      <c r="K371" s="10">
        <v>3900</v>
      </c>
      <c r="L371" s="11">
        <f t="shared" si="5"/>
        <v>1748100</v>
      </c>
      <c r="M371" s="6">
        <v>43453</v>
      </c>
      <c r="N371" s="27" t="str">
        <f>"159457"</f>
        <v>159457</v>
      </c>
    </row>
    <row r="372" spans="1:14" ht="15">
      <c r="A372" s="9">
        <v>365</v>
      </c>
      <c r="B372" s="4" t="s">
        <v>20</v>
      </c>
      <c r="C372" s="5" t="s">
        <v>21</v>
      </c>
      <c r="D372" s="27" t="str">
        <f>"2018-12-18 09:02:30"</f>
        <v>2018-12-18 09:02:30</v>
      </c>
      <c r="E372" s="27" t="str">
        <f>"15407977879868994850"</f>
        <v>15407977879868994850</v>
      </c>
      <c r="F372" s="4" t="s">
        <v>22</v>
      </c>
      <c r="G372" s="27" t="str">
        <f>"Grace cilya novia"</f>
        <v>Grace cilya novia</v>
      </c>
      <c r="H372" s="27" t="str">
        <f>"8827181029142302"</f>
        <v>8827181029142302</v>
      </c>
      <c r="I372" s="28">
        <v>1797000</v>
      </c>
      <c r="J372" s="4"/>
      <c r="K372" s="10">
        <v>3900</v>
      </c>
      <c r="L372" s="11">
        <f t="shared" si="5"/>
        <v>1793100</v>
      </c>
      <c r="M372" s="6">
        <v>43453</v>
      </c>
      <c r="N372" s="27" t="str">
        <f>"074406"</f>
        <v>074406</v>
      </c>
    </row>
    <row r="373" spans="1:14" ht="15">
      <c r="A373" s="9">
        <v>366</v>
      </c>
      <c r="B373" s="4" t="s">
        <v>20</v>
      </c>
      <c r="C373" s="5" t="s">
        <v>21</v>
      </c>
      <c r="D373" s="27" t="str">
        <f>"2018-12-18 09:00:56"</f>
        <v>2018-12-18 09:00:56</v>
      </c>
      <c r="E373" s="27" t="str">
        <f>"15413230626272353392"</f>
        <v>15413230626272353392</v>
      </c>
      <c r="F373" s="4" t="s">
        <v>22</v>
      </c>
      <c r="G373" s="27" t="str">
        <f>"Priest Andy P M"</f>
        <v>Priest Andy P M</v>
      </c>
      <c r="H373" s="27" t="str">
        <f>"8827181104161703"</f>
        <v>8827181104161703</v>
      </c>
      <c r="I373" s="28">
        <v>1372500</v>
      </c>
      <c r="J373" s="4"/>
      <c r="K373" s="10">
        <v>3900</v>
      </c>
      <c r="L373" s="11">
        <f t="shared" si="5"/>
        <v>1368600</v>
      </c>
      <c r="M373" s="6">
        <v>43453</v>
      </c>
      <c r="N373" s="27" t="str">
        <f>"042752"</f>
        <v>042752</v>
      </c>
    </row>
    <row r="374" spans="1:14" ht="15">
      <c r="A374" s="9">
        <v>367</v>
      </c>
      <c r="B374" s="4" t="s">
        <v>20</v>
      </c>
      <c r="C374" s="5" t="s">
        <v>21</v>
      </c>
      <c r="D374" s="27" t="str">
        <f>"2018-12-18 08:52:51"</f>
        <v>2018-12-18 08:52:51</v>
      </c>
      <c r="E374" s="27" t="str">
        <f>"15414117673434366363"</f>
        <v>15414117673434366363</v>
      </c>
      <c r="F374" s="4" t="s">
        <v>22</v>
      </c>
      <c r="G374" s="27" t="str">
        <f>"Novi Yanti"</f>
        <v>Novi Yanti</v>
      </c>
      <c r="H374" s="27" t="str">
        <f>"8827181105165602"</f>
        <v>8827181105165602</v>
      </c>
      <c r="I374" s="28">
        <v>1508000</v>
      </c>
      <c r="J374" s="4"/>
      <c r="K374" s="10">
        <v>3900</v>
      </c>
      <c r="L374" s="11">
        <f t="shared" si="5"/>
        <v>1504100</v>
      </c>
      <c r="M374" s="6">
        <v>43453</v>
      </c>
      <c r="N374" s="27" t="str">
        <f>"702006"</f>
        <v>702006</v>
      </c>
    </row>
    <row r="375" spans="1:14" ht="15">
      <c r="A375" s="9">
        <v>368</v>
      </c>
      <c r="B375" s="4" t="s">
        <v>20</v>
      </c>
      <c r="C375" s="5" t="s">
        <v>21</v>
      </c>
      <c r="D375" s="27" t="str">
        <f>"2018-12-18 08:49:58"</f>
        <v>2018-12-18 08:49:58</v>
      </c>
      <c r="E375" s="27" t="str">
        <f>"15406857011571237398"</f>
        <v>15406857011571237398</v>
      </c>
      <c r="F375" s="4" t="s">
        <v>22</v>
      </c>
      <c r="G375" s="27" t="str">
        <f>"Alfi Mardiyahnur Ramadanti"</f>
        <v>Alfi Mardiyahnur Ramadanti</v>
      </c>
      <c r="H375" s="27" t="str">
        <f>"8827181028071501"</f>
        <v>8827181028071501</v>
      </c>
      <c r="I375" s="28">
        <v>1797000</v>
      </c>
      <c r="J375" s="4"/>
      <c r="K375" s="10">
        <v>3900</v>
      </c>
      <c r="L375" s="11">
        <f t="shared" si="5"/>
        <v>1793100</v>
      </c>
      <c r="M375" s="6">
        <v>43453</v>
      </c>
      <c r="N375" s="27" t="str">
        <f>"900310"</f>
        <v>900310</v>
      </c>
    </row>
    <row r="376" spans="1:14" ht="15">
      <c r="A376" s="9">
        <v>369</v>
      </c>
      <c r="B376" s="4" t="s">
        <v>20</v>
      </c>
      <c r="C376" s="5" t="s">
        <v>21</v>
      </c>
      <c r="D376" s="27" t="str">
        <f>"2018-12-18 08:43:02"</f>
        <v>2018-12-18 08:43:02</v>
      </c>
      <c r="E376" s="27" t="str">
        <f>"15428555836176107931"</f>
        <v>15428555836176107931</v>
      </c>
      <c r="F376" s="4" t="s">
        <v>22</v>
      </c>
      <c r="G376" s="27" t="str">
        <f>"dewi astuti"</f>
        <v>dewi astuti</v>
      </c>
      <c r="H376" s="27" t="str">
        <f>"8827181122095903"</f>
        <v>8827181122095903</v>
      </c>
      <c r="I376" s="28">
        <v>1021000</v>
      </c>
      <c r="J376" s="4"/>
      <c r="K376" s="10">
        <v>3900</v>
      </c>
      <c r="L376" s="11">
        <f t="shared" si="5"/>
        <v>1017100</v>
      </c>
      <c r="M376" s="6">
        <v>43453</v>
      </c>
      <c r="N376" s="27" t="str">
        <f>"535645"</f>
        <v>535645</v>
      </c>
    </row>
    <row r="377" spans="1:14" ht="15">
      <c r="A377" s="9">
        <v>370</v>
      </c>
      <c r="B377" s="4" t="s">
        <v>20</v>
      </c>
      <c r="C377" s="5" t="s">
        <v>21</v>
      </c>
      <c r="D377" s="27" t="str">
        <f>"2018-12-18 08:37:12"</f>
        <v>2018-12-18 08:37:12</v>
      </c>
      <c r="E377" s="27" t="str">
        <f>"15408880863623344694"</f>
        <v>15408880863623344694</v>
      </c>
      <c r="F377" s="4" t="s">
        <v>22</v>
      </c>
      <c r="G377" s="27" t="str">
        <f>"thelma T lawere"</f>
        <v>thelma T lawere</v>
      </c>
      <c r="H377" s="27" t="str">
        <f>"8827181030152801"</f>
        <v>8827181030152801</v>
      </c>
      <c r="I377" s="28">
        <v>1334300</v>
      </c>
      <c r="J377" s="4"/>
      <c r="K377" s="10">
        <v>3900</v>
      </c>
      <c r="L377" s="11">
        <f t="shared" si="5"/>
        <v>1330400</v>
      </c>
      <c r="M377" s="6">
        <v>43453</v>
      </c>
      <c r="N377" s="27" t="str">
        <f>"442598"</f>
        <v>442598</v>
      </c>
    </row>
    <row r="378" spans="1:14" ht="15">
      <c r="A378" s="9">
        <v>371</v>
      </c>
      <c r="B378" s="4" t="s">
        <v>20</v>
      </c>
      <c r="C378" s="5" t="s">
        <v>21</v>
      </c>
      <c r="D378" s="27" t="str">
        <f>"2018-12-18 08:33:28"</f>
        <v>2018-12-18 08:33:28</v>
      </c>
      <c r="E378" s="27" t="str">
        <f>"15440690394578904286"</f>
        <v>15440690394578904286</v>
      </c>
      <c r="F378" s="4" t="s">
        <v>22</v>
      </c>
      <c r="G378" s="27" t="str">
        <f>"aulia putri shofani"</f>
        <v>aulia putri shofani</v>
      </c>
      <c r="H378" s="27" t="str">
        <f>"8827181206110301"</f>
        <v>8827181206110301</v>
      </c>
      <c r="I378" s="28">
        <v>830250</v>
      </c>
      <c r="J378" s="4"/>
      <c r="K378" s="10">
        <v>3900</v>
      </c>
      <c r="L378" s="11">
        <f t="shared" si="5"/>
        <v>826350</v>
      </c>
      <c r="M378" s="6">
        <v>43453</v>
      </c>
      <c r="N378" s="27" t="str">
        <f>"385992"</f>
        <v>385992</v>
      </c>
    </row>
    <row r="379" spans="1:14" ht="15">
      <c r="A379" s="9">
        <v>372</v>
      </c>
      <c r="B379" s="4" t="s">
        <v>20</v>
      </c>
      <c r="C379" s="5" t="s">
        <v>21</v>
      </c>
      <c r="D379" s="27" t="str">
        <f>"2018-12-18 08:33:01"</f>
        <v>2018-12-18 08:33:01</v>
      </c>
      <c r="E379" s="27" t="str">
        <f>"15408540099969979337"</f>
        <v>15408540099969979337</v>
      </c>
      <c r="F379" s="4" t="s">
        <v>22</v>
      </c>
      <c r="G379" s="27" t="str">
        <f>"Sigit irawan"</f>
        <v>Sigit irawan</v>
      </c>
      <c r="H379" s="27" t="str">
        <f>"8827181030060001"</f>
        <v>8827181030060001</v>
      </c>
      <c r="I379" s="28">
        <v>1150800</v>
      </c>
      <c r="J379" s="4"/>
      <c r="K379" s="10">
        <v>3900</v>
      </c>
      <c r="L379" s="11">
        <f t="shared" si="5"/>
        <v>1146900</v>
      </c>
      <c r="M379" s="6">
        <v>43453</v>
      </c>
      <c r="N379" s="27" t="str">
        <f>"379386"</f>
        <v>379386</v>
      </c>
    </row>
    <row r="380" spans="1:14" ht="15">
      <c r="A380" s="9">
        <v>373</v>
      </c>
      <c r="B380" s="4" t="s">
        <v>20</v>
      </c>
      <c r="C380" s="5" t="s">
        <v>21</v>
      </c>
      <c r="D380" s="27" t="str">
        <f>"2018-12-18 08:31:24"</f>
        <v>2018-12-18 08:31:24</v>
      </c>
      <c r="E380" s="27" t="str">
        <f>"15434597040992958177"</f>
        <v>15434597040992958177</v>
      </c>
      <c r="F380" s="4" t="s">
        <v>22</v>
      </c>
      <c r="G380" s="27" t="str">
        <f>"Mochammad Dimas Aliefiananta"</f>
        <v>Mochammad Dimas Aliefiananta</v>
      </c>
      <c r="H380" s="27" t="str">
        <f>"8827181129094801"</f>
        <v>8827181129094801</v>
      </c>
      <c r="I380" s="28">
        <v>1153900</v>
      </c>
      <c r="J380" s="4"/>
      <c r="K380" s="10">
        <v>3900</v>
      </c>
      <c r="L380" s="11">
        <f t="shared" si="5"/>
        <v>1150000</v>
      </c>
      <c r="M380" s="6">
        <v>43453</v>
      </c>
      <c r="N380" s="27" t="str">
        <f>"990505"</f>
        <v>990505</v>
      </c>
    </row>
    <row r="381" spans="1:14" ht="15">
      <c r="A381" s="9">
        <v>374</v>
      </c>
      <c r="B381" s="4" t="s">
        <v>20</v>
      </c>
      <c r="C381" s="5" t="s">
        <v>21</v>
      </c>
      <c r="D381" s="27" t="str">
        <f>"2018-12-18 08:28:09"</f>
        <v>2018-12-18 08:28:09</v>
      </c>
      <c r="E381" s="27" t="str">
        <f>"15415702416953240396"</f>
        <v>15415702416953240396</v>
      </c>
      <c r="F381" s="4" t="s">
        <v>22</v>
      </c>
      <c r="G381" s="27" t="str">
        <f>"holifah"</f>
        <v>holifah</v>
      </c>
      <c r="H381" s="27" t="str">
        <f>"8827181107125702"</f>
        <v>8827181107125702</v>
      </c>
      <c r="I381" s="28">
        <v>1376100</v>
      </c>
      <c r="J381" s="4"/>
      <c r="K381" s="10">
        <v>3900</v>
      </c>
      <c r="L381" s="11">
        <f t="shared" si="5"/>
        <v>1372200</v>
      </c>
      <c r="M381" s="6">
        <v>43453</v>
      </c>
      <c r="N381" s="27" t="str">
        <f>"304812"</f>
        <v>304812</v>
      </c>
    </row>
    <row r="382" spans="1:14" ht="15">
      <c r="A382" s="9">
        <v>375</v>
      </c>
      <c r="B382" s="4" t="s">
        <v>20</v>
      </c>
      <c r="C382" s="5" t="s">
        <v>21</v>
      </c>
      <c r="D382" s="27" t="str">
        <f>"2018-12-18 08:25:53"</f>
        <v>2018-12-18 08:25:53</v>
      </c>
      <c r="E382" s="27" t="str">
        <f>"15416848063256861014"</f>
        <v>15416848063256861014</v>
      </c>
      <c r="F382" s="4" t="s">
        <v>22</v>
      </c>
      <c r="G382" s="27" t="str">
        <f>"Cahaya shinta sundari"</f>
        <v>Cahaya shinta sundari</v>
      </c>
      <c r="H382" s="27" t="str">
        <f>"8827181108204606"</f>
        <v>8827181108204606</v>
      </c>
      <c r="I382" s="28">
        <v>1636500</v>
      </c>
      <c r="J382" s="4"/>
      <c r="K382" s="10">
        <v>3900</v>
      </c>
      <c r="L382" s="11">
        <f t="shared" si="5"/>
        <v>1632600</v>
      </c>
      <c r="M382" s="6">
        <v>43453</v>
      </c>
      <c r="N382" s="27" t="str">
        <f>"263944"</f>
        <v>263944</v>
      </c>
    </row>
    <row r="383" spans="1:14" ht="15">
      <c r="A383" s="9">
        <v>376</v>
      </c>
      <c r="B383" s="4" t="s">
        <v>20</v>
      </c>
      <c r="C383" s="5" t="s">
        <v>21</v>
      </c>
      <c r="D383" s="27" t="str">
        <f>"2018-12-18 08:21:26"</f>
        <v>2018-12-18 08:21:26</v>
      </c>
      <c r="E383" s="27" t="str">
        <f>"15438869709948299977"</f>
        <v>15438869709948299977</v>
      </c>
      <c r="F383" s="4" t="s">
        <v>22</v>
      </c>
      <c r="G383" s="27" t="str">
        <f>"nurfadilla."</f>
        <v>nurfadilla.</v>
      </c>
      <c r="H383" s="27" t="str">
        <f>"8827181204082902"</f>
        <v>8827181204082902</v>
      </c>
      <c r="I383" s="28">
        <v>997200</v>
      </c>
      <c r="J383" s="4"/>
      <c r="K383" s="10">
        <v>3900</v>
      </c>
      <c r="L383" s="11">
        <f t="shared" si="5"/>
        <v>993300</v>
      </c>
      <c r="M383" s="6">
        <v>43453</v>
      </c>
      <c r="N383" s="27" t="str">
        <f>"188166"</f>
        <v>188166</v>
      </c>
    </row>
    <row r="384" spans="1:14" ht="15">
      <c r="A384" s="9">
        <v>377</v>
      </c>
      <c r="B384" s="4" t="s">
        <v>20</v>
      </c>
      <c r="C384" s="5" t="s">
        <v>21</v>
      </c>
      <c r="D384" s="27" t="str">
        <f>"2018-12-18 08:19:43"</f>
        <v>2018-12-18 08:19:43</v>
      </c>
      <c r="E384" s="27" t="str">
        <f>"15421117699224770597"</f>
        <v>15421117699224770597</v>
      </c>
      <c r="F384" s="4" t="s">
        <v>22</v>
      </c>
      <c r="G384" s="27" t="str">
        <f>"ARIANI RATNA NINGTYASTUTI"</f>
        <v>ARIANI RATNA NINGTYASTUTI</v>
      </c>
      <c r="H384" s="27" t="str">
        <f>"8827181113192202"</f>
        <v>8827181113192202</v>
      </c>
      <c r="I384" s="28">
        <v>1716000</v>
      </c>
      <c r="J384" s="4"/>
      <c r="K384" s="10">
        <v>3900</v>
      </c>
      <c r="L384" s="11">
        <f t="shared" si="5"/>
        <v>1712100</v>
      </c>
      <c r="M384" s="6">
        <v>43453</v>
      </c>
      <c r="N384" s="27" t="str">
        <f>"984989"</f>
        <v>984989</v>
      </c>
    </row>
    <row r="385" spans="1:14" ht="15">
      <c r="A385" s="9">
        <v>378</v>
      </c>
      <c r="B385" s="4" t="s">
        <v>20</v>
      </c>
      <c r="C385" s="5" t="s">
        <v>21</v>
      </c>
      <c r="D385" s="27" t="str">
        <f>"2018-12-18 08:18:06"</f>
        <v>2018-12-18 08:18:06</v>
      </c>
      <c r="E385" s="27" t="str">
        <f>"15417475550352730940"</f>
        <v>15417475550352730940</v>
      </c>
      <c r="F385" s="4" t="s">
        <v>22</v>
      </c>
      <c r="G385" s="27" t="str">
        <f>"esa pratama arya dinata"</f>
        <v>esa pratama arya dinata</v>
      </c>
      <c r="H385" s="27" t="str">
        <f>"8827181109141206"</f>
        <v>8827181109141206</v>
      </c>
      <c r="I385" s="28">
        <v>1782000</v>
      </c>
      <c r="J385" s="4"/>
      <c r="K385" s="10">
        <v>3900</v>
      </c>
      <c r="L385" s="11">
        <f t="shared" si="5"/>
        <v>1778100</v>
      </c>
      <c r="M385" s="6">
        <v>43453</v>
      </c>
      <c r="N385" s="27" t="str">
        <f>"134141"</f>
        <v>134141</v>
      </c>
    </row>
    <row r="386" spans="1:14" ht="15">
      <c r="A386" s="9">
        <v>379</v>
      </c>
      <c r="B386" s="4" t="s">
        <v>20</v>
      </c>
      <c r="C386" s="5" t="s">
        <v>21</v>
      </c>
      <c r="D386" s="27" t="str">
        <f>"2018-12-18 08:17:45"</f>
        <v>2018-12-18 08:17:45</v>
      </c>
      <c r="E386" s="27" t="str">
        <f>"15450286282054021907"</f>
        <v>15450286282054021907</v>
      </c>
      <c r="F386" s="4" t="s">
        <v>22</v>
      </c>
      <c r="G386" s="27" t="str">
        <f>"achmad farhan kamil"</f>
        <v>achmad farhan kamil</v>
      </c>
      <c r="H386" s="27" t="str">
        <f>"8827181217133701"</f>
        <v>8827181217133701</v>
      </c>
      <c r="I386" s="28">
        <v>503500</v>
      </c>
      <c r="J386" s="4"/>
      <c r="K386" s="10">
        <v>3900</v>
      </c>
      <c r="L386" s="11">
        <f t="shared" si="5"/>
        <v>499600</v>
      </c>
      <c r="M386" s="6">
        <v>43453</v>
      </c>
      <c r="N386" s="27" t="str">
        <f>"127721"</f>
        <v>127721</v>
      </c>
    </row>
    <row r="387" spans="1:14" ht="15">
      <c r="A387" s="9">
        <v>380</v>
      </c>
      <c r="B387" s="4" t="s">
        <v>20</v>
      </c>
      <c r="C387" s="5" t="s">
        <v>21</v>
      </c>
      <c r="D387" s="27" t="str">
        <f>"2018-12-18 08:17:45"</f>
        <v>2018-12-18 08:17:45</v>
      </c>
      <c r="E387" s="27" t="str">
        <f>"15414840755348499161"</f>
        <v>15414840755348499161</v>
      </c>
      <c r="F387" s="4" t="s">
        <v>22</v>
      </c>
      <c r="G387" s="27" t="str">
        <f>"dedy putra"</f>
        <v>dedy putra</v>
      </c>
      <c r="H387" s="27" t="str">
        <f>"8827181106130102"</f>
        <v>8827181106130102</v>
      </c>
      <c r="I387" s="28">
        <v>400000</v>
      </c>
      <c r="J387" s="4"/>
      <c r="K387" s="10">
        <v>3900</v>
      </c>
      <c r="L387" s="11">
        <f t="shared" si="5"/>
        <v>396100</v>
      </c>
      <c r="M387" s="6">
        <v>43453</v>
      </c>
      <c r="N387" s="27" t="str">
        <f>"127957"</f>
        <v>127957</v>
      </c>
    </row>
    <row r="388" spans="1:14" ht="15">
      <c r="A388" s="9">
        <v>381</v>
      </c>
      <c r="B388" s="4" t="s">
        <v>20</v>
      </c>
      <c r="C388" s="5" t="s">
        <v>21</v>
      </c>
      <c r="D388" s="27" t="str">
        <f>"2018-12-18 08:11:09"</f>
        <v>2018-12-18 08:11:09</v>
      </c>
      <c r="E388" s="27" t="str">
        <f>"15420938881774813510"</f>
        <v>15420938881774813510</v>
      </c>
      <c r="F388" s="4" t="s">
        <v>22</v>
      </c>
      <c r="G388" s="27" t="str">
        <f>"lyas latifah"</f>
        <v>lyas latifah</v>
      </c>
      <c r="H388" s="27" t="str">
        <f>"8827181113142403"</f>
        <v>8827181113142403</v>
      </c>
      <c r="I388" s="28">
        <v>2104500</v>
      </c>
      <c r="J388" s="4"/>
      <c r="K388" s="10">
        <v>3900</v>
      </c>
      <c r="L388" s="11">
        <f t="shared" si="5"/>
        <v>2100600</v>
      </c>
      <c r="M388" s="6">
        <v>43453</v>
      </c>
      <c r="N388" s="27" t="str">
        <f>"981021"</f>
        <v>981021</v>
      </c>
    </row>
    <row r="389" spans="1:14" ht="15">
      <c r="A389" s="9">
        <v>382</v>
      </c>
      <c r="B389" s="4" t="s">
        <v>20</v>
      </c>
      <c r="C389" s="5" t="s">
        <v>21</v>
      </c>
      <c r="D389" s="27" t="str">
        <f>"2018-12-18 08:09:31"</f>
        <v>2018-12-18 08:09:31</v>
      </c>
      <c r="E389" s="27" t="str">
        <f>"15408042874512308279"</f>
        <v>15408042874512308279</v>
      </c>
      <c r="F389" s="4" t="s">
        <v>22</v>
      </c>
      <c r="G389" s="27" t="str">
        <f>"Finy Nurwalidaina Pane"</f>
        <v>Finy Nurwalidaina Pane</v>
      </c>
      <c r="H389" s="27" t="str">
        <f>"8827181029161101"</f>
        <v>8827181029161101</v>
      </c>
      <c r="I389" s="28">
        <v>1555200</v>
      </c>
      <c r="J389" s="4"/>
      <c r="K389" s="10">
        <v>3900</v>
      </c>
      <c r="L389" s="11">
        <f t="shared" si="5"/>
        <v>1551300</v>
      </c>
      <c r="M389" s="6">
        <v>43453</v>
      </c>
      <c r="N389" s="27" t="str">
        <f>"980296"</f>
        <v>980296</v>
      </c>
    </row>
    <row r="390" spans="1:14" ht="15">
      <c r="A390" s="9">
        <v>383</v>
      </c>
      <c r="B390" s="4" t="s">
        <v>20</v>
      </c>
      <c r="C390" s="5" t="s">
        <v>21</v>
      </c>
      <c r="D390" s="27" t="str">
        <f>"2018-12-18 08:07:52"</f>
        <v>2018-12-18 08:07:52</v>
      </c>
      <c r="E390" s="27" t="str">
        <f>"15415516958072422469"</f>
        <v>15415516958072422469</v>
      </c>
      <c r="F390" s="4" t="s">
        <v>22</v>
      </c>
      <c r="G390" s="27" t="str">
        <f>"Dios Athina Malonda"</f>
        <v>Dios Athina Malonda</v>
      </c>
      <c r="H390" s="27" t="str">
        <f>"8827181107074803"</f>
        <v>8827181107074803</v>
      </c>
      <c r="I390" s="28">
        <v>1752000</v>
      </c>
      <c r="J390" s="4"/>
      <c r="K390" s="10">
        <v>3900</v>
      </c>
      <c r="L390" s="11">
        <f t="shared" si="5"/>
        <v>1748100</v>
      </c>
      <c r="M390" s="6">
        <v>43453</v>
      </c>
      <c r="N390" s="27" t="str">
        <f>"979529"</f>
        <v>979529</v>
      </c>
    </row>
    <row r="391" spans="1:14" ht="15">
      <c r="A391" s="9">
        <v>384</v>
      </c>
      <c r="B391" s="4" t="s">
        <v>20</v>
      </c>
      <c r="C391" s="5" t="s">
        <v>21</v>
      </c>
      <c r="D391" s="27" t="str">
        <f>"2018-12-18 08:06:00"</f>
        <v>2018-12-18 08:06:00</v>
      </c>
      <c r="E391" s="27" t="str">
        <f>"15431231594308219657"</f>
        <v>15431231594308219657</v>
      </c>
      <c r="F391" s="4" t="s">
        <v>22</v>
      </c>
      <c r="G391" s="27" t="str">
        <f>"sri widya rizki"</f>
        <v>sri widya rizki</v>
      </c>
      <c r="H391" s="27" t="str">
        <f>"8827181125121901"</f>
        <v>8827181125121901</v>
      </c>
      <c r="I391" s="28">
        <v>1797000</v>
      </c>
      <c r="J391" s="4"/>
      <c r="K391" s="10">
        <v>3900</v>
      </c>
      <c r="L391" s="11">
        <f t="shared" si="5"/>
        <v>1793100</v>
      </c>
      <c r="M391" s="6">
        <v>43453</v>
      </c>
      <c r="N391" s="27" t="str">
        <f>"751436"</f>
        <v>751436</v>
      </c>
    </row>
    <row r="392" spans="1:14" ht="15">
      <c r="A392" s="9">
        <v>385</v>
      </c>
      <c r="B392" s="4" t="s">
        <v>20</v>
      </c>
      <c r="C392" s="5" t="s">
        <v>21</v>
      </c>
      <c r="D392" s="27" t="str">
        <f>"2018-12-18 08:02:42"</f>
        <v>2018-12-18 08:02:42</v>
      </c>
      <c r="E392" s="27" t="str">
        <f>"15411368216873538113"</f>
        <v>15411368216873538113</v>
      </c>
      <c r="F392" s="4" t="s">
        <v>22</v>
      </c>
      <c r="G392" s="27" t="str">
        <f>"Riyo okta permana Sembiring"</f>
        <v>Riyo okta permana Sembiring</v>
      </c>
      <c r="H392" s="27" t="str">
        <f>"8827181102123305"</f>
        <v>8827181102123305</v>
      </c>
      <c r="I392" s="28">
        <v>1722000</v>
      </c>
      <c r="J392" s="4"/>
      <c r="K392" s="10">
        <v>3900</v>
      </c>
      <c r="L392" s="11">
        <f t="shared" si="5"/>
        <v>1718100</v>
      </c>
      <c r="M392" s="6">
        <v>43453</v>
      </c>
      <c r="N392" s="27" t="str">
        <f>"709120"</f>
        <v>709120</v>
      </c>
    </row>
    <row r="393" spans="1:14" ht="15">
      <c r="A393" s="9">
        <v>386</v>
      </c>
      <c r="B393" s="4" t="s">
        <v>20</v>
      </c>
      <c r="C393" s="5" t="s">
        <v>21</v>
      </c>
      <c r="D393" s="27" t="str">
        <f>"2018-12-18 08:01:46"</f>
        <v>2018-12-18 08:01:46</v>
      </c>
      <c r="E393" s="27" t="str">
        <f>"15408003018436977643"</f>
        <v>15408003018436977643</v>
      </c>
      <c r="F393" s="4" t="s">
        <v>22</v>
      </c>
      <c r="G393" s="27" t="str">
        <f>"sinta kurniawati"</f>
        <v>sinta kurniawati</v>
      </c>
      <c r="H393" s="27" t="str">
        <f>"8827181029150501"</f>
        <v>8827181029150501</v>
      </c>
      <c r="I393" s="28">
        <v>1603500</v>
      </c>
      <c r="J393" s="4"/>
      <c r="K393" s="10">
        <v>3900</v>
      </c>
      <c r="L393" s="11">
        <f t="shared" ref="L393:L425" si="6">(I393-K393)</f>
        <v>1599600</v>
      </c>
      <c r="M393" s="6">
        <v>43453</v>
      </c>
      <c r="N393" s="27" t="str">
        <f>"698203"</f>
        <v>698203</v>
      </c>
    </row>
    <row r="394" spans="1:14" ht="15">
      <c r="A394" s="9">
        <v>387</v>
      </c>
      <c r="B394" s="4" t="s">
        <v>20</v>
      </c>
      <c r="C394" s="5" t="s">
        <v>21</v>
      </c>
      <c r="D394" s="27" t="str">
        <f>"2018-12-18 07:57:52"</f>
        <v>2018-12-18 07:57:52</v>
      </c>
      <c r="E394" s="27" t="str">
        <f>"15426826763395010150"</f>
        <v>15426826763395010150</v>
      </c>
      <c r="F394" s="4" t="s">
        <v>22</v>
      </c>
      <c r="G394" s="27" t="str">
        <f>"septi hairinda"</f>
        <v>septi hairinda</v>
      </c>
      <c r="H394" s="27" t="str">
        <f>"8827181120095711"</f>
        <v>8827181120095711</v>
      </c>
      <c r="I394" s="28">
        <v>1128000</v>
      </c>
      <c r="J394" s="4"/>
      <c r="K394" s="10">
        <v>3900</v>
      </c>
      <c r="L394" s="11">
        <f t="shared" si="6"/>
        <v>1124100</v>
      </c>
      <c r="M394" s="6">
        <v>43453</v>
      </c>
      <c r="N394" s="27" t="str">
        <f>"652001"</f>
        <v>652001</v>
      </c>
    </row>
    <row r="395" spans="1:14" ht="15">
      <c r="A395" s="9">
        <v>388</v>
      </c>
      <c r="B395" s="4" t="s">
        <v>20</v>
      </c>
      <c r="C395" s="5" t="s">
        <v>21</v>
      </c>
      <c r="D395" s="27" t="str">
        <f>"2018-12-18 07:47:33"</f>
        <v>2018-12-18 07:47:33</v>
      </c>
      <c r="E395" s="27" t="str">
        <f>"15416698300918076000"</f>
        <v>15416698300918076000</v>
      </c>
      <c r="F395" s="4" t="s">
        <v>22</v>
      </c>
      <c r="G395" s="27" t="str">
        <f>"monna julianti tungka"</f>
        <v>monna julianti tungka</v>
      </c>
      <c r="H395" s="27" t="str">
        <f>"8827181108163701"</f>
        <v>8827181108163701</v>
      </c>
      <c r="I395" s="28">
        <v>1284800</v>
      </c>
      <c r="J395" s="4"/>
      <c r="K395" s="10">
        <v>3900</v>
      </c>
      <c r="L395" s="11">
        <f t="shared" si="6"/>
        <v>1280900</v>
      </c>
      <c r="M395" s="6">
        <v>43453</v>
      </c>
      <c r="N395" s="27" t="str">
        <f>"537268"</f>
        <v>537268</v>
      </c>
    </row>
    <row r="396" spans="1:14" ht="15">
      <c r="A396" s="9">
        <v>389</v>
      </c>
      <c r="B396" s="4" t="s">
        <v>20</v>
      </c>
      <c r="C396" s="5" t="s">
        <v>21</v>
      </c>
      <c r="D396" s="27" t="str">
        <f>"2018-12-18 07:46:39"</f>
        <v>2018-12-18 07:46:39</v>
      </c>
      <c r="E396" s="27" t="str">
        <f>"15415805591997019483"</f>
        <v>15415805591997019483</v>
      </c>
      <c r="F396" s="4" t="s">
        <v>22</v>
      </c>
      <c r="G396" s="27" t="str">
        <f>"setya wahyu annita"</f>
        <v>setya wahyu annita</v>
      </c>
      <c r="H396" s="27" t="str">
        <f>"8827181107154902"</f>
        <v>8827181107154902</v>
      </c>
      <c r="I396" s="28">
        <v>1752000</v>
      </c>
      <c r="J396" s="4"/>
      <c r="K396" s="10">
        <v>3900</v>
      </c>
      <c r="L396" s="11">
        <f t="shared" si="6"/>
        <v>1748100</v>
      </c>
      <c r="M396" s="6">
        <v>43453</v>
      </c>
      <c r="N396" s="27" t="str">
        <f>"526671"</f>
        <v>526671</v>
      </c>
    </row>
    <row r="397" spans="1:14" ht="15">
      <c r="A397" s="9">
        <v>390</v>
      </c>
      <c r="B397" s="4" t="s">
        <v>20</v>
      </c>
      <c r="C397" s="5" t="s">
        <v>21</v>
      </c>
      <c r="D397" s="27" t="str">
        <f>"2018-12-18 07:46:19"</f>
        <v>2018-12-18 07:46:19</v>
      </c>
      <c r="E397" s="27" t="str">
        <f>"15418434386035643487"</f>
        <v>15418434386035643487</v>
      </c>
      <c r="F397" s="4" t="s">
        <v>22</v>
      </c>
      <c r="G397" s="27" t="str">
        <f>"tri dewi febriani"</f>
        <v>tri dewi febriani</v>
      </c>
      <c r="H397" s="27" t="str">
        <f>"8827181110165002"</f>
        <v>8827181110165002</v>
      </c>
      <c r="I397" s="28">
        <v>1752000</v>
      </c>
      <c r="J397" s="4"/>
      <c r="K397" s="10">
        <v>3900</v>
      </c>
      <c r="L397" s="11">
        <f t="shared" si="6"/>
        <v>1748100</v>
      </c>
      <c r="M397" s="6">
        <v>43453</v>
      </c>
      <c r="N397" s="27" t="str">
        <f>"522832"</f>
        <v>522832</v>
      </c>
    </row>
    <row r="398" spans="1:14" ht="15">
      <c r="A398" s="9">
        <v>391</v>
      </c>
      <c r="B398" s="4" t="s">
        <v>20</v>
      </c>
      <c r="C398" s="5" t="s">
        <v>21</v>
      </c>
      <c r="D398" s="27" t="str">
        <f>"2018-12-18 07:44:29"</f>
        <v>2018-12-18 07:44:29</v>
      </c>
      <c r="E398" s="27" t="str">
        <f>"15417463598737399116"</f>
        <v>15417463598737399116</v>
      </c>
      <c r="F398" s="4" t="s">
        <v>22</v>
      </c>
      <c r="G398" s="27" t="str">
        <f>"yudi andriyanto"</f>
        <v>yudi andriyanto</v>
      </c>
      <c r="H398" s="27" t="str">
        <f>"8827181109135209"</f>
        <v>8827181109135209</v>
      </c>
      <c r="I398" s="28">
        <v>1544400</v>
      </c>
      <c r="J398" s="4"/>
      <c r="K398" s="10">
        <v>3900</v>
      </c>
      <c r="L398" s="11">
        <f t="shared" si="6"/>
        <v>1540500</v>
      </c>
      <c r="M398" s="6">
        <v>43453</v>
      </c>
      <c r="N398" s="27" t="str">
        <f>"501267"</f>
        <v>501267</v>
      </c>
    </row>
    <row r="399" spans="1:14" ht="15">
      <c r="A399" s="9">
        <v>392</v>
      </c>
      <c r="B399" s="4" t="s">
        <v>20</v>
      </c>
      <c r="C399" s="5" t="s">
        <v>21</v>
      </c>
      <c r="D399" s="27" t="str">
        <f>"2018-12-18 07:40:14"</f>
        <v>2018-12-18 07:40:14</v>
      </c>
      <c r="E399" s="27" t="str">
        <f>"15413195389738722142"</f>
        <v>15413195389738722142</v>
      </c>
      <c r="F399" s="4" t="s">
        <v>22</v>
      </c>
      <c r="G399" s="27" t="str">
        <f>"robiatul ilham"</f>
        <v>robiatul ilham</v>
      </c>
      <c r="H399" s="27" t="str">
        <f>"8827181104151806"</f>
        <v>8827181104151806</v>
      </c>
      <c r="I399" s="28">
        <v>972400</v>
      </c>
      <c r="J399" s="4"/>
      <c r="K399" s="10">
        <v>3900</v>
      </c>
      <c r="L399" s="11">
        <f t="shared" si="6"/>
        <v>968500</v>
      </c>
      <c r="M399" s="6">
        <v>43453</v>
      </c>
      <c r="N399" s="27" t="str">
        <f>"455599"</f>
        <v>455599</v>
      </c>
    </row>
    <row r="400" spans="1:14" ht="15">
      <c r="A400" s="9">
        <v>393</v>
      </c>
      <c r="B400" s="4" t="s">
        <v>20</v>
      </c>
      <c r="C400" s="5" t="s">
        <v>21</v>
      </c>
      <c r="D400" s="27" t="str">
        <f>"2018-12-18 07:36:22"</f>
        <v>2018-12-18 07:36:22</v>
      </c>
      <c r="E400" s="27" t="str">
        <f>"15409675351339010909"</f>
        <v>15409675351339010909</v>
      </c>
      <c r="F400" s="4" t="s">
        <v>22</v>
      </c>
      <c r="G400" s="27" t="str">
        <f>"diah sekar asri ningrum"</f>
        <v>diah sekar asri ningrum</v>
      </c>
      <c r="H400" s="27" t="str">
        <f>"8827181031133203"</f>
        <v>8827181031133203</v>
      </c>
      <c r="I400" s="28">
        <v>750000</v>
      </c>
      <c r="J400" s="4"/>
      <c r="K400" s="10">
        <v>3900</v>
      </c>
      <c r="L400" s="11">
        <f t="shared" si="6"/>
        <v>746100</v>
      </c>
      <c r="M400" s="6">
        <v>43453</v>
      </c>
      <c r="N400" s="27" t="str">
        <f>"416707"</f>
        <v>416707</v>
      </c>
    </row>
    <row r="401" spans="1:14" ht="15">
      <c r="A401" s="9">
        <v>394</v>
      </c>
      <c r="B401" s="4" t="s">
        <v>20</v>
      </c>
      <c r="C401" s="5" t="s">
        <v>21</v>
      </c>
      <c r="D401" s="27" t="str">
        <f>"2018-12-18 07:34:44"</f>
        <v>2018-12-18 07:34:44</v>
      </c>
      <c r="E401" s="27" t="str">
        <f>"15417303517018208845"</f>
        <v>15417303517018208845</v>
      </c>
      <c r="F401" s="4" t="s">
        <v>22</v>
      </c>
      <c r="G401" s="27" t="str">
        <f>"Siska kartikawati "</f>
        <v xml:space="preserve">Siska kartikawati </v>
      </c>
      <c r="H401" s="27" t="str">
        <f>"8827181109092502"</f>
        <v>8827181109092502</v>
      </c>
      <c r="I401" s="28">
        <v>1063000</v>
      </c>
      <c r="J401" s="4"/>
      <c r="K401" s="10">
        <v>3900</v>
      </c>
      <c r="L401" s="11">
        <f t="shared" si="6"/>
        <v>1059100</v>
      </c>
      <c r="M401" s="6">
        <v>43453</v>
      </c>
      <c r="N401" s="27" t="str">
        <f>"398479"</f>
        <v>398479</v>
      </c>
    </row>
    <row r="402" spans="1:14" ht="15">
      <c r="A402" s="9">
        <v>395</v>
      </c>
      <c r="B402" s="4" t="s">
        <v>20</v>
      </c>
      <c r="C402" s="5" t="s">
        <v>21</v>
      </c>
      <c r="D402" s="27" t="str">
        <f>"2018-12-18 07:30:43"</f>
        <v>2018-12-18 07:30:43</v>
      </c>
      <c r="E402" s="27" t="str">
        <f>"15411334272967905212"</f>
        <v>15411334272967905212</v>
      </c>
      <c r="F402" s="4" t="s">
        <v>22</v>
      </c>
      <c r="G402" s="27" t="str">
        <f>"ahda nizar anhar"</f>
        <v>ahda nizar anhar</v>
      </c>
      <c r="H402" s="27" t="str">
        <f>"8827181102113703"</f>
        <v>8827181102113703</v>
      </c>
      <c r="I402" s="28">
        <v>1822500</v>
      </c>
      <c r="J402" s="4"/>
      <c r="K402" s="10">
        <v>3900</v>
      </c>
      <c r="L402" s="11">
        <f t="shared" si="6"/>
        <v>1818600</v>
      </c>
      <c r="M402" s="6">
        <v>43453</v>
      </c>
      <c r="N402" s="27" t="str">
        <f>"352761"</f>
        <v>352761</v>
      </c>
    </row>
    <row r="403" spans="1:14" ht="15">
      <c r="A403" s="9">
        <v>396</v>
      </c>
      <c r="B403" s="4" t="s">
        <v>20</v>
      </c>
      <c r="C403" s="5" t="s">
        <v>21</v>
      </c>
      <c r="D403" s="27" t="str">
        <f>"2018-12-18 07:28:15"</f>
        <v>2018-12-18 07:28:15</v>
      </c>
      <c r="E403" s="27" t="str">
        <f>"15406899766334683010"</f>
        <v>15406899766334683010</v>
      </c>
      <c r="F403" s="4" t="s">
        <v>22</v>
      </c>
      <c r="G403" s="27" t="str">
        <f>"dadan Rohendi"</f>
        <v>dadan Rohendi</v>
      </c>
      <c r="H403" s="27" t="str">
        <f>"8827181028082603"</f>
        <v>8827181028082603</v>
      </c>
      <c r="I403" s="28">
        <v>10000</v>
      </c>
      <c r="J403" s="4"/>
      <c r="K403" s="10">
        <v>3900</v>
      </c>
      <c r="L403" s="11">
        <f t="shared" si="6"/>
        <v>6100</v>
      </c>
      <c r="M403" s="6">
        <v>43453</v>
      </c>
      <c r="N403" s="27" t="str">
        <f>"323090"</f>
        <v>323090</v>
      </c>
    </row>
    <row r="404" spans="1:14" ht="15">
      <c r="A404" s="9">
        <v>397</v>
      </c>
      <c r="B404" s="4" t="s">
        <v>20</v>
      </c>
      <c r="C404" s="5" t="s">
        <v>21</v>
      </c>
      <c r="D404" s="27" t="str">
        <f>"2018-12-18 07:28:06"</f>
        <v>2018-12-18 07:28:06</v>
      </c>
      <c r="E404" s="27" t="str">
        <f>"15419945737712178798"</f>
        <v>15419945737712178798</v>
      </c>
      <c r="F404" s="4" t="s">
        <v>22</v>
      </c>
      <c r="G404" s="27" t="str">
        <f>"siprianus sugiarto"</f>
        <v>siprianus sugiarto</v>
      </c>
      <c r="H404" s="27" t="str">
        <f>"8827181112104904"</f>
        <v>8827181112104904</v>
      </c>
      <c r="I404" s="28">
        <v>691200</v>
      </c>
      <c r="J404" s="4"/>
      <c r="K404" s="10">
        <v>3900</v>
      </c>
      <c r="L404" s="11">
        <f t="shared" si="6"/>
        <v>687300</v>
      </c>
      <c r="M404" s="6">
        <v>43453</v>
      </c>
      <c r="N404" s="27" t="str">
        <f>"964011"</f>
        <v>964011</v>
      </c>
    </row>
    <row r="405" spans="1:14" ht="15">
      <c r="A405" s="9">
        <v>398</v>
      </c>
      <c r="B405" s="4" t="s">
        <v>20</v>
      </c>
      <c r="C405" s="5" t="s">
        <v>21</v>
      </c>
      <c r="D405" s="27" t="str">
        <f>"2018-12-18 07:13:13"</f>
        <v>2018-12-18 07:13:13</v>
      </c>
      <c r="E405" s="27" t="str">
        <f>"15420965538814795592"</f>
        <v>15420965538814795592</v>
      </c>
      <c r="F405" s="4" t="s">
        <v>22</v>
      </c>
      <c r="G405" s="27" t="str">
        <f>"Elisabeth f br siahaan"</f>
        <v>Elisabeth f br siahaan</v>
      </c>
      <c r="H405" s="27" t="str">
        <f>"8827181113150901"</f>
        <v>8827181113150901</v>
      </c>
      <c r="I405" s="28">
        <v>1728000</v>
      </c>
      <c r="J405" s="4"/>
      <c r="K405" s="10">
        <v>3900</v>
      </c>
      <c r="L405" s="11">
        <f t="shared" si="6"/>
        <v>1724100</v>
      </c>
      <c r="M405" s="6">
        <v>43453</v>
      </c>
      <c r="N405" s="27" t="str">
        <f>"142510"</f>
        <v>142510</v>
      </c>
    </row>
    <row r="406" spans="1:14" ht="15">
      <c r="A406" s="9">
        <v>399</v>
      </c>
      <c r="B406" s="4" t="s">
        <v>20</v>
      </c>
      <c r="C406" s="5" t="s">
        <v>21</v>
      </c>
      <c r="D406" s="27" t="str">
        <f>"2018-12-18 07:08:51"</f>
        <v>2018-12-18 07:08:51</v>
      </c>
      <c r="E406" s="27" t="str">
        <f>"15409810132256391325"</f>
        <v>15409810132256391325</v>
      </c>
      <c r="F406" s="4" t="s">
        <v>22</v>
      </c>
      <c r="G406" s="27" t="str">
        <f>"Vinny Rozalia Siregar"</f>
        <v>Vinny Rozalia Siregar</v>
      </c>
      <c r="H406" s="27" t="str">
        <f>"8827181031171606"</f>
        <v>8827181031171606</v>
      </c>
      <c r="I406" s="28">
        <v>1461600</v>
      </c>
      <c r="J406" s="4"/>
      <c r="K406" s="10">
        <v>3900</v>
      </c>
      <c r="L406" s="11">
        <f t="shared" si="6"/>
        <v>1457700</v>
      </c>
      <c r="M406" s="6">
        <v>43453</v>
      </c>
      <c r="N406" s="27" t="str">
        <f>"098103"</f>
        <v>098103</v>
      </c>
    </row>
    <row r="407" spans="1:14" ht="15">
      <c r="A407" s="9">
        <v>400</v>
      </c>
      <c r="B407" s="4" t="s">
        <v>20</v>
      </c>
      <c r="C407" s="5" t="s">
        <v>21</v>
      </c>
      <c r="D407" s="27" t="str">
        <f>"2018-12-18 07:07:56"</f>
        <v>2018-12-18 07:07:56</v>
      </c>
      <c r="E407" s="27" t="str">
        <f>"15414839667877060563"</f>
        <v>15414839667877060563</v>
      </c>
      <c r="F407" s="4" t="s">
        <v>22</v>
      </c>
      <c r="G407" s="27" t="str">
        <f>"fery fadly"</f>
        <v>fery fadly</v>
      </c>
      <c r="H407" s="27" t="str">
        <f>"8827181106125904"</f>
        <v>8827181106125904</v>
      </c>
      <c r="I407" s="28">
        <v>1563000</v>
      </c>
      <c r="J407" s="4"/>
      <c r="K407" s="10">
        <v>3900</v>
      </c>
      <c r="L407" s="11">
        <f t="shared" si="6"/>
        <v>1559100</v>
      </c>
      <c r="M407" s="6">
        <v>43453</v>
      </c>
      <c r="N407" s="27" t="str">
        <f>"091840"</f>
        <v>091840</v>
      </c>
    </row>
    <row r="408" spans="1:14" ht="15">
      <c r="A408" s="9">
        <v>401</v>
      </c>
      <c r="B408" s="4" t="s">
        <v>20</v>
      </c>
      <c r="C408" s="5" t="s">
        <v>21</v>
      </c>
      <c r="D408" s="27" t="str">
        <f>"2018-12-18 07:03:55"</f>
        <v>2018-12-18 07:03:55</v>
      </c>
      <c r="E408" s="27" t="str">
        <f>"15408776570018130778"</f>
        <v>15408776570018130778</v>
      </c>
      <c r="F408" s="4" t="s">
        <v>22</v>
      </c>
      <c r="G408" s="27" t="str">
        <f>"indy indrawati"</f>
        <v>indy indrawati</v>
      </c>
      <c r="H408" s="27" t="str">
        <f>"8827181030123402"</f>
        <v>8827181030123402</v>
      </c>
      <c r="I408" s="28">
        <v>1752000</v>
      </c>
      <c r="J408" s="4"/>
      <c r="K408" s="10">
        <v>3900</v>
      </c>
      <c r="L408" s="11">
        <f t="shared" si="6"/>
        <v>1748100</v>
      </c>
      <c r="M408" s="6">
        <v>43453</v>
      </c>
      <c r="N408" s="27" t="str">
        <f>"065393"</f>
        <v>065393</v>
      </c>
    </row>
    <row r="409" spans="1:14" ht="15">
      <c r="A409" s="9">
        <v>402</v>
      </c>
      <c r="B409" s="4" t="s">
        <v>20</v>
      </c>
      <c r="C409" s="5" t="s">
        <v>21</v>
      </c>
      <c r="D409" s="27" t="str">
        <f>"2018-12-18 07:01:02"</f>
        <v>2018-12-18 07:01:02</v>
      </c>
      <c r="E409" s="27" t="str">
        <f>"15414199668339271838"</f>
        <v>15414199668339271838</v>
      </c>
      <c r="F409" s="4" t="s">
        <v>22</v>
      </c>
      <c r="G409" s="27" t="str">
        <f>"F. Siwi Dwi Purwandari"</f>
        <v>F. Siwi Dwi Purwandari</v>
      </c>
      <c r="H409" s="27" t="str">
        <f>"8827181105191202"</f>
        <v>8827181105191202</v>
      </c>
      <c r="I409" s="28">
        <v>1782000</v>
      </c>
      <c r="J409" s="4"/>
      <c r="K409" s="10">
        <v>3900</v>
      </c>
      <c r="L409" s="11">
        <f t="shared" si="6"/>
        <v>1778100</v>
      </c>
      <c r="M409" s="6">
        <v>43453</v>
      </c>
      <c r="N409" s="27" t="str">
        <f>"047083"</f>
        <v>047083</v>
      </c>
    </row>
    <row r="410" spans="1:14" ht="15">
      <c r="A410" s="9">
        <v>403</v>
      </c>
      <c r="B410" s="4" t="s">
        <v>20</v>
      </c>
      <c r="C410" s="5" t="s">
        <v>21</v>
      </c>
      <c r="D410" s="27" t="str">
        <f>"2018-12-18 06:59:08"</f>
        <v>2018-12-18 06:59:08</v>
      </c>
      <c r="E410" s="27" t="str">
        <f>"15413327009866296738"</f>
        <v>15413327009866296738</v>
      </c>
      <c r="F410" s="4" t="s">
        <v>22</v>
      </c>
      <c r="G410" s="27" t="str">
        <f>"indriyati"</f>
        <v>indriyati</v>
      </c>
      <c r="H410" s="27" t="str">
        <f>"8827181104185802"</f>
        <v>8827181104185802</v>
      </c>
      <c r="I410" s="28">
        <v>1647000</v>
      </c>
      <c r="J410" s="4"/>
      <c r="K410" s="10">
        <v>3900</v>
      </c>
      <c r="L410" s="11">
        <f t="shared" si="6"/>
        <v>1643100</v>
      </c>
      <c r="M410" s="6">
        <v>43453</v>
      </c>
      <c r="N410" s="27" t="str">
        <f>"954887"</f>
        <v>954887</v>
      </c>
    </row>
    <row r="411" spans="1:14" ht="15">
      <c r="A411" s="9">
        <v>404</v>
      </c>
      <c r="B411" s="4" t="s">
        <v>20</v>
      </c>
      <c r="C411" s="5" t="s">
        <v>21</v>
      </c>
      <c r="D411" s="27" t="str">
        <f>"2018-12-18 06:55:50"</f>
        <v>2018-12-18 06:55:50</v>
      </c>
      <c r="E411" s="27" t="str">
        <f>"15417354450862250271"</f>
        <v>15417354450862250271</v>
      </c>
      <c r="F411" s="4" t="s">
        <v>22</v>
      </c>
      <c r="G411" s="27" t="str">
        <f>"DEDDY"</f>
        <v>DEDDY</v>
      </c>
      <c r="H411" s="27" t="str">
        <f>"8827181109105008"</f>
        <v>8827181109105008</v>
      </c>
      <c r="I411" s="28">
        <v>1740000</v>
      </c>
      <c r="J411" s="4"/>
      <c r="K411" s="10">
        <v>3900</v>
      </c>
      <c r="L411" s="11">
        <f t="shared" si="6"/>
        <v>1736100</v>
      </c>
      <c r="M411" s="6">
        <v>43453</v>
      </c>
      <c r="N411" s="27" t="str">
        <f>"017568"</f>
        <v>017568</v>
      </c>
    </row>
    <row r="412" spans="1:14" ht="15">
      <c r="A412" s="9">
        <v>405</v>
      </c>
      <c r="B412" s="4" t="s">
        <v>20</v>
      </c>
      <c r="C412" s="5" t="s">
        <v>21</v>
      </c>
      <c r="D412" s="27" t="str">
        <f>"2018-12-18 06:42:46"</f>
        <v>2018-12-18 06:42:46</v>
      </c>
      <c r="E412" s="27" t="str">
        <f>"15419873781319185203"</f>
        <v>15419873781319185203</v>
      </c>
      <c r="F412" s="4" t="s">
        <v>22</v>
      </c>
      <c r="G412" s="27" t="str">
        <f>"salaviah"</f>
        <v>salaviah</v>
      </c>
      <c r="H412" s="27" t="str">
        <f>"8827181112084901"</f>
        <v>8827181112084901</v>
      </c>
      <c r="I412" s="28">
        <v>1752000</v>
      </c>
      <c r="J412" s="4"/>
      <c r="K412" s="10">
        <v>3900</v>
      </c>
      <c r="L412" s="11">
        <f t="shared" si="6"/>
        <v>1748100</v>
      </c>
      <c r="M412" s="6">
        <v>43453</v>
      </c>
      <c r="N412" s="27" t="str">
        <f>"950117"</f>
        <v>950117</v>
      </c>
    </row>
    <row r="413" spans="1:14" ht="15">
      <c r="A413" s="9">
        <v>406</v>
      </c>
      <c r="B413" s="4" t="s">
        <v>20</v>
      </c>
      <c r="C413" s="5" t="s">
        <v>21</v>
      </c>
      <c r="D413" s="27" t="str">
        <f>"2018-12-18 06:41:36"</f>
        <v>2018-12-18 06:41:36</v>
      </c>
      <c r="E413" s="27" t="str">
        <f>"15445886828828058516"</f>
        <v>15445886828828058516</v>
      </c>
      <c r="F413" s="4" t="s">
        <v>22</v>
      </c>
      <c r="G413" s="27" t="str">
        <f>"leonardo novento"</f>
        <v>leonardo novento</v>
      </c>
      <c r="H413" s="27" t="str">
        <f>"8827181212112401"</f>
        <v>8827181212112401</v>
      </c>
      <c r="I413" s="28">
        <v>1049000</v>
      </c>
      <c r="J413" s="4"/>
      <c r="K413" s="10">
        <v>3900</v>
      </c>
      <c r="L413" s="11">
        <f t="shared" si="6"/>
        <v>1045100</v>
      </c>
      <c r="M413" s="6">
        <v>43453</v>
      </c>
      <c r="N413" s="27" t="str">
        <f>"744498"</f>
        <v>744498</v>
      </c>
    </row>
    <row r="414" spans="1:14" ht="15">
      <c r="A414" s="9">
        <v>407</v>
      </c>
      <c r="B414" s="4" t="s">
        <v>20</v>
      </c>
      <c r="C414" s="5" t="s">
        <v>21</v>
      </c>
      <c r="D414" s="27" t="str">
        <f>"2018-12-18 06:41:03"</f>
        <v>2018-12-18 06:41:03</v>
      </c>
      <c r="E414" s="27" t="str">
        <f>"15412109284396564949"</f>
        <v>15412109284396564949</v>
      </c>
      <c r="F414" s="4" t="s">
        <v>22</v>
      </c>
      <c r="G414" s="27" t="str">
        <f>"Yudha wira wardhana"</f>
        <v>Yudha wira wardhana</v>
      </c>
      <c r="H414" s="27" t="str">
        <f>"8827181103090803"</f>
        <v>8827181103090803</v>
      </c>
      <c r="I414" s="28">
        <v>1152000</v>
      </c>
      <c r="J414" s="4"/>
      <c r="K414" s="10">
        <v>3900</v>
      </c>
      <c r="L414" s="11">
        <f t="shared" si="6"/>
        <v>1148100</v>
      </c>
      <c r="M414" s="6">
        <v>43453</v>
      </c>
      <c r="N414" s="27" t="str">
        <f>"741739"</f>
        <v>741739</v>
      </c>
    </row>
    <row r="415" spans="1:14" ht="15">
      <c r="A415" s="9">
        <v>408</v>
      </c>
      <c r="B415" s="4" t="s">
        <v>20</v>
      </c>
      <c r="C415" s="5" t="s">
        <v>21</v>
      </c>
      <c r="D415" s="27" t="str">
        <f>"2018-12-18 06:40:05"</f>
        <v>2018-12-18 06:40:05</v>
      </c>
      <c r="E415" s="27" t="str">
        <f>"15407730748082822002"</f>
        <v>15407730748082822002</v>
      </c>
      <c r="F415" s="4" t="s">
        <v>22</v>
      </c>
      <c r="G415" s="27" t="str">
        <f>"Nandang"</f>
        <v>Nandang</v>
      </c>
      <c r="H415" s="27" t="str">
        <f>"8827181029073102"</f>
        <v>8827181029073102</v>
      </c>
      <c r="I415" s="28">
        <v>1842000</v>
      </c>
      <c r="J415" s="4"/>
      <c r="K415" s="10">
        <v>3900</v>
      </c>
      <c r="L415" s="11">
        <f t="shared" si="6"/>
        <v>1838100</v>
      </c>
      <c r="M415" s="6">
        <v>43453</v>
      </c>
      <c r="N415" s="27" t="str">
        <f>"736759"</f>
        <v>736759</v>
      </c>
    </row>
    <row r="416" spans="1:14" ht="15">
      <c r="A416" s="9">
        <v>409</v>
      </c>
      <c r="B416" s="4" t="s">
        <v>20</v>
      </c>
      <c r="C416" s="5" t="s">
        <v>21</v>
      </c>
      <c r="D416" s="27" t="str">
        <f>"2018-12-18 06:36:20"</f>
        <v>2018-12-18 06:36:20</v>
      </c>
      <c r="E416" s="27" t="str">
        <f>"15418596863621561325"</f>
        <v>15418596863621561325</v>
      </c>
      <c r="F416" s="4" t="s">
        <v>22</v>
      </c>
      <c r="G416" s="27" t="str">
        <f>"ade Ardhiansah"</f>
        <v>ade Ardhiansah</v>
      </c>
      <c r="H416" s="27" t="str">
        <f>"8827181110212101"</f>
        <v>8827181110212101</v>
      </c>
      <c r="I416" s="28">
        <v>1662000</v>
      </c>
      <c r="J416" s="4"/>
      <c r="K416" s="10">
        <v>3900</v>
      </c>
      <c r="L416" s="11">
        <f t="shared" si="6"/>
        <v>1658100</v>
      </c>
      <c r="M416" s="6">
        <v>43453</v>
      </c>
      <c r="N416" s="27" t="str">
        <f>"948356"</f>
        <v>948356</v>
      </c>
    </row>
    <row r="417" spans="1:14" ht="15">
      <c r="A417" s="9">
        <v>410</v>
      </c>
      <c r="B417" s="4" t="s">
        <v>20</v>
      </c>
      <c r="C417" s="5" t="s">
        <v>21</v>
      </c>
      <c r="D417" s="27" t="str">
        <f>"2018-12-18 06:35:22"</f>
        <v>2018-12-18 06:35:22</v>
      </c>
      <c r="E417" s="27" t="str">
        <f>"15417334359498587589"</f>
        <v>15417334359498587589</v>
      </c>
      <c r="F417" s="4" t="s">
        <v>22</v>
      </c>
      <c r="G417" s="27" t="str">
        <f>"m ghoffar"</f>
        <v>m ghoffar</v>
      </c>
      <c r="H417" s="27" t="str">
        <f>"8827181109101703"</f>
        <v>8827181109101703</v>
      </c>
      <c r="I417" s="28">
        <v>100000</v>
      </c>
      <c r="J417" s="4"/>
      <c r="K417" s="10">
        <v>3900</v>
      </c>
      <c r="L417" s="11">
        <f t="shared" si="6"/>
        <v>96100</v>
      </c>
      <c r="M417" s="6">
        <v>43453</v>
      </c>
      <c r="N417" s="27" t="str">
        <f>"713332"</f>
        <v>713332</v>
      </c>
    </row>
    <row r="418" spans="1:14" ht="15">
      <c r="A418" s="9">
        <v>411</v>
      </c>
      <c r="B418" s="4" t="s">
        <v>20</v>
      </c>
      <c r="C418" s="5" t="s">
        <v>21</v>
      </c>
      <c r="D418" s="27" t="str">
        <f>"2018-12-18 06:32:19"</f>
        <v>2018-12-18 06:32:19</v>
      </c>
      <c r="E418" s="27" t="str">
        <f>"15412946712005244336"</f>
        <v>15412946712005244336</v>
      </c>
      <c r="F418" s="4" t="s">
        <v>22</v>
      </c>
      <c r="G418" s="27" t="str">
        <f>"Alivia Dewi Masita"</f>
        <v>Alivia Dewi Masita</v>
      </c>
      <c r="H418" s="27" t="str">
        <f>"8827181104082402"</f>
        <v>8827181104082402</v>
      </c>
      <c r="I418" s="28">
        <v>12000</v>
      </c>
      <c r="J418" s="4"/>
      <c r="K418" s="10">
        <v>3900</v>
      </c>
      <c r="L418" s="11">
        <f t="shared" si="6"/>
        <v>8100</v>
      </c>
      <c r="M418" s="6">
        <v>43453</v>
      </c>
      <c r="N418" s="27" t="str">
        <f>"698839"</f>
        <v>698839</v>
      </c>
    </row>
    <row r="419" spans="1:14" ht="15">
      <c r="A419" s="9">
        <v>412</v>
      </c>
      <c r="B419" s="4" t="s">
        <v>20</v>
      </c>
      <c r="C419" s="5" t="s">
        <v>21</v>
      </c>
      <c r="D419" s="27" t="str">
        <f>"2018-12-18 05:44:48"</f>
        <v>2018-12-18 05:44:48</v>
      </c>
      <c r="E419" s="27" t="str">
        <f>"15426981429896978603"</f>
        <v>15426981429896978603</v>
      </c>
      <c r="F419" s="4" t="s">
        <v>22</v>
      </c>
      <c r="G419" s="27" t="str">
        <f>"stephanie priscillia kuswanto"</f>
        <v>stephanie priscillia kuswanto</v>
      </c>
      <c r="H419" s="27" t="str">
        <f>"8827181120141501"</f>
        <v>8827181120141501</v>
      </c>
      <c r="I419" s="28">
        <v>1662000</v>
      </c>
      <c r="J419" s="4"/>
      <c r="K419" s="10">
        <v>3900</v>
      </c>
      <c r="L419" s="11">
        <f t="shared" si="6"/>
        <v>1658100</v>
      </c>
      <c r="M419" s="6">
        <v>43453</v>
      </c>
      <c r="N419" s="27" t="str">
        <f>"506025"</f>
        <v>506025</v>
      </c>
    </row>
    <row r="420" spans="1:14" ht="15">
      <c r="A420" s="9">
        <v>413</v>
      </c>
      <c r="B420" s="4" t="s">
        <v>20</v>
      </c>
      <c r="C420" s="5" t="s">
        <v>21</v>
      </c>
      <c r="D420" s="27" t="str">
        <f>"2018-12-18 05:12:51"</f>
        <v>2018-12-18 05:12:51</v>
      </c>
      <c r="E420" s="27" t="str">
        <f>"15408819461975958267"</f>
        <v>15408819461975958267</v>
      </c>
      <c r="F420" s="4" t="s">
        <v>22</v>
      </c>
      <c r="G420" s="27" t="str">
        <f>"fithri shabrina"</f>
        <v>fithri shabrina</v>
      </c>
      <c r="H420" s="27" t="str">
        <f>"8827181030134507"</f>
        <v>8827181030134507</v>
      </c>
      <c r="I420" s="28">
        <v>1692000</v>
      </c>
      <c r="J420" s="4"/>
      <c r="K420" s="10">
        <v>3900</v>
      </c>
      <c r="L420" s="11">
        <f t="shared" si="6"/>
        <v>1688100</v>
      </c>
      <c r="M420" s="6">
        <v>43453</v>
      </c>
      <c r="N420" s="27" t="str">
        <f>"415807"</f>
        <v>415807</v>
      </c>
    </row>
    <row r="421" spans="1:14" ht="15">
      <c r="A421" s="9">
        <v>414</v>
      </c>
      <c r="B421" s="4" t="s">
        <v>20</v>
      </c>
      <c r="C421" s="5" t="s">
        <v>21</v>
      </c>
      <c r="D421" s="27" t="str">
        <f>"2018-12-18 05:02:27"</f>
        <v>2018-12-18 05:02:27</v>
      </c>
      <c r="E421" s="27" t="str">
        <f>"15408235143398979254"</f>
        <v>15408235143398979254</v>
      </c>
      <c r="F421" s="4" t="s">
        <v>22</v>
      </c>
      <c r="G421" s="27" t="str">
        <f>"fachri husaini"</f>
        <v>fachri husaini</v>
      </c>
      <c r="H421" s="27" t="str">
        <f>"8827181029213104"</f>
        <v>8827181029213104</v>
      </c>
      <c r="I421" s="28">
        <v>1251800</v>
      </c>
      <c r="J421" s="4"/>
      <c r="K421" s="10">
        <v>3900</v>
      </c>
      <c r="L421" s="11">
        <f t="shared" si="6"/>
        <v>1247900</v>
      </c>
      <c r="M421" s="6">
        <v>43453</v>
      </c>
      <c r="N421" s="27" t="str">
        <f>"926820"</f>
        <v>926820</v>
      </c>
    </row>
    <row r="422" spans="1:14" ht="15">
      <c r="A422" s="9">
        <v>415</v>
      </c>
      <c r="B422" s="4" t="s">
        <v>20</v>
      </c>
      <c r="C422" s="5" t="s">
        <v>21</v>
      </c>
      <c r="D422" s="27" t="str">
        <f>"2018-12-18 04:17:23"</f>
        <v>2018-12-18 04:17:23</v>
      </c>
      <c r="E422" s="27" t="str">
        <f>"15417414570514993187"</f>
        <v>15417414570514993187</v>
      </c>
      <c r="F422" s="4" t="s">
        <v>22</v>
      </c>
      <c r="G422" s="27" t="str">
        <f>"BAHERA LUBIS"</f>
        <v>BAHERA LUBIS</v>
      </c>
      <c r="H422" s="27" t="str">
        <f>"8827181109123005"</f>
        <v>8827181109123005</v>
      </c>
      <c r="I422" s="28">
        <v>1740000</v>
      </c>
      <c r="J422" s="4"/>
      <c r="K422" s="10">
        <v>3900</v>
      </c>
      <c r="L422" s="11">
        <f t="shared" si="6"/>
        <v>1736100</v>
      </c>
      <c r="M422" s="6">
        <v>43453</v>
      </c>
      <c r="N422" s="27" t="str">
        <f>"923140"</f>
        <v>923140</v>
      </c>
    </row>
    <row r="423" spans="1:14" ht="15">
      <c r="A423" s="9">
        <v>416</v>
      </c>
      <c r="B423" s="4" t="s">
        <v>20</v>
      </c>
      <c r="C423" s="5" t="s">
        <v>21</v>
      </c>
      <c r="D423" s="27" t="str">
        <f>"2018-12-18 03:40:54"</f>
        <v>2018-12-18 03:40:54</v>
      </c>
      <c r="E423" s="27" t="str">
        <f>"15408821746519297615"</f>
        <v>15408821746519297615</v>
      </c>
      <c r="F423" s="4" t="s">
        <v>22</v>
      </c>
      <c r="G423" s="27" t="str">
        <f>"Faisal"</f>
        <v>Faisal</v>
      </c>
      <c r="H423" s="27" t="str">
        <f>"8827181030134903"</f>
        <v>8827181030134903</v>
      </c>
      <c r="I423" s="28">
        <v>1618500</v>
      </c>
      <c r="J423" s="4"/>
      <c r="K423" s="10">
        <v>3900</v>
      </c>
      <c r="L423" s="11">
        <f t="shared" si="6"/>
        <v>1614600</v>
      </c>
      <c r="M423" s="6">
        <v>43453</v>
      </c>
      <c r="N423" s="27" t="str">
        <f>"082294"</f>
        <v>082294</v>
      </c>
    </row>
    <row r="424" spans="1:14" ht="15">
      <c r="A424" s="9">
        <v>417</v>
      </c>
      <c r="B424" s="4" t="s">
        <v>20</v>
      </c>
      <c r="C424" s="5" t="s">
        <v>21</v>
      </c>
      <c r="D424" s="27" t="str">
        <f>"2018-12-18 02:32:00"</f>
        <v>2018-12-18 02:32:00</v>
      </c>
      <c r="E424" s="27" t="str">
        <f>"15431360165887676285"</f>
        <v>15431360165887676285</v>
      </c>
      <c r="F424" s="4" t="s">
        <v>22</v>
      </c>
      <c r="G424" s="27" t="str">
        <f>"ernest hendrik widjaja"</f>
        <v>ernest hendrik widjaja</v>
      </c>
      <c r="H424" s="27" t="str">
        <f>"8827181125155301"</f>
        <v>8827181125155301</v>
      </c>
      <c r="I424" s="28">
        <v>1797000</v>
      </c>
      <c r="J424" s="4"/>
      <c r="K424" s="10">
        <v>3900</v>
      </c>
      <c r="L424" s="11">
        <f t="shared" si="6"/>
        <v>1793100</v>
      </c>
      <c r="M424" s="6">
        <v>43453</v>
      </c>
      <c r="N424" s="27" t="str">
        <f>"916161"</f>
        <v>916161</v>
      </c>
    </row>
    <row r="425" spans="1:14" ht="16.5" customHeight="1">
      <c r="A425" s="9">
        <v>418</v>
      </c>
      <c r="B425" s="4" t="s">
        <v>20</v>
      </c>
      <c r="C425" s="5" t="s">
        <v>21</v>
      </c>
      <c r="D425" s="27" t="str">
        <f>"2018-12-18 00:04:59"</f>
        <v>2018-12-18 00:04:59</v>
      </c>
      <c r="E425" s="27" t="str">
        <f>"15413860901098058637"</f>
        <v>15413860901098058637</v>
      </c>
      <c r="F425" s="4" t="s">
        <v>22</v>
      </c>
      <c r="G425" s="27" t="str">
        <f>"zumala eva candra sari"</f>
        <v>zumala eva candra sari</v>
      </c>
      <c r="H425" s="27" t="str">
        <f>"8827181105094801"</f>
        <v>8827181105094801</v>
      </c>
      <c r="I425" s="28">
        <v>1276000</v>
      </c>
      <c r="J425" s="4"/>
      <c r="K425" s="10">
        <v>3900</v>
      </c>
      <c r="L425" s="11">
        <f t="shared" si="6"/>
        <v>1272100</v>
      </c>
      <c r="M425" s="6">
        <v>43453</v>
      </c>
      <c r="N425" s="27" t="str">
        <f>"060746"</f>
        <v>060746</v>
      </c>
    </row>
    <row r="426" spans="1:14" ht="15" customHeight="1">
      <c r="A426" s="24" t="s">
        <v>23</v>
      </c>
      <c r="B426" s="25"/>
      <c r="C426" s="25"/>
      <c r="D426" s="25"/>
      <c r="E426" s="25"/>
      <c r="F426" s="25"/>
      <c r="G426" s="25"/>
      <c r="H426" s="25"/>
      <c r="I426" s="25"/>
      <c r="J426" s="25"/>
      <c r="K426" s="26"/>
      <c r="L426" s="20">
        <f>SUM(I8:I425)</f>
        <v>602709221</v>
      </c>
      <c r="M426" s="21"/>
      <c r="N426" s="7"/>
    </row>
    <row r="427" spans="1:14" ht="15" customHeight="1">
      <c r="A427" s="24" t="s">
        <v>24</v>
      </c>
      <c r="B427" s="25"/>
      <c r="C427" s="25"/>
      <c r="D427" s="25"/>
      <c r="E427" s="25"/>
      <c r="F427" s="25"/>
      <c r="G427" s="25"/>
      <c r="H427" s="25"/>
      <c r="I427" s="25"/>
      <c r="J427" s="25"/>
      <c r="K427" s="26"/>
      <c r="L427" s="22">
        <f>SUM(L8:L425)</f>
        <v>601079021</v>
      </c>
      <c r="M427" s="23"/>
      <c r="N427" s="7"/>
    </row>
    <row r="428" spans="1:14" ht="15" customHeight="1">
      <c r="A428" s="24" t="s">
        <v>25</v>
      </c>
      <c r="B428" s="25"/>
      <c r="C428" s="25"/>
      <c r="D428" s="25"/>
      <c r="E428" s="25"/>
      <c r="F428" s="25"/>
      <c r="G428" s="25"/>
      <c r="H428" s="25"/>
      <c r="I428" s="25"/>
      <c r="J428" s="25"/>
      <c r="K428" s="26"/>
      <c r="L428" s="22">
        <f>SUM(K8:K425)</f>
        <v>1630200</v>
      </c>
      <c r="M428" s="23"/>
      <c r="N428" s="8"/>
    </row>
    <row r="429" spans="1:14">
      <c r="L429" s="13"/>
    </row>
    <row r="430" spans="1:14">
      <c r="L430" s="12"/>
    </row>
  </sheetData>
  <mergeCells count="10">
    <mergeCell ref="L427:M427"/>
    <mergeCell ref="L428:M428"/>
    <mergeCell ref="A426:K426"/>
    <mergeCell ref="A427:K427"/>
    <mergeCell ref="A428:K428"/>
    <mergeCell ref="A1:G1"/>
    <mergeCell ref="B3:G3"/>
    <mergeCell ref="B4:G4"/>
    <mergeCell ref="B5:G5"/>
    <mergeCell ref="L426:M426"/>
  </mergeCells>
  <conditionalFormatting sqref="G7:G425">
    <cfRule type="duplicateValues" dxfId="0" priority="3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Billing_Tangbull_2018-12-10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</dc:creator>
  <cp:lastModifiedBy>Kristof</cp:lastModifiedBy>
  <dcterms:created xsi:type="dcterms:W3CDTF">2018-12-11T07:42:51Z</dcterms:created>
  <dcterms:modified xsi:type="dcterms:W3CDTF">2018-12-19T08:54:31Z</dcterms:modified>
</cp:coreProperties>
</file>