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ownloads\"/>
    </mc:Choice>
  </mc:AlternateContent>
  <xr:revisionPtr revIDLastSave="0" documentId="13_ncr:1_{159CCCDE-8C5B-4E9B-B165-F321DF907EAB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Billing_Tangbull_2018-12-10 (2)" sheetId="4" r:id="rId1"/>
  </sheets>
  <calcPr calcId="191029"/>
</workbook>
</file>

<file path=xl/calcChain.xml><?xml version="1.0" encoding="utf-8"?>
<calcChain xmlns="http://schemas.openxmlformats.org/spreadsheetml/2006/main">
  <c r="E460" i="4" l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H9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8" i="4"/>
  <c r="L462" i="4" l="1"/>
  <c r="L463" i="4"/>
  <c r="L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8" i="4"/>
</calcChain>
</file>

<file path=xl/sharedStrings.xml><?xml version="1.0" encoding="utf-8"?>
<sst xmlns="http://schemas.openxmlformats.org/spreadsheetml/2006/main" count="1836" uniqueCount="472">
  <si>
    <t>Billing Report</t>
  </si>
  <si>
    <t>Client Name</t>
  </si>
  <si>
    <t>: Tangbull</t>
  </si>
  <si>
    <t>Bank Name</t>
  </si>
  <si>
    <t>: ALL</t>
  </si>
  <si>
    <t>Date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</si>
  <si>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</si>
  <si>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</si>
  <si>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</si>
  <si>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</si>
  <si>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</si>
  <si>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</si>
  <si>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</si>
  <si>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</si>
  <si>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</si>
  <si>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</si>
  <si>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</si>
  <si>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</si>
  <si>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</si>
  <si>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</si>
  <si>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Tangbull</t>
  </si>
  <si>
    <t>BNI - VA</t>
  </si>
  <si>
    <t>Purchase</t>
  </si>
  <si>
    <t>I WAYAN PUJAWAN</t>
  </si>
  <si>
    <t>joko fredians</t>
  </si>
  <si>
    <t>SHERLIN</t>
  </si>
  <si>
    <t>TOTAL AMOUNT</t>
  </si>
  <si>
    <t>BILLING TO Tangbull</t>
  </si>
  <si>
    <t>BILLING TO MYPOUCH</t>
  </si>
  <si>
    <t>Nur Aminah</t>
  </si>
  <si>
    <t>ADYTIA WISHNU SEPTIANTO</t>
  </si>
  <si>
    <t>Maria Natalia</t>
  </si>
  <si>
    <t>dea hardianti</t>
  </si>
  <si>
    <t>Abdul Hayyi</t>
  </si>
  <si>
    <t>Agung Prasetyo</t>
  </si>
  <si>
    <t>sri ningsih</t>
  </si>
  <si>
    <t>dewi nurhayanti</t>
  </si>
  <si>
    <t>Nadi Kusnadi</t>
  </si>
  <si>
    <t>Riski Andika</t>
  </si>
  <si>
    <t>sri hartati</t>
  </si>
  <si>
    <t>cholifah nur ika dewi</t>
  </si>
  <si>
    <t>Ronal Rayana</t>
  </si>
  <si>
    <t>virgilius viktorius LL</t>
  </si>
  <si>
    <t>Ied Prahadi</t>
  </si>
  <si>
    <t>soleh sahab</t>
  </si>
  <si>
    <t>Reynaldo Erlangga</t>
  </si>
  <si>
    <t>Dian Utari Pristiwani</t>
  </si>
  <si>
    <t>indira fajar putri</t>
  </si>
  <si>
    <t>tamariskasimanjuntak</t>
  </si>
  <si>
    <t>endang Ratnasari</t>
  </si>
  <si>
    <t>Putri Lestari</t>
  </si>
  <si>
    <t>firda puspita</t>
  </si>
  <si>
    <t>adi yulianto</t>
  </si>
  <si>
    <t>putri Damayanti Fakri</t>
  </si>
  <si>
    <t>Novi tri elvan dariyanto</t>
  </si>
  <si>
    <t>Gleisy</t>
  </si>
  <si>
    <t>siti hizza nabella</t>
  </si>
  <si>
    <t>trismiyati</t>
  </si>
  <si>
    <t>Yogi Permana</t>
  </si>
  <si>
    <t>ROMDONI</t>
  </si>
  <si>
    <t>sari nurmayanti</t>
  </si>
  <si>
    <t>priyo utomo</t>
  </si>
  <si>
    <t>Ira Christien Madonna</t>
  </si>
  <si>
    <t>agung jaja miharja</t>
  </si>
  <si>
    <t>zedhwik Andi yoseph lumban tob</t>
  </si>
  <si>
    <t>Putri atmajayanti</t>
  </si>
  <si>
    <t>Anita Rahman</t>
  </si>
  <si>
    <t>sari wahyuni</t>
  </si>
  <si>
    <t>Yulia Puji Astuti</t>
  </si>
  <si>
    <t>AJENG ISTIQOMAH SYARIEFAH</t>
  </si>
  <si>
    <t>Hasnawati Gerrits</t>
  </si>
  <si>
    <t>mulia siregar</t>
  </si>
  <si>
    <t>Rekha Adhania Ivana Surya Putri</t>
  </si>
  <si>
    <t>Alfan Nurrahim</t>
  </si>
  <si>
    <t>dwi novita sari</t>
  </si>
  <si>
    <t>fitriani khoeronistifa</t>
  </si>
  <si>
    <t>Gusti Ayu Pratiwi</t>
  </si>
  <si>
    <t>Anton suhermansah</t>
  </si>
  <si>
    <t>Rubyca Darmana</t>
  </si>
  <si>
    <t>septipa angga rohmawati</t>
  </si>
  <si>
    <t>andini</t>
  </si>
  <si>
    <t>Muhammad marshal</t>
  </si>
  <si>
    <t>titin umaisaroh</t>
  </si>
  <si>
    <t>aziza deria</t>
  </si>
  <si>
    <t>niken budi wahyuni</t>
  </si>
  <si>
    <t>Devi Ani Apriyatin</t>
  </si>
  <si>
    <t>yusuf asraf astiara</t>
  </si>
  <si>
    <t xml:space="preserve">Nur azmi </t>
  </si>
  <si>
    <t>Darul Maulana</t>
  </si>
  <si>
    <t>maulidia agustin</t>
  </si>
  <si>
    <t>ricky nopian saadi</t>
  </si>
  <si>
    <t>muhammad aulia rahma</t>
  </si>
  <si>
    <t>Isyana Dewi Saraswati</t>
  </si>
  <si>
    <t>della ade atine</t>
  </si>
  <si>
    <t>venti Novianti mustafa</t>
  </si>
  <si>
    <t>Robby Santoso</t>
  </si>
  <si>
    <t>Alfiansyah</t>
  </si>
  <si>
    <t>efendi richardo napitupulu</t>
  </si>
  <si>
    <t>ibnu adam assidqi</t>
  </si>
  <si>
    <t>azis nurhaji</t>
  </si>
  <si>
    <t>Retno Lasmiyati</t>
  </si>
  <si>
    <t>JUAN URIAN PERDANA</t>
  </si>
  <si>
    <t>andri yuliantoro</t>
  </si>
  <si>
    <t>Herry Kurniawan</t>
  </si>
  <si>
    <t>Widiasri</t>
  </si>
  <si>
    <t>budhy ariani indriyanti</t>
  </si>
  <si>
    <t>Khamzah Saefudin</t>
  </si>
  <si>
    <t>eka surya halisna putra</t>
  </si>
  <si>
    <t>reni tamila</t>
  </si>
  <si>
    <t>dadan Rohendi</t>
  </si>
  <si>
    <t>haerudin</t>
  </si>
  <si>
    <t>Andre Pradesta</t>
  </si>
  <si>
    <t>dea amanda</t>
  </si>
  <si>
    <t>fifi oktafiyanti</t>
  </si>
  <si>
    <t>poniti</t>
  </si>
  <si>
    <t>Andi Faisal</t>
  </si>
  <si>
    <t>meri wahyuni</t>
  </si>
  <si>
    <t>DADAN SETIAWAN</t>
  </si>
  <si>
    <t>chyntia nugrahaning tyas</t>
  </si>
  <si>
    <t>Hendra wiguna</t>
  </si>
  <si>
    <t>prisccilia eva silaban</t>
  </si>
  <si>
    <t>Kusnadi Tandy</t>
  </si>
  <si>
    <t>Lidyawati</t>
  </si>
  <si>
    <t>krisnawan</t>
  </si>
  <si>
    <t>BRYAN RODRIGO MAMANGKEY</t>
  </si>
  <si>
    <t>fajar muhamad yamin</t>
  </si>
  <si>
    <t>Jems samuel salmon</t>
  </si>
  <si>
    <t>Sandra Mariani</t>
  </si>
  <si>
    <t>afnil hisbana faisyar</t>
  </si>
  <si>
    <t>Rifda Naufalin</t>
  </si>
  <si>
    <t>Inge Maylani</t>
  </si>
  <si>
    <t>Lilik indrawati</t>
  </si>
  <si>
    <t>Ludovikus Maringka</t>
  </si>
  <si>
    <t>Ismi Supriyanti</t>
  </si>
  <si>
    <t>Muhzainul arifin</t>
  </si>
  <si>
    <t>RITA HUTAJULU</t>
  </si>
  <si>
    <t>mita kartika sari</t>
  </si>
  <si>
    <t>Ferly Juliansyah</t>
  </si>
  <si>
    <t>adnan tri setiaean</t>
  </si>
  <si>
    <t>agus sulistiyono</t>
  </si>
  <si>
    <t>Feta ningrum</t>
  </si>
  <si>
    <t>ardiansyah putra</t>
  </si>
  <si>
    <t>Admir Isybilli Ubaidilah</t>
  </si>
  <si>
    <t>erwin tri hartanto</t>
  </si>
  <si>
    <t>FATIMAH</t>
  </si>
  <si>
    <t>Chriztiany E.P Woworuntu</t>
  </si>
  <si>
    <t>etim</t>
  </si>
  <si>
    <t>hendra cipta</t>
  </si>
  <si>
    <t>Halinda</t>
  </si>
  <si>
    <t>enur marlia</t>
  </si>
  <si>
    <t>Rio Ardhiansyah</t>
  </si>
  <si>
    <t>muhammad rizha</t>
  </si>
  <si>
    <t>Rahmatul amri indra musthafa</t>
  </si>
  <si>
    <t>AKHMAD KHOLID UBAIDILAH</t>
  </si>
  <si>
    <t>indra maulana</t>
  </si>
  <si>
    <t>robin</t>
  </si>
  <si>
    <t>Arjan Ornam</t>
  </si>
  <si>
    <t>MOKH ANDHI HERDIAN</t>
  </si>
  <si>
    <t>suwanto</t>
  </si>
  <si>
    <t>ade sumarni</t>
  </si>
  <si>
    <t>M BEDI JUBAEDI</t>
  </si>
  <si>
    <t>waluyo triadi</t>
  </si>
  <si>
    <t>Andy Putro Prasetyo</t>
  </si>
  <si>
    <t>ocktavia kartika elizabeth</t>
  </si>
  <si>
    <t>arman ramli</t>
  </si>
  <si>
    <t>RIZKI NUR ANDRIAN</t>
  </si>
  <si>
    <t>Siska Irawati</t>
  </si>
  <si>
    <t>meti yulianti s.pd</t>
  </si>
  <si>
    <t>rudi setiawan lubis</t>
  </si>
  <si>
    <t>zulfa husnah</t>
  </si>
  <si>
    <t>Gilang Moch Gunara</t>
  </si>
  <si>
    <t>catur putro pamungkas</t>
  </si>
  <si>
    <t>tjhia Titi Royani</t>
  </si>
  <si>
    <t>ratna sari Boru Hutabarat</t>
  </si>
  <si>
    <t>yunia mega sari</t>
  </si>
  <si>
    <t>nisrina</t>
  </si>
  <si>
    <t>riski apriliani</t>
  </si>
  <si>
    <t>asroni</t>
  </si>
  <si>
    <t>Ety suryaty</t>
  </si>
  <si>
    <t>Hendra Firmansyah</t>
  </si>
  <si>
    <t>tri sulistyo rini</t>
  </si>
  <si>
    <t>ahmad halwani</t>
  </si>
  <si>
    <t>Afrella Paku Maulana</t>
  </si>
  <si>
    <t>Weti</t>
  </si>
  <si>
    <t>FERRY. K. J. DURKAL</t>
  </si>
  <si>
    <t>Puji Lestari</t>
  </si>
  <si>
    <t>nurkamila sugeng</t>
  </si>
  <si>
    <t>Antonius Tri Setio Nugroho</t>
  </si>
  <si>
    <t>lala nurpalah</t>
  </si>
  <si>
    <t>Debby Novitasari</t>
  </si>
  <si>
    <t>Endang sriwinarsih</t>
  </si>
  <si>
    <t>Tri Kusnanto</t>
  </si>
  <si>
    <t>laurina widyanti</t>
  </si>
  <si>
    <t>lina yulia</t>
  </si>
  <si>
    <t>yoga sony gusnira</t>
  </si>
  <si>
    <t>Dessy Kristiani</t>
  </si>
  <si>
    <t>Alivia Dewi Masita</t>
  </si>
  <si>
    <t>ACEP HUBAILAH</t>
  </si>
  <si>
    <t>bilhadi</t>
  </si>
  <si>
    <t>eva parida harnum</t>
  </si>
  <si>
    <t>Perdianta Ocktavianus Purba</t>
  </si>
  <si>
    <t>putri laela sari</t>
  </si>
  <si>
    <t>y amalia kumaunang</t>
  </si>
  <si>
    <t>nur azimah</t>
  </si>
  <si>
    <t>Cahyadi Rudi Prihatnowo</t>
  </si>
  <si>
    <t>MUJIB</t>
  </si>
  <si>
    <t>Erik Gunawan</t>
  </si>
  <si>
    <t>rajuddin</t>
  </si>
  <si>
    <t>hanna dwita</t>
  </si>
  <si>
    <t>Agung Susilo Wibowo</t>
  </si>
  <si>
    <t>Kevin Valery Hosang</t>
  </si>
  <si>
    <t>endah warassanti</t>
  </si>
  <si>
    <t>maleakbi septian bayu nugroho</t>
  </si>
  <si>
    <t>otang karyana</t>
  </si>
  <si>
    <t>Susilah</t>
  </si>
  <si>
    <t>LIYON SAGITRA</t>
  </si>
  <si>
    <t>gomas robyaningsih</t>
  </si>
  <si>
    <t>Rani nurhayati</t>
  </si>
  <si>
    <t>Teresia carolin</t>
  </si>
  <si>
    <t>AISYAH</t>
  </si>
  <si>
    <t>hernawati</t>
  </si>
  <si>
    <t>ega egiawati</t>
  </si>
  <si>
    <t>Tur cahyo febriyanti</t>
  </si>
  <si>
    <t>dwi  puspayani</t>
  </si>
  <si>
    <t>muchamad rizal fahmi</t>
  </si>
  <si>
    <t>Fissheal Manuel</t>
  </si>
  <si>
    <t>lelah nurlelah</t>
  </si>
  <si>
    <t>Amri</t>
  </si>
  <si>
    <t>diah sekar asri ningrum</t>
  </si>
  <si>
    <t>wisma adhy nugroho se</t>
  </si>
  <si>
    <t>Melisa rohmayani</t>
  </si>
  <si>
    <t>betesda sijabat</t>
  </si>
  <si>
    <t>RISTIA NUGRAHANI</t>
  </si>
  <si>
    <t>Amrakurniati R Andi Tappu</t>
  </si>
  <si>
    <t>Candra Kurniawan</t>
  </si>
  <si>
    <t>Sepri saputra</t>
  </si>
  <si>
    <t>fuji amali</t>
  </si>
  <si>
    <t>erick prihadi kusumah</t>
  </si>
  <si>
    <t>dwi pribudiarti</t>
  </si>
  <si>
    <t>devi arvany</t>
  </si>
  <si>
    <t>erlangga setiawan</t>
  </si>
  <si>
    <t>Fristda Brigitha</t>
  </si>
  <si>
    <t>farouk akbar lubis</t>
  </si>
  <si>
    <t>Endah Ayu Purnamasari</t>
  </si>
  <si>
    <t>ramlah</t>
  </si>
  <si>
    <t>astri sulastri</t>
  </si>
  <si>
    <t>arief fauzan</t>
  </si>
  <si>
    <t>rapinsyah</t>
  </si>
  <si>
    <t>muhamad awang</t>
  </si>
  <si>
    <t>ni nyoman tri nopiyanti</t>
  </si>
  <si>
    <t>eis pinolia</t>
  </si>
  <si>
    <t>Nanah herdiana</t>
  </si>
  <si>
    <t>dessy juniana findy</t>
  </si>
  <si>
    <t>raenita sari</t>
  </si>
  <si>
    <t>firman apriyanus</t>
  </si>
  <si>
    <t>andry lios</t>
  </si>
  <si>
    <t>Liem Mei Mei</t>
  </si>
  <si>
    <t>sri rohayati</t>
  </si>
  <si>
    <t>angelina augustine</t>
  </si>
  <si>
    <t>uzlatur risaalah</t>
  </si>
  <si>
    <t>Lien Herlina</t>
  </si>
  <si>
    <t>pudji lestari</t>
  </si>
  <si>
    <t>Dandy Alwira Ponda</t>
  </si>
  <si>
    <t>Nurliani</t>
  </si>
  <si>
    <t>Trie Hastuti</t>
  </si>
  <si>
    <t>muhammad jupri</t>
  </si>
  <si>
    <t>m ade suhatdiana</t>
  </si>
  <si>
    <t>Arief Wijaya Kusuma</t>
  </si>
  <si>
    <t>Katrine Afrilla</t>
  </si>
  <si>
    <t>Mia isti latifah</t>
  </si>
  <si>
    <t>RINA FARIDA MARIANA</t>
  </si>
  <si>
    <t>bagus galang martono</t>
  </si>
  <si>
    <t>Nina Wahyuni</t>
  </si>
  <si>
    <t>waryana</t>
  </si>
  <si>
    <t>Aulia Ayu Al Irhas</t>
  </si>
  <si>
    <t>Iman Santosa</t>
  </si>
  <si>
    <t>yessy novi anisa tanjung</t>
  </si>
  <si>
    <t>hotlan prito Parningotan</t>
  </si>
  <si>
    <t>merry kristinawati</t>
  </si>
  <si>
    <t>galih insani</t>
  </si>
  <si>
    <t>david</t>
  </si>
  <si>
    <t>putri natalia</t>
  </si>
  <si>
    <t>hendi teguh gunawan</t>
  </si>
  <si>
    <t>Andrew Haryanto</t>
  </si>
  <si>
    <t>MOH RONI</t>
  </si>
  <si>
    <t>R. Nugroho Priyo Sembodo</t>
  </si>
  <si>
    <t>Fredila sintha Nestia</t>
  </si>
  <si>
    <t>Slamet Harianto</t>
  </si>
  <si>
    <t>Eri Suwandhi</t>
  </si>
  <si>
    <t>suci safriani</t>
  </si>
  <si>
    <t>hendra maulana pramadha</t>
  </si>
  <si>
    <t>Adi Warsa</t>
  </si>
  <si>
    <t>Siti Jaenah</t>
  </si>
  <si>
    <t>imron rosyadi</t>
  </si>
  <si>
    <t>NOVI SUSANTI</t>
  </si>
  <si>
    <t>Dwitha Ayudhiaputri</t>
  </si>
  <si>
    <t>Novitha Aimaarta S</t>
  </si>
  <si>
    <t>dian sydnea</t>
  </si>
  <si>
    <t>nadia hanum pratiwi</t>
  </si>
  <si>
    <t>ZAFAR SIDIQ</t>
  </si>
  <si>
    <t>Muhammad syahrur Rahman</t>
  </si>
  <si>
    <t>vony mandasari</t>
  </si>
  <si>
    <t>Linda Lindiawati</t>
  </si>
  <si>
    <t>marsela mei linawati</t>
  </si>
  <si>
    <t>dhedi prasetya</t>
  </si>
  <si>
    <t>errin andriyani</t>
  </si>
  <si>
    <t>sri widiastuti</t>
  </si>
  <si>
    <t>Wahyuni</t>
  </si>
  <si>
    <t>andi prasetyo</t>
  </si>
  <si>
    <t>heryna oktaviana kurniawati</t>
  </si>
  <si>
    <t>isdola</t>
  </si>
  <si>
    <t>siti ulfah ainun</t>
  </si>
  <si>
    <t>Mohamad Rizki Dewanto</t>
  </si>
  <si>
    <t>vina oktavia</t>
  </si>
  <si>
    <t>inka fitria</t>
  </si>
  <si>
    <t>risa nur janah</t>
  </si>
  <si>
    <t>Novira Sagita</t>
  </si>
  <si>
    <t>sardani</t>
  </si>
  <si>
    <t>Echa Kartika</t>
  </si>
  <si>
    <t>nurul ika agustina</t>
  </si>
  <si>
    <t>ajat sudrajat</t>
  </si>
  <si>
    <t>Putri oktafitriana</t>
  </si>
  <si>
    <t>robi astri pratama</t>
  </si>
  <si>
    <t>bagus prihartanto</t>
  </si>
  <si>
    <t>Hermawan saputro</t>
  </si>
  <si>
    <t>riska agustin</t>
  </si>
  <si>
    <t>Ranny Krisnawardhani</t>
  </si>
  <si>
    <t>eingerli</t>
  </si>
  <si>
    <t>sendy aditya</t>
  </si>
  <si>
    <t>Rizki Alriadi</t>
  </si>
  <si>
    <t>ssnti nurjihan</t>
  </si>
  <si>
    <t>sidharta hendra</t>
  </si>
  <si>
    <t>Slamet Winarto</t>
  </si>
  <si>
    <t>Mirna risa</t>
  </si>
  <si>
    <t>Muhamad Ramdani Faddly Akbar</t>
  </si>
  <si>
    <t>sriyanto</t>
  </si>
  <si>
    <t>muhammad arief budiman</t>
  </si>
  <si>
    <t>achmmad machmud fanani</t>
  </si>
  <si>
    <t>m ali abu bakar</t>
  </si>
  <si>
    <t>guntur ramahdan</t>
  </si>
  <si>
    <t>cicilia kiki maria</t>
  </si>
  <si>
    <t>azwar anas</t>
  </si>
  <si>
    <t>Sinta noprika</t>
  </si>
  <si>
    <t>fitri aini mutmainah</t>
  </si>
  <si>
    <t>syamsul huda</t>
  </si>
  <si>
    <t>WAWAN SETIAWAN</t>
  </si>
  <si>
    <t>theodorus</t>
  </si>
  <si>
    <t>Vietha Fauzia</t>
  </si>
  <si>
    <t>Adrian Hartanto</t>
  </si>
  <si>
    <t>Suratminah</t>
  </si>
  <si>
    <t>CHRISTI METIA SUNDARI</t>
  </si>
  <si>
    <t>firda nurholifah</t>
  </si>
  <si>
    <t>anita solihat</t>
  </si>
  <si>
    <t>anggoro ario yudho</t>
  </si>
  <si>
    <t>Iqbal fadillah harahap</t>
  </si>
  <si>
    <t>OKY PRATAMA SIMORANGKIR</t>
  </si>
  <si>
    <t>beny rusbandinar</t>
  </si>
  <si>
    <t>dinie novianty</t>
  </si>
  <si>
    <t>budi cahyono30</t>
  </si>
  <si>
    <t>DANANG TRI SAPUTRA</t>
  </si>
  <si>
    <t>Muhammad Syamsudin</t>
  </si>
  <si>
    <t>LUTFI SEPTIANINGRUM</t>
  </si>
  <si>
    <t>Achmad Taufiq Ristanto</t>
  </si>
  <si>
    <t>Nur Hidayati</t>
  </si>
  <si>
    <t>isran k yusuf</t>
  </si>
  <si>
    <t>Novita susila.hm</t>
  </si>
  <si>
    <t>sofwati</t>
  </si>
  <si>
    <t>ASMALIA</t>
  </si>
  <si>
    <t>ellys kusuma wardani</t>
  </si>
  <si>
    <t>DEWI NERMASARI</t>
  </si>
  <si>
    <t>dwi citra puspita sari</t>
  </si>
  <si>
    <t>Devita Uswatun Hasanah</t>
  </si>
  <si>
    <t>Ferry siswanto</t>
  </si>
  <si>
    <t>Dewi puji astuti</t>
  </si>
  <si>
    <t>riana putri lestari</t>
  </si>
  <si>
    <t>Ridasari</t>
  </si>
  <si>
    <t>fahmi azhari</t>
  </si>
  <si>
    <t>Rian jumhana</t>
  </si>
  <si>
    <t>ariyan fauzi</t>
  </si>
  <si>
    <t>Sekar rachmatary anjani</t>
  </si>
  <si>
    <t>Angga Hari Pratama</t>
  </si>
  <si>
    <t>jianto</t>
  </si>
  <si>
    <t>kristina</t>
  </si>
  <si>
    <t>Nurul Rizky Wardani</t>
  </si>
  <si>
    <t>Fiqri Rojjaq</t>
  </si>
  <si>
    <t>wirawati</t>
  </si>
  <si>
    <t>yogianta anggelika</t>
  </si>
  <si>
    <t>siska sulistio</t>
  </si>
  <si>
    <t>jun gernawan</t>
  </si>
  <si>
    <t>ernawati</t>
  </si>
  <si>
    <t>Henry hidayat</t>
  </si>
  <si>
    <t>UNANDA LESTARY</t>
  </si>
  <si>
    <t>widianto</t>
  </si>
  <si>
    <t>Johanes Ary Mustika</t>
  </si>
  <si>
    <t>FENY AMELIA</t>
  </si>
  <si>
    <t>noor farhana</t>
  </si>
  <si>
    <t>Kartika Putri Harisman</t>
  </si>
  <si>
    <t>INDRA, S.Pd</t>
  </si>
  <si>
    <t>Dian fitria yulianti</t>
  </si>
  <si>
    <t>yudha permana</t>
  </si>
  <si>
    <t>maisarah</t>
  </si>
  <si>
    <t>Gershon Dolok Saribu</t>
  </si>
  <si>
    <t>riyan indriyani</t>
  </si>
  <si>
    <t>Yundi Aditya</t>
  </si>
  <si>
    <t>Dikdik Maulana Yusuf</t>
  </si>
  <si>
    <t>Lanny Rosyani</t>
  </si>
  <si>
    <t>Merry Anggrainy</t>
  </si>
  <si>
    <t>RYAN BIMA SEPTYANDA</t>
  </si>
  <si>
    <t>SISKA MEUTIA RAHMAH</t>
  </si>
  <si>
    <t>indriani dyah saraswati</t>
  </si>
  <si>
    <t>jaenuri</t>
  </si>
  <si>
    <t>NURNI SUSILAWATI</t>
  </si>
  <si>
    <t>HIKMAWATI ABDUL SALAM</t>
  </si>
  <si>
    <t>Dika Praditya</t>
  </si>
  <si>
    <t>novaria br tarigan</t>
  </si>
  <si>
    <t>Putri Anya Rumeser</t>
  </si>
  <si>
    <t>caecilia kusuma wardani</t>
  </si>
  <si>
    <t>meta</t>
  </si>
  <si>
    <t>Eko prasetyo</t>
  </si>
  <si>
    <t>Rizki Fauzi Fakhrudin</t>
  </si>
  <si>
    <t>ika widjiastuti</t>
  </si>
  <si>
    <t>yohana paula kharisma christa</t>
  </si>
  <si>
    <t>susan yulianingsih</t>
  </si>
  <si>
    <t>iwan eko saputro</t>
  </si>
  <si>
    <t>safrijal</t>
  </si>
  <si>
    <t>ferry martino</t>
  </si>
  <si>
    <t>ulliya rahman</t>
  </si>
  <si>
    <t>Bimo Bramantyo Abednego</t>
  </si>
  <si>
    <t>Linda mega sabrina</t>
  </si>
  <si>
    <t>elok nistakur ridah</t>
  </si>
  <si>
    <t>JOHAN TRI WAHONO</t>
  </si>
  <si>
    <t>sri yoan meylinda tarigan</t>
  </si>
  <si>
    <t>Lucky nofitasari</t>
  </si>
  <si>
    <t>Reza orbanda feder</t>
  </si>
  <si>
    <t>ahmad yunus ch</t>
  </si>
  <si>
    <t>Ahmad Rosul</t>
  </si>
  <si>
    <t>yeni samns</t>
  </si>
  <si>
    <t>ananda pratiwi</t>
  </si>
  <si>
    <t>Siska Junervi Gea</t>
  </si>
  <si>
    <t>Mutia pujianingsih</t>
  </si>
  <si>
    <t>Deden Sopian Nugraha</t>
  </si>
  <si>
    <t>JULIANTIO DWI PRAMANA</t>
  </si>
  <si>
    <t>marinni</t>
  </si>
  <si>
    <t>Putu Gede Suka Adnyana</t>
  </si>
  <si>
    <t>vivi nopianti</t>
  </si>
  <si>
    <t>Herman Simorangkir</t>
  </si>
  <si>
    <t>yuliana</t>
  </si>
  <si>
    <t>RISMA ANJELINA</t>
  </si>
  <si>
    <t>Aprillia Zita Seon</t>
  </si>
  <si>
    <t>luffi hudiandri</t>
  </si>
  <si>
    <t>kukuh  santoso</t>
  </si>
  <si>
    <t>Santi Fatimah</t>
  </si>
  <si>
    <t>rijal indriawan</t>
  </si>
  <si>
    <t>Sri mulyati</t>
  </si>
  <si>
    <t>M Haryono S PD</t>
  </si>
  <si>
    <t>asep khairul</t>
  </si>
  <si>
    <t>nuratri</t>
  </si>
  <si>
    <t>Andri Saputra</t>
  </si>
  <si>
    <t>Dede Suparti</t>
  </si>
  <si>
    <t>ike pebri pujiana</t>
  </si>
  <si>
    <t>Dimas Adi Pratama</t>
  </si>
  <si>
    <t>Erni Utami</t>
  </si>
  <si>
    <t>Harini Wulandari</t>
  </si>
  <si>
    <t>Laylatul Isrofah</t>
  </si>
  <si>
    <t>Cahya Mukti</t>
  </si>
  <si>
    <t>mustika mega wijaya</t>
  </si>
  <si>
    <t>M. RIZKY AKBAR</t>
  </si>
  <si>
    <t>Anisa Rizky Aprilia</t>
  </si>
  <si>
    <t>Muhammad Rizal</t>
  </si>
  <si>
    <t>heri kristanto</t>
  </si>
  <si>
    <t>evi febriyanti</t>
  </si>
  <si>
    <t>: 17 December 2018 - 17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</si>
</sst>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&quot;Rp&quot;#,##0;[Red]&quot;Rp&quot;#,##0"/>
    <numFmt numFmtId="165" formatCode="_-[$Rp-3809]* #,##0.00_-;\-[$Rp-3809]* #,##0.00_-;_-[$Rp-3809]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33" borderId="0" xfId="0" applyFont="1" applyFill="1"/>
    <xf numFmtId="0" fontId="20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164" fontId="19" fillId="33" borderId="10" xfId="0" applyNumberFormat="1" applyFont="1" applyFill="1" applyBorder="1" applyAlignment="1">
      <alignment wrapText="1"/>
    </xf>
    <xf numFmtId="165" fontId="19" fillId="33" borderId="10" xfId="0" applyNumberFormat="1" applyFont="1" applyFill="1" applyBorder="1" applyAlignment="1">
      <alignment wrapText="1"/>
    </xf>
    <xf numFmtId="165" fontId="19" fillId="33" borderId="0" xfId="0" applyNumberFormat="1" applyFont="1" applyFill="1"/>
    <xf numFmtId="0" fontId="0" fillId="0" borderId="10" xfId="0" applyBorder="1" applyAlignment="1"/>
    <xf numFmtId="22" fontId="0" fillId="0" borderId="10" xfId="0" applyNumberFormat="1" applyBorder="1" applyAlignment="1"/>
    <xf numFmtId="164" fontId="0" fillId="0" borderId="10" xfId="1" applyNumberFormat="1" applyFont="1" applyBorder="1" applyAlignment="1">
      <alignment horizontal="right"/>
    </xf>
    <xf numFmtId="42" fontId="19" fillId="33" borderId="0" xfId="0" applyNumberFormat="1" applyFont="1" applyFill="1"/>
    <xf numFmtId="42" fontId="20" fillId="35" borderId="11" xfId="1" applyFont="1" applyFill="1" applyBorder="1" applyAlignment="1">
      <alignment wrapText="1"/>
    </xf>
    <xf numFmtId="42" fontId="20" fillId="35" borderId="13" xfId="1" applyFont="1" applyFill="1" applyBorder="1" applyAlignment="1">
      <alignment wrapText="1"/>
    </xf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42" fontId="20" fillId="35" borderId="11" xfId="0" applyNumberFormat="1" applyFont="1" applyFill="1" applyBorder="1" applyAlignment="1">
      <alignment wrapText="1"/>
    </xf>
    <xf numFmtId="42" fontId="20" fillId="35" borderId="13" xfId="0" applyNumberFormat="1" applyFont="1" applyFill="1" applyBorder="1" applyAlignment="1">
      <alignment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 [0]" xfId="1" builtinId="7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73C2-AABD-49E5-B509-5A07E4CE5A52}">
  <dimension ref="A1:N465"/>
  <sheetViews>
    <sheetView showGridLines="0" tabSelected="1" topLeftCell="E443" workbookViewId="0">
      <selection activeCell="L462" sqref="L462:M462"/>
    </sheetView>
  </sheetViews>
  <sheetFormatPr defaultRowHeight="14.2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8.28515625" style="1" bestFit="1" customWidth="1"/>
    <col min="5" max="5" width="24.28515625" style="1" bestFit="1" customWidth="1"/>
    <col min="6" max="6" width="10" style="1" bestFit="1" customWidth="1"/>
    <col min="7" max="7" width="35" style="1" bestFit="1" customWidth="1"/>
    <col min="8" max="8" width="17.28515625" style="1" bestFit="1" customWidth="1"/>
    <col min="9" max="9" width="17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2" t="s">
        <v>0</v>
      </c>
      <c r="B1" s="23"/>
      <c r="C1" s="23"/>
      <c r="D1" s="23"/>
      <c r="E1" s="23"/>
      <c r="F1" s="23"/>
      <c r="G1" s="24"/>
    </row>
    <row r="3" spans="1:14" ht="15" customHeight="1">
      <c r="A3" s="2" t="s">
        <v>1</v>
      </c>
      <c r="B3" s="25" t="s">
        <v>2</v>
      </c>
      <c r="C3" s="26"/>
      <c r="D3" s="26"/>
      <c r="E3" s="26"/>
      <c r="F3" s="26"/>
      <c r="G3" s="27"/>
    </row>
    <row r="4" spans="1:14" ht="15" customHeight="1">
      <c r="A4" s="2" t="s">
        <v>3</v>
      </c>
      <c r="B4" s="25" t="s">
        <v>4</v>
      </c>
      <c r="C4" s="26"/>
      <c r="D4" s="26"/>
      <c r="E4" s="26"/>
      <c r="F4" s="26"/>
      <c r="G4" s="27"/>
    </row>
    <row r="5" spans="1:14" ht="15" customHeight="1">
      <c r="A5" s="2" t="s">
        <v>5</v>
      </c>
      <c r="B5" s="25" t="s">
        <v>471</v>
      </c>
      <c r="C5" s="26"/>
      <c r="D5" s="26"/>
      <c r="E5" s="26"/>
      <c r="F5" s="26"/>
      <c r="G5" s="27"/>
    </row>
    <row r="7" spans="1:14" ht="1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</row>
    <row r="8" spans="1:14" ht="15">
      <c r="A8" s="9">
        <v>1</v>
      </c>
      <c r="B8" s="4" t="s">
        <v>20</v>
      </c>
      <c r="C8" s="5" t="s">
        <v>21</v>
      </c>
      <c r="D8" s="14">
        <v>43451.996828703705</v>
      </c>
      <c r="E8" t="str">
        <f>"15408244664376781496"</f>
        <v>15408244664376781496</v>
      </c>
      <c r="F8" s="4" t="s">
        <v>22</v>
      </c>
      <c r="G8" s="13" t="s">
        <v>29</v>
      </c>
      <c r="H8" t="str">
        <f>"8827181029214707"</f>
        <v>8827181029214707</v>
      </c>
      <c r="I8" s="15">
        <v>1450000</v>
      </c>
      <c r="J8" s="4"/>
      <c r="K8" s="10">
        <v>3900</v>
      </c>
      <c r="L8" s="11">
        <f>(I8-K8)</f>
        <v>1446100</v>
      </c>
      <c r="M8" s="6"/>
      <c r="N8" s="13" t="str">
        <f>"036047"</f>
        <v>036047</v>
      </c>
    </row>
    <row r="9" spans="1:14" ht="15">
      <c r="A9" s="9">
        <v>2</v>
      </c>
      <c r="B9" s="4" t="s">
        <v>20</v>
      </c>
      <c r="C9" s="5" t="s">
        <v>21</v>
      </c>
      <c r="D9" s="14">
        <v>43451.986979166664</v>
      </c>
      <c r="E9" t="str">
        <f>"15413291061131596085"</f>
        <v>15413291061131596085</v>
      </c>
      <c r="F9" s="4" t="s">
        <v>22</v>
      </c>
      <c r="G9" s="13" t="s">
        <v>30</v>
      </c>
      <c r="H9" t="str">
        <f>"8827181104175802"</f>
        <v>8827181104175802</v>
      </c>
      <c r="I9" s="15">
        <v>1633500</v>
      </c>
      <c r="J9" s="4"/>
      <c r="K9" s="10">
        <v>3900</v>
      </c>
      <c r="L9" s="11">
        <f t="shared" ref="L9:L72" si="0">(I9-K9)</f>
        <v>1629600</v>
      </c>
      <c r="M9" s="6"/>
      <c r="N9" s="13" t="str">
        <f>"997550"</f>
        <v>997550</v>
      </c>
    </row>
    <row r="10" spans="1:14" ht="15">
      <c r="A10" s="9">
        <v>3</v>
      </c>
      <c r="B10" s="4" t="s">
        <v>20</v>
      </c>
      <c r="C10" s="5" t="s">
        <v>21</v>
      </c>
      <c r="D10" s="14">
        <v>43451.979756944442</v>
      </c>
      <c r="E10" t="str">
        <f>"15422901930976137131"</f>
        <v>15422901930976137131</v>
      </c>
      <c r="F10" s="4" t="s">
        <v>22</v>
      </c>
      <c r="G10" s="13" t="s">
        <v>31</v>
      </c>
      <c r="H10" t="str">
        <f>"8827181115205601"</f>
        <v>8827181115205601</v>
      </c>
      <c r="I10" s="15">
        <v>2037000</v>
      </c>
      <c r="J10" s="4"/>
      <c r="K10" s="10">
        <v>3900</v>
      </c>
      <c r="L10" s="11">
        <f t="shared" si="0"/>
        <v>2033100</v>
      </c>
      <c r="M10" s="6"/>
      <c r="N10" s="13" t="str">
        <f>"967592"</f>
        <v>967592</v>
      </c>
    </row>
    <row r="11" spans="1:14" ht="15">
      <c r="A11" s="9">
        <v>4</v>
      </c>
      <c r="B11" s="4" t="s">
        <v>20</v>
      </c>
      <c r="C11" s="5" t="s">
        <v>21</v>
      </c>
      <c r="D11" s="14">
        <v>43451.970949074072</v>
      </c>
      <c r="E11" t="str">
        <f>"15429408167634976356"</f>
        <v>15429408167634976356</v>
      </c>
      <c r="F11" s="4" t="s">
        <v>22</v>
      </c>
      <c r="G11" s="13" t="s">
        <v>32</v>
      </c>
      <c r="H11" t="str">
        <f>"8827181123094004"</f>
        <v>8827181123094004</v>
      </c>
      <c r="I11" s="15">
        <v>975600</v>
      </c>
      <c r="J11" s="4"/>
      <c r="K11" s="10">
        <v>3900</v>
      </c>
      <c r="L11" s="11">
        <f t="shared" si="0"/>
        <v>971700</v>
      </c>
      <c r="M11" s="6"/>
      <c r="N11" s="13" t="str">
        <f>"992147"</f>
        <v>992147</v>
      </c>
    </row>
    <row r="12" spans="1:14" ht="15">
      <c r="A12" s="9">
        <v>5</v>
      </c>
      <c r="B12" s="4" t="s">
        <v>20</v>
      </c>
      <c r="C12" s="5" t="s">
        <v>21</v>
      </c>
      <c r="D12" s="14">
        <v>43451.970555555556</v>
      </c>
      <c r="E12" t="str">
        <f>"15421393601654737924"</f>
        <v>15421393601654737924</v>
      </c>
      <c r="F12" s="4" t="s">
        <v>22</v>
      </c>
      <c r="G12" s="13" t="s">
        <v>33</v>
      </c>
      <c r="H12" t="str">
        <f>"8827181114030201"</f>
        <v>8827181114030201</v>
      </c>
      <c r="I12" s="15">
        <v>1096000</v>
      </c>
      <c r="J12" s="4"/>
      <c r="K12" s="10">
        <v>3900</v>
      </c>
      <c r="L12" s="11">
        <f t="shared" si="0"/>
        <v>1092100</v>
      </c>
      <c r="M12" s="6"/>
      <c r="N12" s="13" t="str">
        <f>"992024"</f>
        <v>992024</v>
      </c>
    </row>
    <row r="13" spans="1:14" ht="15">
      <c r="A13" s="9">
        <v>6</v>
      </c>
      <c r="B13" s="4" t="s">
        <v>20</v>
      </c>
      <c r="C13" s="5" t="s">
        <v>21</v>
      </c>
      <c r="D13" s="14">
        <v>43451.961875000001</v>
      </c>
      <c r="E13" t="str">
        <f>"15419075325978785573"</f>
        <v>15419075325978785573</v>
      </c>
      <c r="F13" s="4" t="s">
        <v>22</v>
      </c>
      <c r="G13" s="13" t="s">
        <v>34</v>
      </c>
      <c r="H13" t="str">
        <f>"8827181111103804"</f>
        <v>8827181111103804</v>
      </c>
      <c r="I13" s="15">
        <v>1014000</v>
      </c>
      <c r="J13" s="4"/>
      <c r="K13" s="10">
        <v>3900</v>
      </c>
      <c r="L13" s="11">
        <f t="shared" si="0"/>
        <v>1010100</v>
      </c>
      <c r="M13" s="6"/>
      <c r="N13" s="13" t="str">
        <f>"010276"</f>
        <v>010276</v>
      </c>
    </row>
    <row r="14" spans="1:14" ht="15">
      <c r="A14" s="9">
        <v>7</v>
      </c>
      <c r="B14" s="4" t="s">
        <v>20</v>
      </c>
      <c r="C14" s="5" t="s">
        <v>21</v>
      </c>
      <c r="D14" s="14">
        <v>43451.960520833331</v>
      </c>
      <c r="E14" t="str">
        <f>"15413427654495815643"</f>
        <v>15413427654495815643</v>
      </c>
      <c r="F14" s="4" t="s">
        <v>22</v>
      </c>
      <c r="G14" s="13" t="s">
        <v>35</v>
      </c>
      <c r="H14" t="str">
        <f>"8827181104214601"</f>
        <v>8827181104214601</v>
      </c>
      <c r="I14" s="15">
        <v>1590300</v>
      </c>
      <c r="J14" s="4"/>
      <c r="K14" s="10">
        <v>3900</v>
      </c>
      <c r="L14" s="11">
        <f t="shared" si="0"/>
        <v>1586400</v>
      </c>
      <c r="M14" s="6"/>
      <c r="N14" s="13" t="str">
        <f>"003659"</f>
        <v>003659</v>
      </c>
    </row>
    <row r="15" spans="1:14" ht="15">
      <c r="A15" s="9">
        <v>8</v>
      </c>
      <c r="B15" s="4" t="s">
        <v>20</v>
      </c>
      <c r="C15" s="5" t="s">
        <v>21</v>
      </c>
      <c r="D15" s="14">
        <v>43451.956944444442</v>
      </c>
      <c r="E15" t="str">
        <f>"15427000048364924707"</f>
        <v>15427000048364924707</v>
      </c>
      <c r="F15" s="4" t="s">
        <v>22</v>
      </c>
      <c r="G15" s="13" t="s">
        <v>36</v>
      </c>
      <c r="H15" t="str">
        <f>"8827181120144602"</f>
        <v>8827181120144602</v>
      </c>
      <c r="I15" s="15">
        <v>1796200</v>
      </c>
      <c r="J15" s="4"/>
      <c r="K15" s="10">
        <v>3900</v>
      </c>
      <c r="L15" s="11">
        <f t="shared" si="0"/>
        <v>1792300</v>
      </c>
      <c r="M15" s="6"/>
      <c r="N15" s="13" t="str">
        <f>"988051"</f>
        <v>988051</v>
      </c>
    </row>
    <row r="16" spans="1:14" ht="15">
      <c r="A16" s="9">
        <v>9</v>
      </c>
      <c r="B16" s="4" t="s">
        <v>20</v>
      </c>
      <c r="C16" s="5" t="s">
        <v>21</v>
      </c>
      <c r="D16" s="14">
        <v>43451.954918981479</v>
      </c>
      <c r="E16" t="str">
        <f>"15422902145534120111"</f>
        <v>15422902145534120111</v>
      </c>
      <c r="F16" s="4" t="s">
        <v>22</v>
      </c>
      <c r="G16" s="13" t="s">
        <v>37</v>
      </c>
      <c r="H16" t="str">
        <f>"8827181115205602"</f>
        <v>8827181115205602</v>
      </c>
      <c r="I16" s="15">
        <v>1098000</v>
      </c>
      <c r="J16" s="4"/>
      <c r="K16" s="10">
        <v>3900</v>
      </c>
      <c r="L16" s="11">
        <f t="shared" si="0"/>
        <v>1094100</v>
      </c>
      <c r="M16" s="6"/>
      <c r="N16" s="13" t="str">
        <f>"775212"</f>
        <v>775212</v>
      </c>
    </row>
    <row r="17" spans="1:14" ht="15">
      <c r="A17" s="9">
        <v>10</v>
      </c>
      <c r="B17" s="4" t="s">
        <v>20</v>
      </c>
      <c r="C17" s="5" t="s">
        <v>21</v>
      </c>
      <c r="D17" s="14">
        <v>43451.952638888892</v>
      </c>
      <c r="E17" t="str">
        <f>"15423574607834156843"</f>
        <v>15423574607834156843</v>
      </c>
      <c r="F17" s="4" t="s">
        <v>22</v>
      </c>
      <c r="G17" s="13" t="s">
        <v>38</v>
      </c>
      <c r="H17" t="str">
        <f>"8827181116153702"</f>
        <v>8827181116153702</v>
      </c>
      <c r="I17" s="15">
        <v>1143000</v>
      </c>
      <c r="J17" s="4"/>
      <c r="K17" s="10">
        <v>3900</v>
      </c>
      <c r="L17" s="11">
        <f t="shared" si="0"/>
        <v>1139100</v>
      </c>
      <c r="M17" s="6"/>
      <c r="N17" s="13" t="str">
        <f>"763723"</f>
        <v>763723</v>
      </c>
    </row>
    <row r="18" spans="1:14" ht="15">
      <c r="A18" s="9">
        <v>11</v>
      </c>
      <c r="B18" s="4" t="s">
        <v>20</v>
      </c>
      <c r="C18" s="5" t="s">
        <v>21</v>
      </c>
      <c r="D18" s="14">
        <v>43451.944872685184</v>
      </c>
      <c r="E18" t="str">
        <f>"15412215559309956841"</f>
        <v>15412215559309956841</v>
      </c>
      <c r="F18" s="4" t="s">
        <v>22</v>
      </c>
      <c r="G18" s="13" t="s">
        <v>39</v>
      </c>
      <c r="H18" t="str">
        <f>"8827181103120506"</f>
        <v>8827181103120506</v>
      </c>
      <c r="I18" s="15">
        <v>1692000</v>
      </c>
      <c r="J18" s="4"/>
      <c r="K18" s="10">
        <v>3900</v>
      </c>
      <c r="L18" s="11">
        <f t="shared" si="0"/>
        <v>1688100</v>
      </c>
      <c r="M18" s="6"/>
      <c r="N18" s="13" t="str">
        <f>"722509"</f>
        <v>722509</v>
      </c>
    </row>
    <row r="19" spans="1:14" ht="15">
      <c r="A19" s="9">
        <v>12</v>
      </c>
      <c r="B19" s="4" t="s">
        <v>20</v>
      </c>
      <c r="C19" s="5" t="s">
        <v>21</v>
      </c>
      <c r="D19" s="14">
        <v>43451.93917824074</v>
      </c>
      <c r="E19" t="str">
        <f>"15427804845274477038"</f>
        <v>15427804845274477038</v>
      </c>
      <c r="F19" s="4" t="s">
        <v>22</v>
      </c>
      <c r="G19" s="13" t="s">
        <v>40</v>
      </c>
      <c r="H19" t="str">
        <f>"8827181121130801"</f>
        <v>8827181121130801</v>
      </c>
      <c r="I19" s="15">
        <v>1152000</v>
      </c>
      <c r="J19" s="4"/>
      <c r="K19" s="10">
        <v>3900</v>
      </c>
      <c r="L19" s="11">
        <f t="shared" si="0"/>
        <v>1148100</v>
      </c>
      <c r="M19" s="6"/>
      <c r="N19" s="13" t="str">
        <f>"689698"</f>
        <v>689698</v>
      </c>
    </row>
    <row r="20" spans="1:14" ht="15">
      <c r="A20" s="9">
        <v>13</v>
      </c>
      <c r="B20" s="4" t="s">
        <v>20</v>
      </c>
      <c r="C20" s="5" t="s">
        <v>21</v>
      </c>
      <c r="D20" s="14">
        <v>43451.936018518521</v>
      </c>
      <c r="E20" t="str">
        <f>"15406960172778644690"</f>
        <v>15406960172778644690</v>
      </c>
      <c r="F20" s="4" t="s">
        <v>22</v>
      </c>
      <c r="G20" s="13" t="s">
        <v>41</v>
      </c>
      <c r="H20" t="str">
        <f>"8827181028100605"</f>
        <v>8827181028100605</v>
      </c>
      <c r="I20" s="15">
        <v>1752000</v>
      </c>
      <c r="J20" s="4"/>
      <c r="K20" s="10">
        <v>3900</v>
      </c>
      <c r="L20" s="11">
        <f t="shared" si="0"/>
        <v>1748100</v>
      </c>
      <c r="M20" s="6"/>
      <c r="N20" s="13" t="str">
        <f>"981884"</f>
        <v>981884</v>
      </c>
    </row>
    <row r="21" spans="1:14" ht="15">
      <c r="A21" s="9">
        <v>14</v>
      </c>
      <c r="B21" s="4" t="s">
        <v>20</v>
      </c>
      <c r="C21" s="5" t="s">
        <v>21</v>
      </c>
      <c r="D21" s="14">
        <v>43451.927210648151</v>
      </c>
      <c r="E21" t="str">
        <f>"15409553630124137174"</f>
        <v>15409553630124137174</v>
      </c>
      <c r="F21" s="4" t="s">
        <v>22</v>
      </c>
      <c r="G21" s="13" t="s">
        <v>24</v>
      </c>
      <c r="H21" t="str">
        <f>"8827181031100904"</f>
        <v>8827181031100904</v>
      </c>
      <c r="I21" s="15">
        <v>1376700</v>
      </c>
      <c r="J21" s="4"/>
      <c r="K21" s="10">
        <v>3900</v>
      </c>
      <c r="L21" s="11">
        <f t="shared" si="0"/>
        <v>1372800</v>
      </c>
      <c r="M21" s="6"/>
      <c r="N21" s="13" t="str">
        <f>"614269"</f>
        <v>614269</v>
      </c>
    </row>
    <row r="22" spans="1:14" ht="15">
      <c r="A22" s="9">
        <v>15</v>
      </c>
      <c r="B22" s="4" t="s">
        <v>20</v>
      </c>
      <c r="C22" s="5" t="s">
        <v>21</v>
      </c>
      <c r="D22" s="14">
        <v>43451.926562499997</v>
      </c>
      <c r="E22" t="str">
        <f>"15426185211957258259"</f>
        <v>15426185211957258259</v>
      </c>
      <c r="F22" s="4" t="s">
        <v>22</v>
      </c>
      <c r="G22" s="13" t="s">
        <v>42</v>
      </c>
      <c r="H22" t="str">
        <f>"8827181119160803"</f>
        <v>8827181119160803</v>
      </c>
      <c r="I22" s="15">
        <v>1298000</v>
      </c>
      <c r="J22" s="4"/>
      <c r="K22" s="10">
        <v>3900</v>
      </c>
      <c r="L22" s="11">
        <f t="shared" si="0"/>
        <v>1294100</v>
      </c>
      <c r="M22" s="6"/>
      <c r="N22" s="13" t="str">
        <f>"609965"</f>
        <v>609965</v>
      </c>
    </row>
    <row r="23" spans="1:14" ht="15">
      <c r="A23" s="9">
        <v>16</v>
      </c>
      <c r="B23" s="4" t="s">
        <v>20</v>
      </c>
      <c r="C23" s="5" t="s">
        <v>21</v>
      </c>
      <c r="D23" s="14">
        <v>43451.91615740741</v>
      </c>
      <c r="E23" t="str">
        <f>"15433070931172011704"</f>
        <v>15433070931172011704</v>
      </c>
      <c r="F23" s="4" t="s">
        <v>22</v>
      </c>
      <c r="G23" s="13" t="s">
        <v>43</v>
      </c>
      <c r="H23" t="str">
        <f>"8827181127152403"</f>
        <v>8827181127152403</v>
      </c>
      <c r="I23" s="15">
        <v>1752000</v>
      </c>
      <c r="J23" s="4"/>
      <c r="K23" s="10">
        <v>3900</v>
      </c>
      <c r="L23" s="11">
        <f t="shared" si="0"/>
        <v>1748100</v>
      </c>
      <c r="M23" s="6"/>
      <c r="N23" s="13" t="str">
        <f>"537218"</f>
        <v>537218</v>
      </c>
    </row>
    <row r="24" spans="1:14" ht="15">
      <c r="A24" s="9">
        <v>17</v>
      </c>
      <c r="B24" s="4" t="s">
        <v>20</v>
      </c>
      <c r="C24" s="5" t="s">
        <v>21</v>
      </c>
      <c r="D24" s="14">
        <v>43451.912881944445</v>
      </c>
      <c r="E24" t="str">
        <f>"15421938466059990487"</f>
        <v>15421938466059990487</v>
      </c>
      <c r="F24" s="4" t="s">
        <v>22</v>
      </c>
      <c r="G24" s="13" t="s">
        <v>44</v>
      </c>
      <c r="H24" t="str">
        <f>"8827181114181005"</f>
        <v>8827181114181005</v>
      </c>
      <c r="I24" s="15">
        <v>1615500</v>
      </c>
      <c r="J24" s="4"/>
      <c r="K24" s="10">
        <v>3900</v>
      </c>
      <c r="L24" s="11">
        <f t="shared" si="0"/>
        <v>1611600</v>
      </c>
      <c r="M24" s="6"/>
      <c r="N24" s="13" t="str">
        <f>"512067"</f>
        <v>512067</v>
      </c>
    </row>
    <row r="25" spans="1:14" ht="15">
      <c r="A25" s="9">
        <v>18</v>
      </c>
      <c r="B25" s="4" t="s">
        <v>20</v>
      </c>
      <c r="C25" s="5" t="s">
        <v>21</v>
      </c>
      <c r="D25" s="14">
        <v>43451.911643518521</v>
      </c>
      <c r="E25" t="str">
        <f>"15415752490271924184"</f>
        <v>15415752490271924184</v>
      </c>
      <c r="F25" s="4" t="s">
        <v>22</v>
      </c>
      <c r="G25" s="13" t="s">
        <v>45</v>
      </c>
      <c r="H25" t="str">
        <f>"8827181107142004"</f>
        <v>8827181107142004</v>
      </c>
      <c r="I25" s="15">
        <v>1460000</v>
      </c>
      <c r="J25" s="4"/>
      <c r="K25" s="10">
        <v>3900</v>
      </c>
      <c r="L25" s="11">
        <f t="shared" si="0"/>
        <v>1456100</v>
      </c>
      <c r="M25" s="6"/>
      <c r="N25" s="13" t="str">
        <f>"502729"</f>
        <v>502729</v>
      </c>
    </row>
    <row r="26" spans="1:14" ht="15">
      <c r="A26" s="9">
        <v>19</v>
      </c>
      <c r="B26" s="4" t="s">
        <v>20</v>
      </c>
      <c r="C26" s="5" t="s">
        <v>21</v>
      </c>
      <c r="D26" s="14">
        <v>43451.91070601852</v>
      </c>
      <c r="E26" t="str">
        <f>"15407817146741514212"</f>
        <v>15407817146741514212</v>
      </c>
      <c r="F26" s="4" t="s">
        <v>22</v>
      </c>
      <c r="G26" s="13" t="s">
        <v>46</v>
      </c>
      <c r="H26" t="str">
        <f>"8827181029095501"</f>
        <v>8827181029095501</v>
      </c>
      <c r="I26" s="15">
        <v>1573500</v>
      </c>
      <c r="J26" s="4"/>
      <c r="K26" s="10">
        <v>3900</v>
      </c>
      <c r="L26" s="11">
        <f t="shared" si="0"/>
        <v>1569600</v>
      </c>
      <c r="M26" s="6"/>
      <c r="N26" s="13" t="str">
        <f>"495490"</f>
        <v>495490</v>
      </c>
    </row>
    <row r="27" spans="1:14" ht="15">
      <c r="A27" s="9">
        <v>20</v>
      </c>
      <c r="B27" s="4" t="s">
        <v>20</v>
      </c>
      <c r="C27" s="5" t="s">
        <v>21</v>
      </c>
      <c r="D27" s="14">
        <v>43451.910358796296</v>
      </c>
      <c r="E27" t="str">
        <f>"15411459311278510020"</f>
        <v>15411459311278510020</v>
      </c>
      <c r="F27" s="4" t="s">
        <v>22</v>
      </c>
      <c r="G27" s="13" t="s">
        <v>47</v>
      </c>
      <c r="H27" t="str">
        <f>"8827181102150502"</f>
        <v>8827181102150502</v>
      </c>
      <c r="I27" s="15">
        <v>1692000</v>
      </c>
      <c r="J27" s="4"/>
      <c r="K27" s="10">
        <v>3900</v>
      </c>
      <c r="L27" s="11">
        <f t="shared" si="0"/>
        <v>1688100</v>
      </c>
      <c r="M27" s="6"/>
      <c r="N27" s="13" t="str">
        <f>"972014"</f>
        <v>972014</v>
      </c>
    </row>
    <row r="28" spans="1:14" ht="15">
      <c r="A28" s="9">
        <v>21</v>
      </c>
      <c r="B28" s="4" t="s">
        <v>20</v>
      </c>
      <c r="C28" s="5" t="s">
        <v>21</v>
      </c>
      <c r="D28" s="14">
        <v>43451.909409722219</v>
      </c>
      <c r="E28" t="str">
        <f>"15415106652164791222"</f>
        <v>15415106652164791222</v>
      </c>
      <c r="F28" s="4" t="s">
        <v>22</v>
      </c>
      <c r="G28" s="13" t="s">
        <v>48</v>
      </c>
      <c r="H28" t="str">
        <f>"8827181106202402"</f>
        <v>8827181106202402</v>
      </c>
      <c r="I28" s="15">
        <v>1767000</v>
      </c>
      <c r="J28" s="4"/>
      <c r="K28" s="10">
        <v>3900</v>
      </c>
      <c r="L28" s="11">
        <f t="shared" si="0"/>
        <v>1763100</v>
      </c>
      <c r="M28" s="6"/>
      <c r="N28" s="13" t="str">
        <f>"484851"</f>
        <v>484851</v>
      </c>
    </row>
    <row r="29" spans="1:14" ht="15">
      <c r="A29" s="9">
        <v>22</v>
      </c>
      <c r="B29" s="4" t="s">
        <v>20</v>
      </c>
      <c r="C29" s="5" t="s">
        <v>21</v>
      </c>
      <c r="D29" s="14">
        <v>43451.9062962963</v>
      </c>
      <c r="E29" t="str">
        <f>"15429814109044169299"</f>
        <v>15429814109044169299</v>
      </c>
      <c r="F29" s="4" t="s">
        <v>22</v>
      </c>
      <c r="G29" s="13" t="s">
        <v>49</v>
      </c>
      <c r="H29" t="str">
        <f>"8827181123205602"</f>
        <v>8827181123205602</v>
      </c>
      <c r="I29" s="15">
        <v>1098000</v>
      </c>
      <c r="J29" s="4"/>
      <c r="K29" s="10">
        <v>3900</v>
      </c>
      <c r="L29" s="11">
        <f t="shared" si="0"/>
        <v>1094100</v>
      </c>
      <c r="M29" s="6"/>
      <c r="N29" s="13" t="str">
        <f>"459562"</f>
        <v>459562</v>
      </c>
    </row>
    <row r="30" spans="1:14" ht="15">
      <c r="A30" s="9">
        <v>23</v>
      </c>
      <c r="B30" s="4" t="s">
        <v>20</v>
      </c>
      <c r="C30" s="5" t="s">
        <v>21</v>
      </c>
      <c r="D30" s="14">
        <v>43451.906168981484</v>
      </c>
      <c r="E30" t="str">
        <f>"15406493118114537789"</f>
        <v>15406493118114537789</v>
      </c>
      <c r="F30" s="4" t="s">
        <v>22</v>
      </c>
      <c r="G30" s="13" t="s">
        <v>50</v>
      </c>
      <c r="H30" t="str">
        <f>"8827181027210804"</f>
        <v>8827181027210804</v>
      </c>
      <c r="I30" s="15">
        <v>300000</v>
      </c>
      <c r="J30" s="4"/>
      <c r="K30" s="10">
        <v>3900</v>
      </c>
      <c r="L30" s="11">
        <f t="shared" si="0"/>
        <v>296100</v>
      </c>
      <c r="M30" s="6"/>
      <c r="N30" s="13" t="str">
        <f>"458529"</f>
        <v>458529</v>
      </c>
    </row>
    <row r="31" spans="1:14" ht="15">
      <c r="A31" s="9">
        <v>24</v>
      </c>
      <c r="B31" s="4" t="s">
        <v>20</v>
      </c>
      <c r="C31" s="5" t="s">
        <v>21</v>
      </c>
      <c r="D31" s="14">
        <v>43451.903703703705</v>
      </c>
      <c r="E31" t="str">
        <f>"15413818938415719660"</f>
        <v>15413818938415719660</v>
      </c>
      <c r="F31" s="4" t="s">
        <v>22</v>
      </c>
      <c r="G31" s="13" t="s">
        <v>51</v>
      </c>
      <c r="H31" t="str">
        <f>"8827181105083801"</f>
        <v>8827181105083801</v>
      </c>
      <c r="I31" s="15">
        <v>1647000</v>
      </c>
      <c r="J31" s="4"/>
      <c r="K31" s="10">
        <v>3900</v>
      </c>
      <c r="L31" s="11">
        <f t="shared" si="0"/>
        <v>1643100</v>
      </c>
      <c r="M31" s="6"/>
      <c r="N31" s="13" t="str">
        <f>"437231"</f>
        <v>437231</v>
      </c>
    </row>
    <row r="32" spans="1:14" ht="15">
      <c r="A32" s="9">
        <v>25</v>
      </c>
      <c r="B32" s="4" t="s">
        <v>20</v>
      </c>
      <c r="C32" s="5" t="s">
        <v>21</v>
      </c>
      <c r="D32" s="14">
        <v>43451.901956018519</v>
      </c>
      <c r="E32" t="str">
        <f>"15408934176761384038"</f>
        <v>15408934176761384038</v>
      </c>
      <c r="F32" s="4" t="s">
        <v>22</v>
      </c>
      <c r="G32" s="13" t="s">
        <v>52</v>
      </c>
      <c r="H32" t="str">
        <f>"8827181030165610"</f>
        <v>8827181030165610</v>
      </c>
      <c r="I32" s="15">
        <v>1902000</v>
      </c>
      <c r="J32" s="4"/>
      <c r="K32" s="10">
        <v>3900</v>
      </c>
      <c r="L32" s="11">
        <f t="shared" si="0"/>
        <v>1898100</v>
      </c>
      <c r="M32" s="6"/>
      <c r="N32" s="13" t="str">
        <f>"421510"</f>
        <v>421510</v>
      </c>
    </row>
    <row r="33" spans="1:14" ht="15">
      <c r="A33" s="9">
        <v>26</v>
      </c>
      <c r="B33" s="4" t="s">
        <v>20</v>
      </c>
      <c r="C33" s="5" t="s">
        <v>21</v>
      </c>
      <c r="D33" s="14">
        <v>43451.901562500003</v>
      </c>
      <c r="E33" t="str">
        <f>"15415955101786043315"</f>
        <v>15415955101786043315</v>
      </c>
      <c r="F33" s="4" t="s">
        <v>22</v>
      </c>
      <c r="G33" s="13" t="s">
        <v>53</v>
      </c>
      <c r="H33" t="str">
        <f>"8827181107195803"</f>
        <v>8827181107195803</v>
      </c>
      <c r="I33" s="15">
        <v>1740000</v>
      </c>
      <c r="J33" s="4"/>
      <c r="K33" s="10">
        <v>3900</v>
      </c>
      <c r="L33" s="11">
        <f t="shared" si="0"/>
        <v>1736100</v>
      </c>
      <c r="M33" s="6"/>
      <c r="N33" s="13" t="str">
        <f>"418107"</f>
        <v>418107</v>
      </c>
    </row>
    <row r="34" spans="1:14" ht="15">
      <c r="A34" s="9">
        <v>27</v>
      </c>
      <c r="B34" s="4" t="s">
        <v>20</v>
      </c>
      <c r="C34" s="5" t="s">
        <v>21</v>
      </c>
      <c r="D34" s="14">
        <v>43451.900497685187</v>
      </c>
      <c r="E34" t="str">
        <f>"15429534842027968884"</f>
        <v>15429534842027968884</v>
      </c>
      <c r="F34" s="4" t="s">
        <v>22</v>
      </c>
      <c r="G34" s="13" t="s">
        <v>54</v>
      </c>
      <c r="H34" t="str">
        <f>"8827181123131102"</f>
        <v>8827181123131102</v>
      </c>
      <c r="I34" s="15">
        <v>1812000</v>
      </c>
      <c r="J34" s="4"/>
      <c r="K34" s="10">
        <v>3900</v>
      </c>
      <c r="L34" s="11">
        <f t="shared" si="0"/>
        <v>1808100</v>
      </c>
      <c r="M34" s="6"/>
      <c r="N34" s="13" t="str">
        <f>"408454"</f>
        <v>408454</v>
      </c>
    </row>
    <row r="35" spans="1:14" ht="15">
      <c r="A35" s="9">
        <v>28</v>
      </c>
      <c r="B35" s="4" t="s">
        <v>20</v>
      </c>
      <c r="C35" s="5" t="s">
        <v>21</v>
      </c>
      <c r="D35" s="14">
        <v>43451.898414351854</v>
      </c>
      <c r="E35" t="str">
        <f>"15430518561129776635"</f>
        <v>15430518561129776635</v>
      </c>
      <c r="F35" s="4" t="s">
        <v>22</v>
      </c>
      <c r="G35" s="13" t="s">
        <v>55</v>
      </c>
      <c r="H35" t="str">
        <f>"8827181124163002"</f>
        <v>8827181124163002</v>
      </c>
      <c r="I35" s="15">
        <v>1091000</v>
      </c>
      <c r="J35" s="4"/>
      <c r="K35" s="10">
        <v>3900</v>
      </c>
      <c r="L35" s="11">
        <f t="shared" si="0"/>
        <v>1087100</v>
      </c>
      <c r="M35" s="6"/>
      <c r="N35" s="13" t="str">
        <f>"389690"</f>
        <v>389690</v>
      </c>
    </row>
    <row r="36" spans="1:14" ht="15">
      <c r="A36" s="9">
        <v>29</v>
      </c>
      <c r="B36" s="4" t="s">
        <v>20</v>
      </c>
      <c r="C36" s="5" t="s">
        <v>21</v>
      </c>
      <c r="D36" s="14">
        <v>43451.897337962961</v>
      </c>
      <c r="E36" t="str">
        <f>"15429843517834854329"</f>
        <v>15429843517834854329</v>
      </c>
      <c r="F36" s="4" t="s">
        <v>22</v>
      </c>
      <c r="G36" s="13" t="s">
        <v>56</v>
      </c>
      <c r="H36" t="str">
        <f>"8827181123214501"</f>
        <v>8827181123214501</v>
      </c>
      <c r="I36" s="15">
        <v>1812000</v>
      </c>
      <c r="J36" s="4"/>
      <c r="K36" s="10">
        <v>3900</v>
      </c>
      <c r="L36" s="11">
        <f t="shared" si="0"/>
        <v>1808100</v>
      </c>
      <c r="M36" s="6"/>
      <c r="N36" s="13" t="str">
        <f>"379368"</f>
        <v>379368</v>
      </c>
    </row>
    <row r="37" spans="1:14" ht="15">
      <c r="A37" s="9">
        <v>30</v>
      </c>
      <c r="B37" s="4" t="s">
        <v>20</v>
      </c>
      <c r="C37" s="5" t="s">
        <v>21</v>
      </c>
      <c r="D37" s="14">
        <v>43451.89571759259</v>
      </c>
      <c r="E37" t="str">
        <f>"15407931153585925292"</f>
        <v>15407931153585925292</v>
      </c>
      <c r="F37" s="4" t="s">
        <v>22</v>
      </c>
      <c r="G37" s="13" t="s">
        <v>57</v>
      </c>
      <c r="H37" t="str">
        <f>"8827181029130503"</f>
        <v>8827181029130503</v>
      </c>
      <c r="I37" s="15">
        <v>1716000</v>
      </c>
      <c r="J37" s="4"/>
      <c r="K37" s="10">
        <v>3900</v>
      </c>
      <c r="L37" s="11">
        <f t="shared" si="0"/>
        <v>1712100</v>
      </c>
      <c r="M37" s="6"/>
      <c r="N37" s="13" t="str">
        <f>"965179"</f>
        <v>965179</v>
      </c>
    </row>
    <row r="38" spans="1:14" ht="15">
      <c r="A38" s="9">
        <v>31</v>
      </c>
      <c r="B38" s="4" t="s">
        <v>20</v>
      </c>
      <c r="C38" s="5" t="s">
        <v>21</v>
      </c>
      <c r="D38" s="14">
        <v>43451.893333333333</v>
      </c>
      <c r="E38" t="str">
        <f>"15409529851802018844"</f>
        <v>15409529851802018844</v>
      </c>
      <c r="F38" s="4" t="s">
        <v>22</v>
      </c>
      <c r="G38" s="13" t="s">
        <v>58</v>
      </c>
      <c r="H38" t="str">
        <f>"8827181031092907"</f>
        <v>8827181031092907</v>
      </c>
      <c r="I38" s="15">
        <v>637800</v>
      </c>
      <c r="J38" s="4"/>
      <c r="K38" s="10">
        <v>3900</v>
      </c>
      <c r="L38" s="11">
        <f t="shared" si="0"/>
        <v>633900</v>
      </c>
      <c r="M38" s="6"/>
      <c r="N38" s="13" t="str">
        <f>"341291"</f>
        <v>341291</v>
      </c>
    </row>
    <row r="39" spans="1:14" ht="15">
      <c r="A39" s="9">
        <v>32</v>
      </c>
      <c r="B39" s="4" t="s">
        <v>20</v>
      </c>
      <c r="C39" s="5" t="s">
        <v>21</v>
      </c>
      <c r="D39" s="14">
        <v>43451.891331018516</v>
      </c>
      <c r="E39" t="str">
        <f>"15409354125232035276"</f>
        <v>15409354125232035276</v>
      </c>
      <c r="F39" s="4" t="s">
        <v>22</v>
      </c>
      <c r="G39" s="13" t="s">
        <v>59</v>
      </c>
      <c r="H39" t="str">
        <f>"8827181031043601"</f>
        <v>8827181031043601</v>
      </c>
      <c r="I39" s="15">
        <v>1077000</v>
      </c>
      <c r="J39" s="4"/>
      <c r="K39" s="10">
        <v>3900</v>
      </c>
      <c r="L39" s="11">
        <f t="shared" si="0"/>
        <v>1073100</v>
      </c>
      <c r="M39" s="6"/>
      <c r="N39" s="13" t="str">
        <f>"321720"</f>
        <v>321720</v>
      </c>
    </row>
    <row r="40" spans="1:14" ht="15">
      <c r="A40" s="9">
        <v>33</v>
      </c>
      <c r="B40" s="4" t="s">
        <v>20</v>
      </c>
      <c r="C40" s="5" t="s">
        <v>21</v>
      </c>
      <c r="D40" s="14">
        <v>43451.889131944445</v>
      </c>
      <c r="E40" t="str">
        <f>"15417369206869353229"</f>
        <v>15417369206869353229</v>
      </c>
      <c r="F40" s="4" t="s">
        <v>22</v>
      </c>
      <c r="G40" s="13" t="s">
        <v>60</v>
      </c>
      <c r="H40" t="str">
        <f>"8827181109111517"</f>
        <v>8827181109111517</v>
      </c>
      <c r="I40" s="15">
        <v>1000000</v>
      </c>
      <c r="J40" s="4"/>
      <c r="K40" s="10">
        <v>3900</v>
      </c>
      <c r="L40" s="11">
        <f t="shared" si="0"/>
        <v>996100</v>
      </c>
      <c r="M40" s="6"/>
      <c r="N40" s="13" t="str">
        <f>"300179"</f>
        <v>300179</v>
      </c>
    </row>
    <row r="41" spans="1:14" ht="15">
      <c r="A41" s="9">
        <v>34</v>
      </c>
      <c r="B41" s="4" t="s">
        <v>20</v>
      </c>
      <c r="C41" s="5" t="s">
        <v>21</v>
      </c>
      <c r="D41" s="14">
        <v>43451.887962962966</v>
      </c>
      <c r="E41" t="str">
        <f>"15418363604643873126"</f>
        <v>15418363604643873126</v>
      </c>
      <c r="F41" s="4" t="s">
        <v>22</v>
      </c>
      <c r="G41" s="13" t="s">
        <v>61</v>
      </c>
      <c r="H41" t="str">
        <f>"8827181110145202"</f>
        <v>8827181110145202</v>
      </c>
      <c r="I41" s="15">
        <v>1401600</v>
      </c>
      <c r="J41" s="4"/>
      <c r="K41" s="10">
        <v>3900</v>
      </c>
      <c r="L41" s="11">
        <f t="shared" si="0"/>
        <v>1397700</v>
      </c>
      <c r="M41" s="6"/>
      <c r="N41" s="13" t="str">
        <f>"288905"</f>
        <v>288905</v>
      </c>
    </row>
    <row r="42" spans="1:14" ht="15">
      <c r="A42" s="9">
        <v>35</v>
      </c>
      <c r="B42" s="4" t="s">
        <v>20</v>
      </c>
      <c r="C42" s="5" t="s">
        <v>21</v>
      </c>
      <c r="D42" s="14">
        <v>43451.887812499997</v>
      </c>
      <c r="E42" t="str">
        <f>"15415761184775369879"</f>
        <v>15415761184775369879</v>
      </c>
      <c r="F42" s="4" t="s">
        <v>22</v>
      </c>
      <c r="G42" s="13" t="s">
        <v>62</v>
      </c>
      <c r="H42" t="str">
        <f>"8827181107143505"</f>
        <v>8827181107143505</v>
      </c>
      <c r="I42" s="15">
        <v>1752000</v>
      </c>
      <c r="J42" s="4"/>
      <c r="K42" s="10">
        <v>3900</v>
      </c>
      <c r="L42" s="11">
        <f t="shared" si="0"/>
        <v>1748100</v>
      </c>
      <c r="M42" s="6"/>
      <c r="N42" s="13" t="str">
        <f>"287298"</f>
        <v>287298</v>
      </c>
    </row>
    <row r="43" spans="1:14" ht="15">
      <c r="A43" s="9">
        <v>36</v>
      </c>
      <c r="B43" s="4" t="s">
        <v>20</v>
      </c>
      <c r="C43" s="5" t="s">
        <v>21</v>
      </c>
      <c r="D43" s="14">
        <v>43451.886180555557</v>
      </c>
      <c r="E43" t="str">
        <f>"15419378523368278733"</f>
        <v>15419378523368278733</v>
      </c>
      <c r="F43" s="4" t="s">
        <v>22</v>
      </c>
      <c r="G43" s="13" t="s">
        <v>63</v>
      </c>
      <c r="H43" t="str">
        <f>"8827181111190402"</f>
        <v>8827181111190402</v>
      </c>
      <c r="I43" s="15">
        <v>1153900</v>
      </c>
      <c r="J43" s="4"/>
      <c r="K43" s="10">
        <v>3900</v>
      </c>
      <c r="L43" s="11">
        <f t="shared" si="0"/>
        <v>1150000</v>
      </c>
      <c r="M43" s="6"/>
      <c r="N43" s="13" t="str">
        <f>"270900"</f>
        <v>270900</v>
      </c>
    </row>
    <row r="44" spans="1:14" ht="15">
      <c r="A44" s="9">
        <v>37</v>
      </c>
      <c r="B44" s="4" t="s">
        <v>20</v>
      </c>
      <c r="C44" s="5" t="s">
        <v>21</v>
      </c>
      <c r="D44" s="14">
        <v>43451.885312500002</v>
      </c>
      <c r="E44" t="str">
        <f>"15427884527712579481"</f>
        <v>15427884527712579481</v>
      </c>
      <c r="F44" s="4" t="s">
        <v>22</v>
      </c>
      <c r="G44" s="13" t="s">
        <v>64</v>
      </c>
      <c r="H44" t="str">
        <f>"8827181121152002"</f>
        <v>8827181121152002</v>
      </c>
      <c r="I44" s="15">
        <v>1797000</v>
      </c>
      <c r="J44" s="4"/>
      <c r="K44" s="10">
        <v>3900</v>
      </c>
      <c r="L44" s="11">
        <f t="shared" si="0"/>
        <v>1793100</v>
      </c>
      <c r="M44" s="6"/>
      <c r="N44" s="13" t="str">
        <f>"960166"</f>
        <v>960166</v>
      </c>
    </row>
    <row r="45" spans="1:14" ht="15">
      <c r="A45" s="9">
        <v>38</v>
      </c>
      <c r="B45" s="4" t="s">
        <v>20</v>
      </c>
      <c r="C45" s="5" t="s">
        <v>21</v>
      </c>
      <c r="D45" s="14">
        <v>43451.883321759262</v>
      </c>
      <c r="E45" t="str">
        <f>"15419139784144858822"</f>
        <v>15419139784144858822</v>
      </c>
      <c r="F45" s="4" t="s">
        <v>22</v>
      </c>
      <c r="G45" s="13" t="s">
        <v>65</v>
      </c>
      <c r="H45" t="str">
        <f>"8827181111122601"</f>
        <v>8827181111122601</v>
      </c>
      <c r="I45" s="15">
        <v>1752000</v>
      </c>
      <c r="J45" s="4"/>
      <c r="K45" s="10">
        <v>3900</v>
      </c>
      <c r="L45" s="11">
        <f t="shared" si="0"/>
        <v>1748100</v>
      </c>
      <c r="M45" s="6"/>
      <c r="N45" s="13" t="str">
        <f>"959119"</f>
        <v>959119</v>
      </c>
    </row>
    <row r="46" spans="1:14" ht="15">
      <c r="A46" s="9">
        <v>39</v>
      </c>
      <c r="B46" s="4" t="s">
        <v>20</v>
      </c>
      <c r="C46" s="5" t="s">
        <v>21</v>
      </c>
      <c r="D46" s="14">
        <v>43451.882187499999</v>
      </c>
      <c r="E46" t="str">
        <f>"15414022904485622638"</f>
        <v>15414022904485622638</v>
      </c>
      <c r="F46" s="4" t="s">
        <v>22</v>
      </c>
      <c r="G46" s="13" t="s">
        <v>66</v>
      </c>
      <c r="H46" t="str">
        <f>"8827181105141801"</f>
        <v>8827181105141801</v>
      </c>
      <c r="I46" s="15">
        <v>1284800</v>
      </c>
      <c r="J46" s="4"/>
      <c r="K46" s="10">
        <v>3900</v>
      </c>
      <c r="L46" s="11">
        <f t="shared" si="0"/>
        <v>1280900</v>
      </c>
      <c r="M46" s="6"/>
      <c r="N46" s="13" t="str">
        <f>"230842"</f>
        <v>230842</v>
      </c>
    </row>
    <row r="47" spans="1:14" ht="15">
      <c r="A47" s="9">
        <v>40</v>
      </c>
      <c r="B47" s="4" t="s">
        <v>20</v>
      </c>
      <c r="C47" s="5" t="s">
        <v>21</v>
      </c>
      <c r="D47" s="14">
        <v>43451.881689814814</v>
      </c>
      <c r="E47" t="str">
        <f>"15427883550308453917"</f>
        <v>15427883550308453917</v>
      </c>
      <c r="F47" s="4" t="s">
        <v>22</v>
      </c>
      <c r="G47" s="13" t="s">
        <v>67</v>
      </c>
      <c r="H47" t="str">
        <f>"8827181121151901"</f>
        <v>8827181121151901</v>
      </c>
      <c r="I47" s="15">
        <v>1070000</v>
      </c>
      <c r="J47" s="4"/>
      <c r="K47" s="10">
        <v>3900</v>
      </c>
      <c r="L47" s="11">
        <f t="shared" si="0"/>
        <v>1066100</v>
      </c>
      <c r="M47" s="6"/>
      <c r="N47" s="13" t="str">
        <f>"225791"</f>
        <v>225791</v>
      </c>
    </row>
    <row r="48" spans="1:14" ht="15">
      <c r="A48" s="9">
        <v>41</v>
      </c>
      <c r="B48" s="4" t="s">
        <v>20</v>
      </c>
      <c r="C48" s="5" t="s">
        <v>21</v>
      </c>
      <c r="D48" s="14">
        <v>43451.881249999999</v>
      </c>
      <c r="E48" t="str">
        <f>"15417550742973667480"</f>
        <v>15417550742973667480</v>
      </c>
      <c r="F48" s="4" t="s">
        <v>22</v>
      </c>
      <c r="G48" s="13" t="s">
        <v>68</v>
      </c>
      <c r="H48" t="str">
        <f>"8827181109161713"</f>
        <v>8827181109161713</v>
      </c>
      <c r="I48" s="15">
        <v>1000000</v>
      </c>
      <c r="J48" s="4"/>
      <c r="K48" s="10">
        <v>3900</v>
      </c>
      <c r="L48" s="11">
        <f t="shared" si="0"/>
        <v>996100</v>
      </c>
      <c r="M48" s="6"/>
      <c r="N48" s="13" t="str">
        <f>"221138"</f>
        <v>221138</v>
      </c>
    </row>
    <row r="49" spans="1:14" ht="15">
      <c r="A49" s="9">
        <v>42</v>
      </c>
      <c r="B49" s="4" t="s">
        <v>20</v>
      </c>
      <c r="C49" s="5" t="s">
        <v>21</v>
      </c>
      <c r="D49" s="14">
        <v>43451.88076388889</v>
      </c>
      <c r="E49" t="str">
        <f>"15425340052186472021"</f>
        <v>15425340052186472021</v>
      </c>
      <c r="F49" s="4" t="s">
        <v>22</v>
      </c>
      <c r="G49" s="13" t="s">
        <v>69</v>
      </c>
      <c r="H49" t="str">
        <f>"8827181118164001"</f>
        <v>8827181118164001</v>
      </c>
      <c r="I49" s="15">
        <v>1647000</v>
      </c>
      <c r="J49" s="4"/>
      <c r="K49" s="10">
        <v>3900</v>
      </c>
      <c r="L49" s="11">
        <f t="shared" si="0"/>
        <v>1643100</v>
      </c>
      <c r="M49" s="6"/>
      <c r="N49" s="13" t="str">
        <f>"216143"</f>
        <v>216143</v>
      </c>
    </row>
    <row r="50" spans="1:14" ht="15">
      <c r="A50" s="9">
        <v>43</v>
      </c>
      <c r="B50" s="4" t="s">
        <v>20</v>
      </c>
      <c r="C50" s="5" t="s">
        <v>21</v>
      </c>
      <c r="D50" s="14">
        <v>43451.88008101852</v>
      </c>
      <c r="E50" t="str">
        <f>"15426269245709146257"</f>
        <v>15426269245709146257</v>
      </c>
      <c r="F50" s="4" t="s">
        <v>22</v>
      </c>
      <c r="G50" s="13" t="s">
        <v>70</v>
      </c>
      <c r="H50" t="str">
        <f>"8827181119182803"</f>
        <v>8827181119182803</v>
      </c>
      <c r="I50" s="15">
        <v>1573500</v>
      </c>
      <c r="J50" s="4"/>
      <c r="K50" s="10">
        <v>3900</v>
      </c>
      <c r="L50" s="11">
        <f t="shared" si="0"/>
        <v>1569600</v>
      </c>
      <c r="M50" s="6"/>
      <c r="N50" s="13" t="str">
        <f>"957445"</f>
        <v>957445</v>
      </c>
    </row>
    <row r="51" spans="1:14" ht="15">
      <c r="A51" s="9">
        <v>44</v>
      </c>
      <c r="B51" s="4" t="s">
        <v>20</v>
      </c>
      <c r="C51" s="5" t="s">
        <v>21</v>
      </c>
      <c r="D51" s="14">
        <v>43451.880069444444</v>
      </c>
      <c r="E51" t="str">
        <f>"15416494730349247307"</f>
        <v>15416494730349247307</v>
      </c>
      <c r="F51" s="4" t="s">
        <v>22</v>
      </c>
      <c r="G51" s="13" t="s">
        <v>71</v>
      </c>
      <c r="H51" t="str">
        <f>"8827181108105703"</f>
        <v>8827181108105703</v>
      </c>
      <c r="I51" s="15">
        <v>2272500</v>
      </c>
      <c r="J51" s="4"/>
      <c r="K51" s="10">
        <v>3900</v>
      </c>
      <c r="L51" s="11">
        <f t="shared" si="0"/>
        <v>2268600</v>
      </c>
      <c r="M51" s="6"/>
      <c r="N51" s="13" t="str">
        <f>"208717"</f>
        <v>208717</v>
      </c>
    </row>
    <row r="52" spans="1:14" ht="15">
      <c r="A52" s="9">
        <v>45</v>
      </c>
      <c r="B52" s="4" t="s">
        <v>20</v>
      </c>
      <c r="C52" s="5" t="s">
        <v>21</v>
      </c>
      <c r="D52" s="14">
        <v>43451.878703703704</v>
      </c>
      <c r="E52" t="str">
        <f>"15406553905376369960"</f>
        <v>15406553905376369960</v>
      </c>
      <c r="F52" s="4" t="s">
        <v>22</v>
      </c>
      <c r="G52" s="13" t="s">
        <v>72</v>
      </c>
      <c r="H52" t="str">
        <f>"8827181027224901"</f>
        <v>8827181027224901</v>
      </c>
      <c r="I52" s="15">
        <v>171600</v>
      </c>
      <c r="J52" s="4"/>
      <c r="K52" s="10">
        <v>3900</v>
      </c>
      <c r="L52" s="11">
        <f t="shared" si="0"/>
        <v>167700</v>
      </c>
      <c r="M52" s="6"/>
      <c r="N52" s="13" t="str">
        <f>"192405"</f>
        <v>192405</v>
      </c>
    </row>
    <row r="53" spans="1:14" ht="15">
      <c r="A53" s="9">
        <v>46</v>
      </c>
      <c r="B53" s="4" t="s">
        <v>20</v>
      </c>
      <c r="C53" s="5" t="s">
        <v>21</v>
      </c>
      <c r="D53" s="14">
        <v>43451.878020833334</v>
      </c>
      <c r="E53" t="str">
        <f>"15422497412796862235"</f>
        <v>15422497412796862235</v>
      </c>
      <c r="F53" s="4" t="s">
        <v>22</v>
      </c>
      <c r="G53" s="13" t="s">
        <v>73</v>
      </c>
      <c r="H53" t="str">
        <f>"8827181115094203"</f>
        <v>8827181115094203</v>
      </c>
      <c r="I53" s="15">
        <v>1276000</v>
      </c>
      <c r="J53" s="4"/>
      <c r="K53" s="10">
        <v>3900</v>
      </c>
      <c r="L53" s="11">
        <f t="shared" si="0"/>
        <v>1272100</v>
      </c>
      <c r="M53" s="6"/>
      <c r="N53" s="13" t="str">
        <f>"186046"</f>
        <v>186046</v>
      </c>
    </row>
    <row r="54" spans="1:14" ht="15">
      <c r="A54" s="9">
        <v>47</v>
      </c>
      <c r="B54" s="4" t="s">
        <v>20</v>
      </c>
      <c r="C54" s="5" t="s">
        <v>21</v>
      </c>
      <c r="D54" s="14">
        <v>43451.877800925926</v>
      </c>
      <c r="E54" t="str">
        <f>"15406562777861653410"</f>
        <v>15406562777861653410</v>
      </c>
      <c r="F54" s="4" t="s">
        <v>22</v>
      </c>
      <c r="G54" s="13" t="s">
        <v>74</v>
      </c>
      <c r="H54" t="str">
        <f>"8827181027230401"</f>
        <v>8827181027230401</v>
      </c>
      <c r="I54" s="15">
        <v>1531400</v>
      </c>
      <c r="J54" s="4"/>
      <c r="K54" s="10">
        <v>3900</v>
      </c>
      <c r="L54" s="11">
        <f t="shared" si="0"/>
        <v>1527500</v>
      </c>
      <c r="M54" s="6"/>
      <c r="N54" s="13" t="str">
        <f>"184019"</f>
        <v>184019</v>
      </c>
    </row>
    <row r="55" spans="1:14" ht="15">
      <c r="A55" s="9">
        <v>48</v>
      </c>
      <c r="B55" s="4" t="s">
        <v>20</v>
      </c>
      <c r="C55" s="5" t="s">
        <v>21</v>
      </c>
      <c r="D55" s="14">
        <v>43451.877743055556</v>
      </c>
      <c r="E55" t="str">
        <f>"15409922276084191296"</f>
        <v>15409922276084191296</v>
      </c>
      <c r="F55" s="4" t="s">
        <v>22</v>
      </c>
      <c r="G55" s="13" t="s">
        <v>75</v>
      </c>
      <c r="H55" t="str">
        <f>"8827181031202305"</f>
        <v>8827181031202305</v>
      </c>
      <c r="I55" s="15">
        <v>1647000</v>
      </c>
      <c r="J55" s="4"/>
      <c r="K55" s="10">
        <v>3900</v>
      </c>
      <c r="L55" s="11">
        <f t="shared" si="0"/>
        <v>1643100</v>
      </c>
      <c r="M55" s="6"/>
      <c r="N55" s="13" t="str">
        <f>"956451"</f>
        <v>956451</v>
      </c>
    </row>
    <row r="56" spans="1:14" ht="15">
      <c r="A56" s="9">
        <v>49</v>
      </c>
      <c r="B56" s="4" t="s">
        <v>20</v>
      </c>
      <c r="C56" s="5" t="s">
        <v>21</v>
      </c>
      <c r="D56" s="14">
        <v>43451.873379629629</v>
      </c>
      <c r="E56" t="str">
        <f>"15407683028688313250"</f>
        <v>15407683028688313250</v>
      </c>
      <c r="F56" s="4" t="s">
        <v>22</v>
      </c>
      <c r="G56" s="13" t="s">
        <v>76</v>
      </c>
      <c r="H56" t="str">
        <f>"8827181029061104"</f>
        <v>8827181029061104</v>
      </c>
      <c r="I56" s="15">
        <v>1662000</v>
      </c>
      <c r="J56" s="4"/>
      <c r="K56" s="10">
        <v>3900</v>
      </c>
      <c r="L56" s="11">
        <f t="shared" si="0"/>
        <v>1658100</v>
      </c>
      <c r="M56" s="6"/>
      <c r="N56" s="13" t="str">
        <f>"136572"</f>
        <v>136572</v>
      </c>
    </row>
    <row r="57" spans="1:14" ht="15">
      <c r="A57" s="9">
        <v>50</v>
      </c>
      <c r="B57" s="4" t="s">
        <v>20</v>
      </c>
      <c r="C57" s="5" t="s">
        <v>21</v>
      </c>
      <c r="D57" s="14">
        <v>43451.869432870371</v>
      </c>
      <c r="E57" t="str">
        <f>"15424329745249088238"</f>
        <v>15424329745249088238</v>
      </c>
      <c r="F57" s="4" t="s">
        <v>22</v>
      </c>
      <c r="G57" s="13" t="s">
        <v>77</v>
      </c>
      <c r="H57" t="str">
        <f>"8827181117123602"</f>
        <v>8827181117123602</v>
      </c>
      <c r="I57" s="15">
        <v>1657500</v>
      </c>
      <c r="J57" s="4"/>
      <c r="K57" s="10">
        <v>3900</v>
      </c>
      <c r="L57" s="11">
        <f t="shared" si="0"/>
        <v>1653600</v>
      </c>
      <c r="M57" s="6"/>
      <c r="N57" s="13" t="str">
        <f>"092394"</f>
        <v>092394</v>
      </c>
    </row>
    <row r="58" spans="1:14" ht="15">
      <c r="A58" s="9">
        <v>51</v>
      </c>
      <c r="B58" s="4" t="s">
        <v>20</v>
      </c>
      <c r="C58" s="5" t="s">
        <v>21</v>
      </c>
      <c r="D58" s="14">
        <v>43451.869085648148</v>
      </c>
      <c r="E58" t="str">
        <f>"15407205280352602956"</f>
        <v>15407205280352602956</v>
      </c>
      <c r="F58" s="4" t="s">
        <v>22</v>
      </c>
      <c r="G58" s="13" t="s">
        <v>78</v>
      </c>
      <c r="H58" t="str">
        <f>"8827181028165502"</f>
        <v>8827181028165502</v>
      </c>
      <c r="I58" s="15">
        <v>1211100</v>
      </c>
      <c r="J58" s="4"/>
      <c r="K58" s="10">
        <v>3900</v>
      </c>
      <c r="L58" s="11">
        <f t="shared" si="0"/>
        <v>1207200</v>
      </c>
      <c r="M58" s="6"/>
      <c r="N58" s="13" t="str">
        <f>"088406"</f>
        <v>088406</v>
      </c>
    </row>
    <row r="59" spans="1:14" ht="15">
      <c r="A59" s="9">
        <v>52</v>
      </c>
      <c r="B59" s="4" t="s">
        <v>20</v>
      </c>
      <c r="C59" s="5" t="s">
        <v>21</v>
      </c>
      <c r="D59" s="14">
        <v>43451.868530092594</v>
      </c>
      <c r="E59" t="str">
        <f>"15408640107907325645"</f>
        <v>15408640107907325645</v>
      </c>
      <c r="F59" s="4" t="s">
        <v>22</v>
      </c>
      <c r="G59" s="13" t="s">
        <v>79</v>
      </c>
      <c r="H59" t="str">
        <f>"8827181030084607"</f>
        <v>8827181030084607</v>
      </c>
      <c r="I59" s="15">
        <v>1692000</v>
      </c>
      <c r="J59" s="4"/>
      <c r="K59" s="10">
        <v>3900</v>
      </c>
      <c r="L59" s="11">
        <f t="shared" si="0"/>
        <v>1688100</v>
      </c>
      <c r="M59" s="6"/>
      <c r="N59" s="13" t="str">
        <f>"951104"</f>
        <v>951104</v>
      </c>
    </row>
    <row r="60" spans="1:14" ht="15">
      <c r="A60" s="9">
        <v>53</v>
      </c>
      <c r="B60" s="4" t="s">
        <v>20</v>
      </c>
      <c r="C60" s="5" t="s">
        <v>21</v>
      </c>
      <c r="D60" s="14">
        <v>43451.865787037037</v>
      </c>
      <c r="E60" t="str">
        <f>"15415096695199498201"</f>
        <v>15415096695199498201</v>
      </c>
      <c r="F60" s="4" t="s">
        <v>22</v>
      </c>
      <c r="G60" s="13" t="s">
        <v>80</v>
      </c>
      <c r="H60" t="str">
        <f>"8827181106200703"</f>
        <v>8827181106200703</v>
      </c>
      <c r="I60" s="15">
        <v>1152000</v>
      </c>
      <c r="J60" s="4"/>
      <c r="K60" s="10">
        <v>3900</v>
      </c>
      <c r="L60" s="11">
        <f t="shared" si="0"/>
        <v>1148100</v>
      </c>
      <c r="M60" s="6"/>
      <c r="N60" s="13" t="str">
        <f>"049796"</f>
        <v>049796</v>
      </c>
    </row>
    <row r="61" spans="1:14" ht="15">
      <c r="A61" s="9">
        <v>54</v>
      </c>
      <c r="B61" s="4" t="s">
        <v>20</v>
      </c>
      <c r="C61" s="5" t="s">
        <v>21</v>
      </c>
      <c r="D61" s="14">
        <v>43451.863437499997</v>
      </c>
      <c r="E61" t="str">
        <f>"15428596398509673030"</f>
        <v>15428596398509673030</v>
      </c>
      <c r="F61" s="4" t="s">
        <v>22</v>
      </c>
      <c r="G61" s="13" t="s">
        <v>81</v>
      </c>
      <c r="H61" t="str">
        <f>"8827181122110702"</f>
        <v>8827181122110702</v>
      </c>
      <c r="I61" s="15">
        <v>1063000</v>
      </c>
      <c r="J61" s="4"/>
      <c r="K61" s="10">
        <v>3900</v>
      </c>
      <c r="L61" s="11">
        <f t="shared" si="0"/>
        <v>1059100</v>
      </c>
      <c r="M61" s="6"/>
      <c r="N61" s="13" t="str">
        <f>"022785"</f>
        <v>022785</v>
      </c>
    </row>
    <row r="62" spans="1:14" ht="15">
      <c r="A62" s="9">
        <v>55</v>
      </c>
      <c r="B62" s="4" t="s">
        <v>20</v>
      </c>
      <c r="C62" s="5" t="s">
        <v>21</v>
      </c>
      <c r="D62" s="14">
        <v>43451.86341435185</v>
      </c>
      <c r="E62" t="str">
        <f>"15419150379699570829"</f>
        <v>15419150379699570829</v>
      </c>
      <c r="F62" s="4" t="s">
        <v>22</v>
      </c>
      <c r="G62" s="13" t="s">
        <v>82</v>
      </c>
      <c r="H62" t="str">
        <f>"8827181111124303"</f>
        <v>8827181111124303</v>
      </c>
      <c r="I62" s="15">
        <v>1482300</v>
      </c>
      <c r="J62" s="4"/>
      <c r="K62" s="10">
        <v>3900</v>
      </c>
      <c r="L62" s="11">
        <f t="shared" si="0"/>
        <v>1478400</v>
      </c>
      <c r="M62" s="6"/>
      <c r="N62" s="13" t="str">
        <f>"947823"</f>
        <v>947823</v>
      </c>
    </row>
    <row r="63" spans="1:14" ht="15">
      <c r="A63" s="9">
        <v>56</v>
      </c>
      <c r="B63" s="4" t="s">
        <v>20</v>
      </c>
      <c r="C63" s="5" t="s">
        <v>21</v>
      </c>
      <c r="D63" s="14">
        <v>43451.862384259257</v>
      </c>
      <c r="E63" t="str">
        <f>"15408623317844833987"</f>
        <v>15408623317844833987</v>
      </c>
      <c r="F63" s="4" t="s">
        <v>22</v>
      </c>
      <c r="G63" s="13" t="s">
        <v>83</v>
      </c>
      <c r="H63" t="str">
        <f>"8827181030081805"</f>
        <v>8827181030081805</v>
      </c>
      <c r="I63" s="15">
        <v>1924500</v>
      </c>
      <c r="J63" s="4"/>
      <c r="K63" s="10">
        <v>3900</v>
      </c>
      <c r="L63" s="11">
        <f t="shared" si="0"/>
        <v>1920600</v>
      </c>
      <c r="M63" s="6"/>
      <c r="N63" s="13" t="str">
        <f>"010663"</f>
        <v>010663</v>
      </c>
    </row>
    <row r="64" spans="1:14" ht="15">
      <c r="A64" s="9">
        <v>57</v>
      </c>
      <c r="B64" s="4" t="s">
        <v>20</v>
      </c>
      <c r="C64" s="5" t="s">
        <v>21</v>
      </c>
      <c r="D64" s="14">
        <v>43451.861631944441</v>
      </c>
      <c r="E64" t="str">
        <f>"15409424959016032906"</f>
        <v>15409424959016032906</v>
      </c>
      <c r="F64" s="4" t="s">
        <v>22</v>
      </c>
      <c r="G64" s="13" t="s">
        <v>84</v>
      </c>
      <c r="H64" t="str">
        <f>"8827181031063405"</f>
        <v>8827181031063405</v>
      </c>
      <c r="I64" s="15">
        <v>1630500</v>
      </c>
      <c r="J64" s="4"/>
      <c r="K64" s="10">
        <v>3900</v>
      </c>
      <c r="L64" s="11">
        <f t="shared" si="0"/>
        <v>1626600</v>
      </c>
      <c r="M64" s="6"/>
      <c r="N64" s="13" t="str">
        <f>"001970"</f>
        <v>001970</v>
      </c>
    </row>
    <row r="65" spans="1:14" ht="15">
      <c r="A65" s="9">
        <v>58</v>
      </c>
      <c r="B65" s="4" t="s">
        <v>20</v>
      </c>
      <c r="C65" s="5" t="s">
        <v>21</v>
      </c>
      <c r="D65" s="14">
        <v>43451.861145833333</v>
      </c>
      <c r="E65" t="str">
        <f>"15420004235999583747"</f>
        <v>15420004235999583747</v>
      </c>
      <c r="F65" s="4" t="s">
        <v>22</v>
      </c>
      <c r="G65" s="13" t="s">
        <v>85</v>
      </c>
      <c r="H65" t="str">
        <f>"8827181112122701"</f>
        <v>8827181112122701</v>
      </c>
      <c r="I65" s="15">
        <v>1692000</v>
      </c>
      <c r="J65" s="4"/>
      <c r="K65" s="10">
        <v>3900</v>
      </c>
      <c r="L65" s="11">
        <f t="shared" si="0"/>
        <v>1688100</v>
      </c>
      <c r="M65" s="6"/>
      <c r="N65" s="13" t="str">
        <f>"795867"</f>
        <v>795867</v>
      </c>
    </row>
    <row r="66" spans="1:14" ht="15">
      <c r="A66" s="9">
        <v>59</v>
      </c>
      <c r="B66" s="4" t="s">
        <v>20</v>
      </c>
      <c r="C66" s="5" t="s">
        <v>21</v>
      </c>
      <c r="D66" s="14">
        <v>43451.860729166663</v>
      </c>
      <c r="E66" t="str">
        <f>"15422176371257398643"</f>
        <v>15422176371257398643</v>
      </c>
      <c r="F66" s="4" t="s">
        <v>22</v>
      </c>
      <c r="G66" s="13" t="s">
        <v>86</v>
      </c>
      <c r="H66" t="str">
        <f>"8827181115004701"</f>
        <v>8827181115004701</v>
      </c>
      <c r="I66" s="15">
        <v>941000</v>
      </c>
      <c r="J66" s="4"/>
      <c r="K66" s="10">
        <v>3900</v>
      </c>
      <c r="L66" s="11">
        <f t="shared" si="0"/>
        <v>937100</v>
      </c>
      <c r="M66" s="6"/>
      <c r="N66" s="13" t="str">
        <f>"790948"</f>
        <v>790948</v>
      </c>
    </row>
    <row r="67" spans="1:14" ht="15">
      <c r="A67" s="9">
        <v>60</v>
      </c>
      <c r="B67" s="4" t="s">
        <v>20</v>
      </c>
      <c r="C67" s="5" t="s">
        <v>21</v>
      </c>
      <c r="D67" s="14">
        <v>43451.859733796293</v>
      </c>
      <c r="E67" t="str">
        <f>"15421034134252235643"</f>
        <v>15421034134252235643</v>
      </c>
      <c r="F67" s="4" t="s">
        <v>22</v>
      </c>
      <c r="G67" s="13" t="s">
        <v>87</v>
      </c>
      <c r="H67" t="str">
        <f>"8827181113170304"</f>
        <v>8827181113170304</v>
      </c>
      <c r="I67" s="15">
        <v>646800</v>
      </c>
      <c r="J67" s="4"/>
      <c r="K67" s="10">
        <v>3900</v>
      </c>
      <c r="L67" s="11">
        <f t="shared" si="0"/>
        <v>642900</v>
      </c>
      <c r="M67" s="6"/>
      <c r="N67" s="13" t="str">
        <f>"779298"</f>
        <v>779298</v>
      </c>
    </row>
    <row r="68" spans="1:14" ht="15">
      <c r="A68" s="9">
        <v>61</v>
      </c>
      <c r="B68" s="4" t="s">
        <v>20</v>
      </c>
      <c r="C68" s="5" t="s">
        <v>21</v>
      </c>
      <c r="D68" s="14">
        <v>43451.85769675926</v>
      </c>
      <c r="E68" t="str">
        <f>"15412972916007193783"</f>
        <v>15412972916007193783</v>
      </c>
      <c r="F68" s="4" t="s">
        <v>22</v>
      </c>
      <c r="G68" s="13" t="s">
        <v>88</v>
      </c>
      <c r="H68" t="str">
        <f>"8827181104090801"</f>
        <v>8827181104090801</v>
      </c>
      <c r="I68" s="15">
        <v>1752000</v>
      </c>
      <c r="J68" s="4"/>
      <c r="K68" s="10">
        <v>3900</v>
      </c>
      <c r="L68" s="11">
        <f t="shared" si="0"/>
        <v>1748100</v>
      </c>
      <c r="M68" s="6"/>
      <c r="N68" s="13" t="str">
        <f>"753848"</f>
        <v>753848</v>
      </c>
    </row>
    <row r="69" spans="1:14" ht="15">
      <c r="A69" s="9">
        <v>62</v>
      </c>
      <c r="B69" s="4" t="s">
        <v>20</v>
      </c>
      <c r="C69" s="5" t="s">
        <v>21</v>
      </c>
      <c r="D69" s="14">
        <v>43451.857592592591</v>
      </c>
      <c r="E69" t="str">
        <f>"15434091563575984674"</f>
        <v>15434091563575984674</v>
      </c>
      <c r="F69" s="4" t="s">
        <v>22</v>
      </c>
      <c r="G69" s="13" t="s">
        <v>89</v>
      </c>
      <c r="H69" t="str">
        <f>"8827181128194501"</f>
        <v>8827181128194501</v>
      </c>
      <c r="I69" s="15">
        <v>580000</v>
      </c>
      <c r="J69" s="4"/>
      <c r="K69" s="10">
        <v>3900</v>
      </c>
      <c r="L69" s="11">
        <f t="shared" si="0"/>
        <v>576100</v>
      </c>
      <c r="M69" s="6"/>
      <c r="N69" s="13" t="str">
        <f>"752573"</f>
        <v>752573</v>
      </c>
    </row>
    <row r="70" spans="1:14" ht="15">
      <c r="A70" s="9">
        <v>63</v>
      </c>
      <c r="B70" s="4" t="s">
        <v>20</v>
      </c>
      <c r="C70" s="5" t="s">
        <v>21</v>
      </c>
      <c r="D70" s="14">
        <v>43451.857592592591</v>
      </c>
      <c r="E70" t="str">
        <f>"15432358355165296232"</f>
        <v>15432358355165296232</v>
      </c>
      <c r="F70" s="4" t="s">
        <v>22</v>
      </c>
      <c r="G70" s="13" t="s">
        <v>90</v>
      </c>
      <c r="H70" t="str">
        <f>"8827181126193701"</f>
        <v>8827181126193701</v>
      </c>
      <c r="I70" s="15">
        <v>1767000</v>
      </c>
      <c r="J70" s="4"/>
      <c r="K70" s="10">
        <v>3900</v>
      </c>
      <c r="L70" s="11">
        <f t="shared" si="0"/>
        <v>1763100</v>
      </c>
      <c r="M70" s="6"/>
      <c r="N70" s="13" t="str">
        <f>"752536"</f>
        <v>752536</v>
      </c>
    </row>
    <row r="71" spans="1:14" ht="15">
      <c r="A71" s="9">
        <v>64</v>
      </c>
      <c r="B71" s="4" t="s">
        <v>20</v>
      </c>
      <c r="C71" s="5" t="s">
        <v>21</v>
      </c>
      <c r="D71" s="14">
        <v>43451.851215277777</v>
      </c>
      <c r="E71" t="str">
        <f>"15428824020859936597"</f>
        <v>15428824020859936597</v>
      </c>
      <c r="F71" s="4" t="s">
        <v>22</v>
      </c>
      <c r="G71" s="13" t="s">
        <v>91</v>
      </c>
      <c r="H71" t="str">
        <f>"8827181122172602"</f>
        <v>8827181122172602</v>
      </c>
      <c r="I71" s="15">
        <v>1035000</v>
      </c>
      <c r="J71" s="4"/>
      <c r="K71" s="10">
        <v>3900</v>
      </c>
      <c r="L71" s="11">
        <f t="shared" si="0"/>
        <v>1031100</v>
      </c>
      <c r="M71" s="6"/>
      <c r="N71" s="13" t="str">
        <f>"673507"</f>
        <v>673507</v>
      </c>
    </row>
    <row r="72" spans="1:14" ht="15">
      <c r="A72" s="9">
        <v>65</v>
      </c>
      <c r="B72" s="4" t="s">
        <v>20</v>
      </c>
      <c r="C72" s="5" t="s">
        <v>21</v>
      </c>
      <c r="D72" s="14">
        <v>43451.846180555556</v>
      </c>
      <c r="E72" t="str">
        <f>"15410479563315080451"</f>
        <v>15410479563315080451</v>
      </c>
      <c r="F72" s="4" t="s">
        <v>22</v>
      </c>
      <c r="G72" s="13" t="s">
        <v>92</v>
      </c>
      <c r="H72" t="str">
        <f>"8827181101115206"</f>
        <v>8827181101115206</v>
      </c>
      <c r="I72" s="15">
        <v>1240800</v>
      </c>
      <c r="J72" s="4"/>
      <c r="K72" s="10">
        <v>3900</v>
      </c>
      <c r="L72" s="11">
        <f t="shared" si="0"/>
        <v>1236900</v>
      </c>
      <c r="M72" s="6"/>
      <c r="N72" s="13" t="str">
        <f>"608207"</f>
        <v>608207</v>
      </c>
    </row>
    <row r="73" spans="1:14" ht="15">
      <c r="A73" s="9">
        <v>66</v>
      </c>
      <c r="B73" s="4" t="s">
        <v>20</v>
      </c>
      <c r="C73" s="5" t="s">
        <v>21</v>
      </c>
      <c r="D73" s="14">
        <v>43451.844039351854</v>
      </c>
      <c r="E73" t="str">
        <f>"15417569326859036151"</f>
        <v>15417569326859036151</v>
      </c>
      <c r="F73" s="4" t="s">
        <v>22</v>
      </c>
      <c r="G73" s="13" t="s">
        <v>93</v>
      </c>
      <c r="H73" t="str">
        <f>"8827181109164802"</f>
        <v>8827181109164802</v>
      </c>
      <c r="I73" s="15">
        <v>1218000</v>
      </c>
      <c r="J73" s="4"/>
      <c r="K73" s="10">
        <v>3900</v>
      </c>
      <c r="L73" s="11">
        <f t="shared" ref="L73:L136" si="1">(I73-K73)</f>
        <v>1214100</v>
      </c>
      <c r="M73" s="6"/>
      <c r="N73" s="13" t="str">
        <f>"580605"</f>
        <v>580605</v>
      </c>
    </row>
    <row r="74" spans="1:14" ht="15">
      <c r="A74" s="9">
        <v>67</v>
      </c>
      <c r="B74" s="4" t="s">
        <v>20</v>
      </c>
      <c r="C74" s="5" t="s">
        <v>21</v>
      </c>
      <c r="D74" s="14">
        <v>43451.8437962963</v>
      </c>
      <c r="E74" t="str">
        <f>"15411647746813250535"</f>
        <v>15411647746813250535</v>
      </c>
      <c r="F74" s="4" t="s">
        <v>22</v>
      </c>
      <c r="G74" s="13" t="s">
        <v>94</v>
      </c>
      <c r="H74" t="str">
        <f>"8827181102201903"</f>
        <v>8827181102201903</v>
      </c>
      <c r="I74" s="15">
        <v>953690</v>
      </c>
      <c r="J74" s="4"/>
      <c r="K74" s="10">
        <v>3900</v>
      </c>
      <c r="L74" s="11">
        <f t="shared" si="1"/>
        <v>949790</v>
      </c>
      <c r="M74" s="6"/>
      <c r="N74" s="13" t="str">
        <f>"577493"</f>
        <v>577493</v>
      </c>
    </row>
    <row r="75" spans="1:14" ht="15">
      <c r="A75" s="9">
        <v>68</v>
      </c>
      <c r="B75" s="4" t="s">
        <v>20</v>
      </c>
      <c r="C75" s="5" t="s">
        <v>21</v>
      </c>
      <c r="D75" s="14">
        <v>43451.842615740738</v>
      </c>
      <c r="E75" t="str">
        <f>"15415870343646473718"</f>
        <v>15415870343646473718</v>
      </c>
      <c r="F75" s="4" t="s">
        <v>22</v>
      </c>
      <c r="G75" s="13" t="s">
        <v>95</v>
      </c>
      <c r="H75" t="str">
        <f>"8827181107173703"</f>
        <v>8827181107173703</v>
      </c>
      <c r="I75" s="15">
        <v>1284800</v>
      </c>
      <c r="J75" s="4"/>
      <c r="K75" s="10">
        <v>3900</v>
      </c>
      <c r="L75" s="11">
        <f t="shared" si="1"/>
        <v>1280900</v>
      </c>
      <c r="M75" s="6"/>
      <c r="N75" s="13" t="str">
        <f>"562056"</f>
        <v>562056</v>
      </c>
    </row>
    <row r="76" spans="1:14" ht="15">
      <c r="A76" s="9">
        <v>69</v>
      </c>
      <c r="B76" s="4" t="s">
        <v>20</v>
      </c>
      <c r="C76" s="5" t="s">
        <v>21</v>
      </c>
      <c r="D76" s="14">
        <v>43451.841631944444</v>
      </c>
      <c r="E76" t="str">
        <f>"15408192849639709170"</f>
        <v>15408192849639709170</v>
      </c>
      <c r="F76" s="4" t="s">
        <v>22</v>
      </c>
      <c r="G76" s="13" t="s">
        <v>96</v>
      </c>
      <c r="H76" t="str">
        <f>"8827181029202102"</f>
        <v>8827181029202102</v>
      </c>
      <c r="I76" s="15">
        <v>1812000</v>
      </c>
      <c r="J76" s="4"/>
      <c r="K76" s="10">
        <v>3900</v>
      </c>
      <c r="L76" s="11">
        <f t="shared" si="1"/>
        <v>1808100</v>
      </c>
      <c r="M76" s="6"/>
      <c r="N76" s="13" t="str">
        <f>"549240"</f>
        <v>549240</v>
      </c>
    </row>
    <row r="77" spans="1:14" ht="15">
      <c r="A77" s="9">
        <v>70</v>
      </c>
      <c r="B77" s="4" t="s">
        <v>20</v>
      </c>
      <c r="C77" s="5" t="s">
        <v>21</v>
      </c>
      <c r="D77" s="14">
        <v>43451.841261574074</v>
      </c>
      <c r="E77" t="str">
        <f>"15415939094174869680"</f>
        <v>15415939094174869680</v>
      </c>
      <c r="F77" s="4" t="s">
        <v>22</v>
      </c>
      <c r="G77" s="13" t="s">
        <v>97</v>
      </c>
      <c r="H77" t="str">
        <f>"8827181107193106"</f>
        <v>8827181107193106</v>
      </c>
      <c r="I77" s="15">
        <v>1662000</v>
      </c>
      <c r="J77" s="4"/>
      <c r="K77" s="10">
        <v>3900</v>
      </c>
      <c r="L77" s="11">
        <f t="shared" si="1"/>
        <v>1658100</v>
      </c>
      <c r="M77" s="6"/>
      <c r="N77" s="13" t="str">
        <f>"544472"</f>
        <v>544472</v>
      </c>
    </row>
    <row r="78" spans="1:14" ht="15">
      <c r="A78" s="9">
        <v>71</v>
      </c>
      <c r="B78" s="4" t="s">
        <v>20</v>
      </c>
      <c r="C78" s="5" t="s">
        <v>21</v>
      </c>
      <c r="D78" s="14">
        <v>43451.84039351852</v>
      </c>
      <c r="E78" t="str">
        <f>"15442739684335935323"</f>
        <v>15442739684335935323</v>
      </c>
      <c r="F78" s="4" t="s">
        <v>22</v>
      </c>
      <c r="G78" s="13" t="s">
        <v>98</v>
      </c>
      <c r="H78" t="str">
        <f>"8827181208195901"</f>
        <v>8827181208195901</v>
      </c>
      <c r="I78" s="15">
        <v>1350000</v>
      </c>
      <c r="J78" s="4"/>
      <c r="K78" s="10">
        <v>3900</v>
      </c>
      <c r="L78" s="11">
        <f t="shared" si="1"/>
        <v>1346100</v>
      </c>
      <c r="M78" s="6"/>
      <c r="N78" s="13" t="str">
        <f>"533263"</f>
        <v>533263</v>
      </c>
    </row>
    <row r="79" spans="1:14" ht="15">
      <c r="A79" s="9">
        <v>72</v>
      </c>
      <c r="B79" s="4" t="s">
        <v>20</v>
      </c>
      <c r="C79" s="5" t="s">
        <v>21</v>
      </c>
      <c r="D79" s="14">
        <v>43451.837233796294</v>
      </c>
      <c r="E79" t="str">
        <f>"15417245799205249303"</f>
        <v>15417245799205249303</v>
      </c>
      <c r="F79" s="4" t="s">
        <v>22</v>
      </c>
      <c r="G79" s="13" t="s">
        <v>99</v>
      </c>
      <c r="H79" t="str">
        <f>"8827181109074903"</f>
        <v>8827181109074903</v>
      </c>
      <c r="I79" s="15">
        <v>1740000</v>
      </c>
      <c r="J79" s="4"/>
      <c r="K79" s="10">
        <v>3900</v>
      </c>
      <c r="L79" s="11">
        <f t="shared" si="1"/>
        <v>1736100</v>
      </c>
      <c r="M79" s="6"/>
      <c r="N79" s="13" t="str">
        <f>"490097"</f>
        <v>490097</v>
      </c>
    </row>
    <row r="80" spans="1:14" ht="15">
      <c r="A80" s="9">
        <v>73</v>
      </c>
      <c r="B80" s="4" t="s">
        <v>20</v>
      </c>
      <c r="C80" s="5" t="s">
        <v>21</v>
      </c>
      <c r="D80" s="14">
        <v>43451.836458333331</v>
      </c>
      <c r="E80" t="str">
        <f>"15412401121422490559"</f>
        <v>15412401121422490559</v>
      </c>
      <c r="F80" s="4" t="s">
        <v>22</v>
      </c>
      <c r="G80" s="13" t="s">
        <v>100</v>
      </c>
      <c r="H80" t="str">
        <f>"8827181103171501"</f>
        <v>8827181103171501</v>
      </c>
      <c r="I80" s="15">
        <v>1797000</v>
      </c>
      <c r="J80" s="4"/>
      <c r="K80" s="10">
        <v>3900</v>
      </c>
      <c r="L80" s="11">
        <f t="shared" si="1"/>
        <v>1793100</v>
      </c>
      <c r="M80" s="6"/>
      <c r="N80" s="13" t="str">
        <f>"479734"</f>
        <v>479734</v>
      </c>
    </row>
    <row r="81" spans="1:14" ht="15">
      <c r="A81" s="9">
        <v>74</v>
      </c>
      <c r="B81" s="4" t="s">
        <v>20</v>
      </c>
      <c r="C81" s="5" t="s">
        <v>21</v>
      </c>
      <c r="D81" s="14">
        <v>43451.836064814815</v>
      </c>
      <c r="E81" t="str">
        <f>"15420072350216701391"</f>
        <v>15420072350216701391</v>
      </c>
      <c r="F81" s="4" t="s">
        <v>22</v>
      </c>
      <c r="G81" s="13" t="s">
        <v>101</v>
      </c>
      <c r="H81" t="str">
        <f>"8827181112142006"</f>
        <v>8827181112142006</v>
      </c>
      <c r="I81" s="15">
        <v>1160000</v>
      </c>
      <c r="J81" s="4"/>
      <c r="K81" s="10">
        <v>3900</v>
      </c>
      <c r="L81" s="11">
        <f t="shared" si="1"/>
        <v>1156100</v>
      </c>
      <c r="M81" s="6"/>
      <c r="N81" s="13" t="str">
        <f>"473254"</f>
        <v>473254</v>
      </c>
    </row>
    <row r="82" spans="1:14" ht="15">
      <c r="A82" s="9">
        <v>75</v>
      </c>
      <c r="B82" s="4" t="s">
        <v>20</v>
      </c>
      <c r="C82" s="5" t="s">
        <v>21</v>
      </c>
      <c r="D82" s="14">
        <v>43451.83489583333</v>
      </c>
      <c r="E82" t="str">
        <f>"15418955765492663999"</f>
        <v>15418955765492663999</v>
      </c>
      <c r="F82" s="4" t="s">
        <v>22</v>
      </c>
      <c r="G82" s="13" t="s">
        <v>102</v>
      </c>
      <c r="H82" t="str">
        <f>"8827181111071902"</f>
        <v>8827181111071902</v>
      </c>
      <c r="I82" s="15">
        <v>1509300</v>
      </c>
      <c r="J82" s="4"/>
      <c r="K82" s="10">
        <v>3900</v>
      </c>
      <c r="L82" s="11">
        <f t="shared" si="1"/>
        <v>1505400</v>
      </c>
      <c r="M82" s="6"/>
      <c r="N82" s="13" t="str">
        <f>"454638"</f>
        <v>454638</v>
      </c>
    </row>
    <row r="83" spans="1:14" ht="15">
      <c r="A83" s="9">
        <v>76</v>
      </c>
      <c r="B83" s="4" t="s">
        <v>20</v>
      </c>
      <c r="C83" s="5" t="s">
        <v>21</v>
      </c>
      <c r="D83" s="14">
        <v>43451.833761574075</v>
      </c>
      <c r="E83" t="str">
        <f>"15414296014488784952"</f>
        <v>15414296014488784952</v>
      </c>
      <c r="F83" s="4" t="s">
        <v>22</v>
      </c>
      <c r="G83" s="13" t="s">
        <v>103</v>
      </c>
      <c r="H83" t="str">
        <f>"8827181105215302"</f>
        <v>8827181105215302</v>
      </c>
      <c r="I83" s="15">
        <v>1782000</v>
      </c>
      <c r="J83" s="4"/>
      <c r="K83" s="10">
        <v>3900</v>
      </c>
      <c r="L83" s="11">
        <f t="shared" si="1"/>
        <v>1778100</v>
      </c>
      <c r="M83" s="6"/>
      <c r="N83" s="13" t="str">
        <f>"435738"</f>
        <v>435738</v>
      </c>
    </row>
    <row r="84" spans="1:14" ht="15">
      <c r="A84" s="9">
        <v>77</v>
      </c>
      <c r="B84" s="4" t="s">
        <v>20</v>
      </c>
      <c r="C84" s="5" t="s">
        <v>21</v>
      </c>
      <c r="D84" s="14">
        <v>43451.833495370367</v>
      </c>
      <c r="E84" t="str">
        <f>"15409741042813661254"</f>
        <v>15409741042813661254</v>
      </c>
      <c r="F84" s="4" t="s">
        <v>22</v>
      </c>
      <c r="G84" s="13" t="s">
        <v>104</v>
      </c>
      <c r="H84" t="str">
        <f>"8827181031152106"</f>
        <v>8827181031152106</v>
      </c>
      <c r="I84" s="15">
        <v>1767000</v>
      </c>
      <c r="J84" s="4"/>
      <c r="K84" s="10">
        <v>3900</v>
      </c>
      <c r="L84" s="11">
        <f t="shared" si="1"/>
        <v>1763100</v>
      </c>
      <c r="M84" s="6"/>
      <c r="N84" s="13" t="str">
        <f>"430928"</f>
        <v>430928</v>
      </c>
    </row>
    <row r="85" spans="1:14" ht="15">
      <c r="A85" s="9">
        <v>78</v>
      </c>
      <c r="B85" s="4" t="s">
        <v>20</v>
      </c>
      <c r="C85" s="5" t="s">
        <v>21</v>
      </c>
      <c r="D85" s="14">
        <v>43451.832939814813</v>
      </c>
      <c r="E85" t="str">
        <f>"15413021314617603736"</f>
        <v>15413021314617603736</v>
      </c>
      <c r="F85" s="4" t="s">
        <v>22</v>
      </c>
      <c r="G85" s="13" t="s">
        <v>105</v>
      </c>
      <c r="H85" t="str">
        <f>"8827181104102802"</f>
        <v>8827181104102802</v>
      </c>
      <c r="I85" s="15">
        <v>10000</v>
      </c>
      <c r="J85" s="4"/>
      <c r="K85" s="10">
        <v>3900</v>
      </c>
      <c r="L85" s="11">
        <f t="shared" si="1"/>
        <v>6100</v>
      </c>
      <c r="M85" s="6"/>
      <c r="N85" s="13" t="str">
        <f>"421583"</f>
        <v>421583</v>
      </c>
    </row>
    <row r="86" spans="1:14" ht="15">
      <c r="A86" s="9">
        <v>79</v>
      </c>
      <c r="B86" s="4" t="s">
        <v>20</v>
      </c>
      <c r="C86" s="5" t="s">
        <v>21</v>
      </c>
      <c r="D86" s="14">
        <v>43451.83222222222</v>
      </c>
      <c r="E86" t="str">
        <f>"15407251225649572063"</f>
        <v>15407251225649572063</v>
      </c>
      <c r="F86" s="4" t="s">
        <v>22</v>
      </c>
      <c r="G86" s="13" t="s">
        <v>106</v>
      </c>
      <c r="H86" t="str">
        <f>"8827181028181201"</f>
        <v>8827181028181201</v>
      </c>
      <c r="I86" s="15">
        <v>1767000</v>
      </c>
      <c r="J86" s="4"/>
      <c r="K86" s="10">
        <v>3900</v>
      </c>
      <c r="L86" s="11">
        <f t="shared" si="1"/>
        <v>1763100</v>
      </c>
      <c r="M86" s="6"/>
      <c r="N86" s="13" t="str">
        <f>"410381"</f>
        <v>410381</v>
      </c>
    </row>
    <row r="87" spans="1:14" ht="15">
      <c r="A87" s="9">
        <v>80</v>
      </c>
      <c r="B87" s="4" t="s">
        <v>20</v>
      </c>
      <c r="C87" s="5" t="s">
        <v>21</v>
      </c>
      <c r="D87" s="14">
        <v>43451.831203703703</v>
      </c>
      <c r="E87" t="str">
        <f>"15413021314617603736"</f>
        <v>15413021314617603736</v>
      </c>
      <c r="F87" s="4" t="s">
        <v>22</v>
      </c>
      <c r="G87" s="13" t="s">
        <v>105</v>
      </c>
      <c r="H87" t="str">
        <f>"8827181104102802"</f>
        <v>8827181104102802</v>
      </c>
      <c r="I87" s="15">
        <v>1615000</v>
      </c>
      <c r="J87" s="4"/>
      <c r="K87" s="10">
        <v>3900</v>
      </c>
      <c r="L87" s="11">
        <f t="shared" si="1"/>
        <v>1611100</v>
      </c>
      <c r="M87" s="6"/>
      <c r="N87" s="13" t="str">
        <f>"396080"</f>
        <v>396080</v>
      </c>
    </row>
    <row r="88" spans="1:14" ht="15">
      <c r="A88" s="9">
        <v>81</v>
      </c>
      <c r="B88" s="4" t="s">
        <v>20</v>
      </c>
      <c r="C88" s="5" t="s">
        <v>21</v>
      </c>
      <c r="D88" s="14">
        <v>43451.831180555557</v>
      </c>
      <c r="E88" t="str">
        <f>"15425011703983017776"</f>
        <v>15425011703983017776</v>
      </c>
      <c r="F88" s="4" t="s">
        <v>22</v>
      </c>
      <c r="G88" s="13" t="s">
        <v>107</v>
      </c>
      <c r="H88" t="str">
        <f>"8827181118073201"</f>
        <v>8827181118073201</v>
      </c>
      <c r="I88" s="15">
        <v>1298000</v>
      </c>
      <c r="J88" s="4"/>
      <c r="K88" s="10">
        <v>3900</v>
      </c>
      <c r="L88" s="11">
        <f t="shared" si="1"/>
        <v>1294100</v>
      </c>
      <c r="M88" s="6"/>
      <c r="N88" s="13" t="str">
        <f>"395732"</f>
        <v>395732</v>
      </c>
    </row>
    <row r="89" spans="1:14" ht="15">
      <c r="A89" s="9">
        <v>82</v>
      </c>
      <c r="B89" s="4" t="s">
        <v>20</v>
      </c>
      <c r="C89" s="5" t="s">
        <v>21</v>
      </c>
      <c r="D89" s="14">
        <v>43451.831099537034</v>
      </c>
      <c r="E89" t="str">
        <f>"15416644869009722978"</f>
        <v>15416644869009722978</v>
      </c>
      <c r="F89" s="4" t="s">
        <v>22</v>
      </c>
      <c r="G89" s="13" t="s">
        <v>108</v>
      </c>
      <c r="H89" t="str">
        <f>"8827181108150805"</f>
        <v>8827181108150805</v>
      </c>
      <c r="I89" s="15">
        <v>1636500</v>
      </c>
      <c r="J89" s="4"/>
      <c r="K89" s="10">
        <v>3900</v>
      </c>
      <c r="L89" s="11">
        <f t="shared" si="1"/>
        <v>1632600</v>
      </c>
      <c r="M89" s="6"/>
      <c r="N89" s="13" t="str">
        <f>"394564"</f>
        <v>394564</v>
      </c>
    </row>
    <row r="90" spans="1:14" ht="15">
      <c r="A90" s="9">
        <v>83</v>
      </c>
      <c r="B90" s="4" t="s">
        <v>20</v>
      </c>
      <c r="C90" s="5" t="s">
        <v>21</v>
      </c>
      <c r="D90" s="14">
        <v>43451.830682870372</v>
      </c>
      <c r="E90" t="str">
        <f>"15408848990424243060"</f>
        <v>15408848990424243060</v>
      </c>
      <c r="F90" s="4" t="s">
        <v>22</v>
      </c>
      <c r="G90" s="13" t="s">
        <v>25</v>
      </c>
      <c r="H90" t="str">
        <f>"8827181030143407"</f>
        <v>8827181030143407</v>
      </c>
      <c r="I90" s="15">
        <v>1573500</v>
      </c>
      <c r="J90" s="4"/>
      <c r="K90" s="10">
        <v>3900</v>
      </c>
      <c r="L90" s="11">
        <f t="shared" si="1"/>
        <v>1569600</v>
      </c>
      <c r="M90" s="6"/>
      <c r="N90" s="13" t="str">
        <f>"925915"</f>
        <v>925915</v>
      </c>
    </row>
    <row r="91" spans="1:14" ht="15">
      <c r="A91" s="9">
        <v>84</v>
      </c>
      <c r="B91" s="4" t="s">
        <v>20</v>
      </c>
      <c r="C91" s="5" t="s">
        <v>21</v>
      </c>
      <c r="D91" s="14">
        <v>43451.828136574077</v>
      </c>
      <c r="E91" t="str">
        <f>"15406899766334683010"</f>
        <v>15406899766334683010</v>
      </c>
      <c r="F91" s="4" t="s">
        <v>22</v>
      </c>
      <c r="G91" s="13" t="s">
        <v>109</v>
      </c>
      <c r="H91" t="str">
        <f>"8827181028082603"</f>
        <v>8827181028082603</v>
      </c>
      <c r="I91" s="15">
        <v>817000</v>
      </c>
      <c r="J91" s="4"/>
      <c r="K91" s="10">
        <v>3900</v>
      </c>
      <c r="L91" s="11">
        <f t="shared" si="1"/>
        <v>813100</v>
      </c>
      <c r="M91" s="6"/>
      <c r="N91" s="13" t="str">
        <f>"354497"</f>
        <v>354497</v>
      </c>
    </row>
    <row r="92" spans="1:14" ht="15">
      <c r="A92" s="9">
        <v>85</v>
      </c>
      <c r="B92" s="4" t="s">
        <v>20</v>
      </c>
      <c r="C92" s="5" t="s">
        <v>21</v>
      </c>
      <c r="D92" s="14">
        <v>43451.827824074076</v>
      </c>
      <c r="E92" t="str">
        <f>"15413998660811210260"</f>
        <v>15413998660811210260</v>
      </c>
      <c r="F92" s="4" t="s">
        <v>22</v>
      </c>
      <c r="G92" s="13" t="s">
        <v>110</v>
      </c>
      <c r="H92" t="str">
        <f>"8827181105133706"</f>
        <v>8827181105133706</v>
      </c>
      <c r="I92" s="15">
        <v>1328750</v>
      </c>
      <c r="J92" s="4"/>
      <c r="K92" s="10">
        <v>3900</v>
      </c>
      <c r="L92" s="11">
        <f t="shared" si="1"/>
        <v>1324850</v>
      </c>
      <c r="M92" s="6"/>
      <c r="N92" s="13" t="str">
        <f>"350283"</f>
        <v>350283</v>
      </c>
    </row>
    <row r="93" spans="1:14" ht="15">
      <c r="A93" s="9">
        <v>86</v>
      </c>
      <c r="B93" s="4" t="s">
        <v>20</v>
      </c>
      <c r="C93" s="5" t="s">
        <v>21</v>
      </c>
      <c r="D93" s="14">
        <v>43451.826770833337</v>
      </c>
      <c r="E93" t="str">
        <f>"15416642789156507549"</f>
        <v>15416642789156507549</v>
      </c>
      <c r="F93" s="4" t="s">
        <v>22</v>
      </c>
      <c r="G93" s="13" t="s">
        <v>111</v>
      </c>
      <c r="H93" t="str">
        <f>"8827181108150404"</f>
        <v>8827181108150404</v>
      </c>
      <c r="I93" s="15">
        <v>1035300</v>
      </c>
      <c r="J93" s="4"/>
      <c r="K93" s="10">
        <v>3900</v>
      </c>
      <c r="L93" s="11">
        <f t="shared" si="1"/>
        <v>1031400</v>
      </c>
      <c r="M93" s="6"/>
      <c r="N93" s="13" t="str">
        <f>"923322"</f>
        <v>923322</v>
      </c>
    </row>
    <row r="94" spans="1:14" ht="15">
      <c r="A94" s="9">
        <v>87</v>
      </c>
      <c r="B94" s="4" t="s">
        <v>20</v>
      </c>
      <c r="C94" s="5" t="s">
        <v>21</v>
      </c>
      <c r="D94" s="14">
        <v>43451.82534722222</v>
      </c>
      <c r="E94" t="str">
        <f>"15407392267504858254"</f>
        <v>15407392267504858254</v>
      </c>
      <c r="F94" s="4" t="s">
        <v>22</v>
      </c>
      <c r="G94" s="13" t="s">
        <v>112</v>
      </c>
      <c r="H94" t="str">
        <f>"8827181028220701"</f>
        <v>8827181028220701</v>
      </c>
      <c r="I94" s="15">
        <v>10000</v>
      </c>
      <c r="J94" s="4"/>
      <c r="K94" s="10">
        <v>3900</v>
      </c>
      <c r="L94" s="11">
        <f t="shared" si="1"/>
        <v>6100</v>
      </c>
      <c r="M94" s="6"/>
      <c r="N94" s="13" t="str">
        <f>"315540"</f>
        <v>315540</v>
      </c>
    </row>
    <row r="95" spans="1:14" ht="15">
      <c r="A95" s="9">
        <v>88</v>
      </c>
      <c r="B95" s="4" t="s">
        <v>20</v>
      </c>
      <c r="C95" s="5" t="s">
        <v>21</v>
      </c>
      <c r="D95" s="14">
        <v>43451.824988425928</v>
      </c>
      <c r="E95" t="str">
        <f>"15426006692007333516"</f>
        <v>15426006692007333516</v>
      </c>
      <c r="F95" s="4" t="s">
        <v>22</v>
      </c>
      <c r="G95" s="13" t="s">
        <v>113</v>
      </c>
      <c r="H95" t="str">
        <f>"8827181119111101"</f>
        <v>8827181119111101</v>
      </c>
      <c r="I95" s="15">
        <v>983250</v>
      </c>
      <c r="J95" s="4"/>
      <c r="K95" s="10">
        <v>3900</v>
      </c>
      <c r="L95" s="11">
        <f t="shared" si="1"/>
        <v>979350</v>
      </c>
      <c r="M95" s="6"/>
      <c r="N95" s="13" t="str">
        <f>"309349"</f>
        <v>309349</v>
      </c>
    </row>
    <row r="96" spans="1:14" ht="15">
      <c r="A96" s="9">
        <v>89</v>
      </c>
      <c r="B96" s="4" t="s">
        <v>20</v>
      </c>
      <c r="C96" s="5" t="s">
        <v>21</v>
      </c>
      <c r="D96" s="14">
        <v>43451.824687499997</v>
      </c>
      <c r="E96" t="str">
        <f>"15417720442804540952"</f>
        <v>15417720442804540952</v>
      </c>
      <c r="F96" s="4" t="s">
        <v>22</v>
      </c>
      <c r="G96" s="13" t="s">
        <v>114</v>
      </c>
      <c r="H96" t="str">
        <f>"8827181109210002"</f>
        <v>8827181109210002</v>
      </c>
      <c r="I96" s="15">
        <v>1740000</v>
      </c>
      <c r="J96" s="4"/>
      <c r="K96" s="10">
        <v>3900</v>
      </c>
      <c r="L96" s="11">
        <f t="shared" si="1"/>
        <v>1736100</v>
      </c>
      <c r="M96" s="6"/>
      <c r="N96" s="13" t="str">
        <f>"304527"</f>
        <v>304527</v>
      </c>
    </row>
    <row r="97" spans="1:14" ht="15">
      <c r="A97" s="9">
        <v>90</v>
      </c>
      <c r="B97" s="4" t="s">
        <v>20</v>
      </c>
      <c r="C97" s="5" t="s">
        <v>21</v>
      </c>
      <c r="D97" s="14">
        <v>43451.823877314811</v>
      </c>
      <c r="E97" t="str">
        <f>"15431143085765858320"</f>
        <v>15431143085765858320</v>
      </c>
      <c r="F97" s="4" t="s">
        <v>22</v>
      </c>
      <c r="G97" s="13" t="s">
        <v>115</v>
      </c>
      <c r="H97" t="str">
        <f>"8827181125095102"</f>
        <v>8827181125095102</v>
      </c>
      <c r="I97" s="15">
        <v>658800</v>
      </c>
      <c r="J97" s="4"/>
      <c r="K97" s="10">
        <v>3900</v>
      </c>
      <c r="L97" s="11">
        <f t="shared" si="1"/>
        <v>654900</v>
      </c>
      <c r="M97" s="6"/>
      <c r="N97" s="13" t="str">
        <f>"921356"</f>
        <v>921356</v>
      </c>
    </row>
    <row r="98" spans="1:14" ht="15">
      <c r="A98" s="9">
        <v>91</v>
      </c>
      <c r="B98" s="4" t="s">
        <v>20</v>
      </c>
      <c r="C98" s="5" t="s">
        <v>21</v>
      </c>
      <c r="D98" s="14">
        <v>43451.822141203702</v>
      </c>
      <c r="E98" t="str">
        <f>"15424222481205527484"</f>
        <v>15424222481205527484</v>
      </c>
      <c r="F98" s="4" t="s">
        <v>22</v>
      </c>
      <c r="G98" s="13" t="s">
        <v>116</v>
      </c>
      <c r="H98" t="str">
        <f>"8827181117093703"</f>
        <v>8827181117093703</v>
      </c>
      <c r="I98" s="15">
        <v>1207000</v>
      </c>
      <c r="J98" s="4"/>
      <c r="K98" s="10">
        <v>3900</v>
      </c>
      <c r="L98" s="11">
        <f t="shared" si="1"/>
        <v>1203100</v>
      </c>
      <c r="M98" s="6"/>
      <c r="N98" s="13" t="str">
        <f>"262744"</f>
        <v>262744</v>
      </c>
    </row>
    <row r="99" spans="1:14" ht="15">
      <c r="A99" s="9">
        <v>92</v>
      </c>
      <c r="B99" s="4" t="s">
        <v>20</v>
      </c>
      <c r="C99" s="5" t="s">
        <v>21</v>
      </c>
      <c r="D99" s="14">
        <v>43451.821087962962</v>
      </c>
      <c r="E99" t="str">
        <f>"15412957702163076174"</f>
        <v>15412957702163076174</v>
      </c>
      <c r="F99" s="4" t="s">
        <v>22</v>
      </c>
      <c r="G99" s="13" t="s">
        <v>117</v>
      </c>
      <c r="H99" t="str">
        <f>"8827181104084204"</f>
        <v>8827181104084204</v>
      </c>
      <c r="I99" s="15">
        <v>1161600</v>
      </c>
      <c r="J99" s="4"/>
      <c r="K99" s="10">
        <v>3900</v>
      </c>
      <c r="L99" s="11">
        <f t="shared" si="1"/>
        <v>1157700</v>
      </c>
      <c r="M99" s="6"/>
      <c r="N99" s="13" t="str">
        <f>"245396"</f>
        <v>245396</v>
      </c>
    </row>
    <row r="100" spans="1:14" ht="15">
      <c r="A100" s="9">
        <v>93</v>
      </c>
      <c r="B100" s="4" t="s">
        <v>20</v>
      </c>
      <c r="C100" s="5" t="s">
        <v>21</v>
      </c>
      <c r="D100" s="14">
        <v>43451.819560185184</v>
      </c>
      <c r="E100" t="str">
        <f>"15421071248779288341"</f>
        <v>15421071248779288341</v>
      </c>
      <c r="F100" s="4" t="s">
        <v>22</v>
      </c>
      <c r="G100" s="13" t="s">
        <v>118</v>
      </c>
      <c r="H100" t="str">
        <f>"8827181113180501"</f>
        <v>8827181113180501</v>
      </c>
      <c r="I100" s="15">
        <v>1647000</v>
      </c>
      <c r="J100" s="4"/>
      <c r="K100" s="10">
        <v>3900</v>
      </c>
      <c r="L100" s="11">
        <f t="shared" si="1"/>
        <v>1643100</v>
      </c>
      <c r="M100" s="6"/>
      <c r="N100" s="13" t="str">
        <f>"220200"</f>
        <v>220200</v>
      </c>
    </row>
    <row r="101" spans="1:14" ht="15">
      <c r="A101" s="9">
        <v>94</v>
      </c>
      <c r="B101" s="4" t="s">
        <v>20</v>
      </c>
      <c r="C101" s="5" t="s">
        <v>21</v>
      </c>
      <c r="D101" s="14">
        <v>43451.818356481483</v>
      </c>
      <c r="E101" t="str">
        <f>"15408306093656869461"</f>
        <v>15408306093656869461</v>
      </c>
      <c r="F101" s="4" t="s">
        <v>22</v>
      </c>
      <c r="G101" s="13" t="s">
        <v>119</v>
      </c>
      <c r="H101" t="str">
        <f>"8827181029233001"</f>
        <v>8827181029233001</v>
      </c>
      <c r="I101" s="15">
        <v>1615500</v>
      </c>
      <c r="J101" s="4"/>
      <c r="K101" s="10">
        <v>3900</v>
      </c>
      <c r="L101" s="11">
        <f t="shared" si="1"/>
        <v>1611600</v>
      </c>
      <c r="M101" s="6"/>
      <c r="N101" s="13" t="str">
        <f>"917715"</f>
        <v>917715</v>
      </c>
    </row>
    <row r="102" spans="1:14" ht="15">
      <c r="A102" s="9">
        <v>95</v>
      </c>
      <c r="B102" s="4" t="s">
        <v>20</v>
      </c>
      <c r="C102" s="5" t="s">
        <v>21</v>
      </c>
      <c r="D102" s="14">
        <v>43451.816712962966</v>
      </c>
      <c r="E102" t="str">
        <f>"15425987173449034100"</f>
        <v>15425987173449034100</v>
      </c>
      <c r="F102" s="4" t="s">
        <v>22</v>
      </c>
      <c r="G102" s="13" t="s">
        <v>120</v>
      </c>
      <c r="H102" t="str">
        <f>"8827181119103808"</f>
        <v>8827181119103808</v>
      </c>
      <c r="I102" s="15">
        <v>1098000</v>
      </c>
      <c r="J102" s="4"/>
      <c r="K102" s="10">
        <v>3900</v>
      </c>
      <c r="L102" s="11">
        <f t="shared" si="1"/>
        <v>1094100</v>
      </c>
      <c r="M102" s="6"/>
      <c r="N102" s="13" t="str">
        <f>"178345"</f>
        <v>178345</v>
      </c>
    </row>
    <row r="103" spans="1:14" ht="15">
      <c r="A103" s="9">
        <v>96</v>
      </c>
      <c r="B103" s="4" t="s">
        <v>20</v>
      </c>
      <c r="C103" s="5" t="s">
        <v>21</v>
      </c>
      <c r="D103" s="14">
        <v>43451.816307870373</v>
      </c>
      <c r="E103" t="str">
        <f>"15426013511063396585"</f>
        <v>15426013511063396585</v>
      </c>
      <c r="F103" s="4" t="s">
        <v>22</v>
      </c>
      <c r="G103" s="13" t="s">
        <v>23</v>
      </c>
      <c r="H103" t="str">
        <f>"8827181119112202"</f>
        <v>8827181119112202</v>
      </c>
      <c r="I103" s="15">
        <v>1573500</v>
      </c>
      <c r="J103" s="4"/>
      <c r="K103" s="10">
        <v>3900</v>
      </c>
      <c r="L103" s="11">
        <f t="shared" si="1"/>
        <v>1569600</v>
      </c>
      <c r="M103" s="6"/>
      <c r="N103" s="13" t="str">
        <f>"916346"</f>
        <v>916346</v>
      </c>
    </row>
    <row r="104" spans="1:14" ht="15">
      <c r="A104" s="9">
        <v>97</v>
      </c>
      <c r="B104" s="4" t="s">
        <v>20</v>
      </c>
      <c r="C104" s="5" t="s">
        <v>21</v>
      </c>
      <c r="D104" s="14">
        <v>43451.811203703706</v>
      </c>
      <c r="E104" t="str">
        <f>"15432854553677695414"</f>
        <v>15432854553677695414</v>
      </c>
      <c r="F104" s="4" t="s">
        <v>22</v>
      </c>
      <c r="G104" s="13" t="s">
        <v>121</v>
      </c>
      <c r="H104" t="str">
        <f>"8827181127092401"</f>
        <v>8827181127092401</v>
      </c>
      <c r="I104" s="15">
        <v>1518400</v>
      </c>
      <c r="J104" s="4"/>
      <c r="K104" s="10">
        <v>3900</v>
      </c>
      <c r="L104" s="11">
        <f t="shared" si="1"/>
        <v>1514500</v>
      </c>
      <c r="M104" s="6"/>
      <c r="N104" s="13" t="str">
        <f>"092474"</f>
        <v>092474</v>
      </c>
    </row>
    <row r="105" spans="1:14" ht="15">
      <c r="A105" s="9">
        <v>98</v>
      </c>
      <c r="B105" s="4" t="s">
        <v>20</v>
      </c>
      <c r="C105" s="5" t="s">
        <v>21</v>
      </c>
      <c r="D105" s="14">
        <v>43451.810601851852</v>
      </c>
      <c r="E105" t="str">
        <f>"15435443455069199697"</f>
        <v>15435443455069199697</v>
      </c>
      <c r="F105" s="4" t="s">
        <v>22</v>
      </c>
      <c r="G105" s="13" t="s">
        <v>122</v>
      </c>
      <c r="H105" t="str">
        <f>"8827181130091902"</f>
        <v>8827181130091902</v>
      </c>
      <c r="I105" s="15">
        <v>1070000</v>
      </c>
      <c r="J105" s="4"/>
      <c r="K105" s="10">
        <v>3900</v>
      </c>
      <c r="L105" s="11">
        <f t="shared" si="1"/>
        <v>1066100</v>
      </c>
      <c r="M105" s="6"/>
      <c r="N105" s="13" t="str">
        <f>"081696"</f>
        <v>081696</v>
      </c>
    </row>
    <row r="106" spans="1:14" ht="15">
      <c r="A106" s="9">
        <v>99</v>
      </c>
      <c r="B106" s="4" t="s">
        <v>20</v>
      </c>
      <c r="C106" s="5" t="s">
        <v>21</v>
      </c>
      <c r="D106" s="14">
        <v>43451.806481481479</v>
      </c>
      <c r="E106" t="str">
        <f>"15426200840009363855"</f>
        <v>15426200840009363855</v>
      </c>
      <c r="F106" s="4" t="s">
        <v>22</v>
      </c>
      <c r="G106" s="13" t="s">
        <v>123</v>
      </c>
      <c r="H106" t="str">
        <f>"8827181119163403"</f>
        <v>8827181119163403</v>
      </c>
      <c r="I106" s="15">
        <v>903550</v>
      </c>
      <c r="J106" s="4"/>
      <c r="K106" s="10">
        <v>3900</v>
      </c>
      <c r="L106" s="11">
        <f t="shared" si="1"/>
        <v>899650</v>
      </c>
      <c r="M106" s="6"/>
      <c r="N106" s="13" t="str">
        <f>"909607"</f>
        <v>909607</v>
      </c>
    </row>
    <row r="107" spans="1:14" ht="15">
      <c r="A107" s="9">
        <v>100</v>
      </c>
      <c r="B107" s="4" t="s">
        <v>20</v>
      </c>
      <c r="C107" s="5" t="s">
        <v>21</v>
      </c>
      <c r="D107" s="14">
        <v>43451.805995370371</v>
      </c>
      <c r="E107" t="str">
        <f>"15438200523061719836"</f>
        <v>15438200523061719836</v>
      </c>
      <c r="F107" s="4" t="s">
        <v>22</v>
      </c>
      <c r="G107" s="13" t="s">
        <v>124</v>
      </c>
      <c r="H107" t="str">
        <f>"8827181203135401"</f>
        <v>8827181203135401</v>
      </c>
      <c r="I107" s="15">
        <v>1108000</v>
      </c>
      <c r="J107" s="4"/>
      <c r="K107" s="10">
        <v>3900</v>
      </c>
      <c r="L107" s="11">
        <f t="shared" si="1"/>
        <v>1104100</v>
      </c>
      <c r="M107" s="6"/>
      <c r="N107" s="13" t="str">
        <f>"798938"</f>
        <v>798938</v>
      </c>
    </row>
    <row r="108" spans="1:14" ht="15">
      <c r="A108" s="9">
        <v>101</v>
      </c>
      <c r="B108" s="4" t="s">
        <v>20</v>
      </c>
      <c r="C108" s="5" t="s">
        <v>21</v>
      </c>
      <c r="D108" s="14">
        <v>43451.802800925929</v>
      </c>
      <c r="E108" t="str">
        <f>"15423510175167357258"</f>
        <v>15423510175167357258</v>
      </c>
      <c r="F108" s="4" t="s">
        <v>22</v>
      </c>
      <c r="G108" s="13" t="s">
        <v>125</v>
      </c>
      <c r="H108" t="str">
        <f>"8827181116135001"</f>
        <v>8827181116135001</v>
      </c>
      <c r="I108" s="15">
        <v>1268000</v>
      </c>
      <c r="J108" s="4"/>
      <c r="K108" s="10">
        <v>3900</v>
      </c>
      <c r="L108" s="11">
        <f t="shared" si="1"/>
        <v>1264100</v>
      </c>
      <c r="M108" s="6"/>
      <c r="N108" s="13" t="str">
        <f>"746091"</f>
        <v>746091</v>
      </c>
    </row>
    <row r="109" spans="1:14" ht="15">
      <c r="A109" s="9">
        <v>102</v>
      </c>
      <c r="B109" s="4" t="s">
        <v>20</v>
      </c>
      <c r="C109" s="5" t="s">
        <v>21</v>
      </c>
      <c r="D109" s="14">
        <v>43451.802256944444</v>
      </c>
      <c r="E109" t="str">
        <f>"15419902119406497442"</f>
        <v>15419902119406497442</v>
      </c>
      <c r="F109" s="4" t="s">
        <v>22</v>
      </c>
      <c r="G109" s="13" t="s">
        <v>126</v>
      </c>
      <c r="H109" t="str">
        <f>"8827181112093607"</f>
        <v>8827181112093607</v>
      </c>
      <c r="I109" s="15">
        <v>1161600</v>
      </c>
      <c r="J109" s="4"/>
      <c r="K109" s="10">
        <v>3900</v>
      </c>
      <c r="L109" s="11">
        <f t="shared" si="1"/>
        <v>1157700</v>
      </c>
      <c r="M109" s="6"/>
      <c r="N109" s="13" t="str">
        <f>"737570"</f>
        <v>737570</v>
      </c>
    </row>
    <row r="110" spans="1:14" ht="15">
      <c r="A110" s="9">
        <v>103</v>
      </c>
      <c r="B110" s="4" t="s">
        <v>20</v>
      </c>
      <c r="C110" s="5" t="s">
        <v>21</v>
      </c>
      <c r="D110" s="14">
        <v>43451.802094907405</v>
      </c>
      <c r="E110" t="str">
        <f>"15415947877732714126"</f>
        <v>15415947877732714126</v>
      </c>
      <c r="F110" s="4" t="s">
        <v>22</v>
      </c>
      <c r="G110" s="13" t="s">
        <v>127</v>
      </c>
      <c r="H110" t="str">
        <f>"8827181107194604"</f>
        <v>8827181107194604</v>
      </c>
      <c r="I110" s="15">
        <v>1752000</v>
      </c>
      <c r="J110" s="4"/>
      <c r="K110" s="10">
        <v>3900</v>
      </c>
      <c r="L110" s="11">
        <f t="shared" si="1"/>
        <v>1748100</v>
      </c>
      <c r="M110" s="6"/>
      <c r="N110" s="13" t="str">
        <f>"734316"</f>
        <v>734316</v>
      </c>
    </row>
    <row r="111" spans="1:14" ht="15">
      <c r="A111" s="9">
        <v>104</v>
      </c>
      <c r="B111" s="4" t="s">
        <v>20</v>
      </c>
      <c r="C111" s="5" t="s">
        <v>21</v>
      </c>
      <c r="D111" s="14">
        <v>43451.79755787037</v>
      </c>
      <c r="E111" t="str">
        <f>"15408711127856930124"</f>
        <v>15408711127856930124</v>
      </c>
      <c r="F111" s="4" t="s">
        <v>22</v>
      </c>
      <c r="G111" s="13" t="s">
        <v>128</v>
      </c>
      <c r="H111" t="str">
        <f>"8827181030104503"</f>
        <v>8827181030104503</v>
      </c>
      <c r="I111" s="15">
        <v>1498000</v>
      </c>
      <c r="J111" s="4"/>
      <c r="K111" s="10">
        <v>3900</v>
      </c>
      <c r="L111" s="11">
        <f t="shared" si="1"/>
        <v>1494100</v>
      </c>
      <c r="M111" s="6"/>
      <c r="N111" s="13" t="str">
        <f>"903711"</f>
        <v>903711</v>
      </c>
    </row>
    <row r="112" spans="1:14" ht="15">
      <c r="A112" s="9">
        <v>105</v>
      </c>
      <c r="B112" s="4" t="s">
        <v>20</v>
      </c>
      <c r="C112" s="5" t="s">
        <v>21</v>
      </c>
      <c r="D112" s="14">
        <v>43451.797326388885</v>
      </c>
      <c r="E112" t="str">
        <f>"15432721320911502271"</f>
        <v>15432721320911502271</v>
      </c>
      <c r="F112" s="4" t="s">
        <v>22</v>
      </c>
      <c r="G112" s="13" t="s">
        <v>129</v>
      </c>
      <c r="H112" t="str">
        <f>"8827181127054201"</f>
        <v>8827181127054201</v>
      </c>
      <c r="I112" s="15">
        <v>1752000</v>
      </c>
      <c r="J112" s="4"/>
      <c r="K112" s="10">
        <v>3900</v>
      </c>
      <c r="L112" s="11">
        <f t="shared" si="1"/>
        <v>1748100</v>
      </c>
      <c r="M112" s="6"/>
      <c r="N112" s="13" t="str">
        <f>"640022"</f>
        <v>640022</v>
      </c>
    </row>
    <row r="113" spans="1:14" ht="15">
      <c r="A113" s="9">
        <v>106</v>
      </c>
      <c r="B113" s="4" t="s">
        <v>20</v>
      </c>
      <c r="C113" s="5" t="s">
        <v>21</v>
      </c>
      <c r="D113" s="14">
        <v>43451.795567129629</v>
      </c>
      <c r="E113" t="str">
        <f>"15427687985481219959"</f>
        <v>15427687985481219959</v>
      </c>
      <c r="F113" s="4" t="s">
        <v>22</v>
      </c>
      <c r="G113" s="13" t="s">
        <v>130</v>
      </c>
      <c r="H113" t="str">
        <f>"8827181121095308"</f>
        <v>8827181121095308</v>
      </c>
      <c r="I113" s="15">
        <v>1168000</v>
      </c>
      <c r="J113" s="4"/>
      <c r="K113" s="10">
        <v>3900</v>
      </c>
      <c r="L113" s="11">
        <f t="shared" si="1"/>
        <v>1164100</v>
      </c>
      <c r="M113" s="6"/>
      <c r="N113" s="13" t="str">
        <f>"594284"</f>
        <v>594284</v>
      </c>
    </row>
    <row r="114" spans="1:14" ht="15">
      <c r="A114" s="9">
        <v>107</v>
      </c>
      <c r="B114" s="4" t="s">
        <v>20</v>
      </c>
      <c r="C114" s="5" t="s">
        <v>21</v>
      </c>
      <c r="D114" s="14">
        <v>43451.793634259258</v>
      </c>
      <c r="E114" t="str">
        <f>"15413849602869979944"</f>
        <v>15413849602869979944</v>
      </c>
      <c r="F114" s="4" t="s">
        <v>22</v>
      </c>
      <c r="G114" s="13" t="s">
        <v>131</v>
      </c>
      <c r="H114" t="str">
        <f>"8827181105092905"</f>
        <v>8827181105092905</v>
      </c>
      <c r="I114" s="15">
        <v>1662000</v>
      </c>
      <c r="J114" s="4"/>
      <c r="K114" s="10">
        <v>3900</v>
      </c>
      <c r="L114" s="11">
        <f t="shared" si="1"/>
        <v>1658100</v>
      </c>
      <c r="M114" s="6"/>
      <c r="N114" s="13" t="str">
        <f>"552700"</f>
        <v>552700</v>
      </c>
    </row>
    <row r="115" spans="1:14" ht="15">
      <c r="A115" s="9">
        <v>108</v>
      </c>
      <c r="B115" s="4" t="s">
        <v>20</v>
      </c>
      <c r="C115" s="5" t="s">
        <v>21</v>
      </c>
      <c r="D115" s="14">
        <v>43451.793495370373</v>
      </c>
      <c r="E115" t="str">
        <f>"15416833940433723109"</f>
        <v>15416833940433723109</v>
      </c>
      <c r="F115" s="4" t="s">
        <v>22</v>
      </c>
      <c r="G115" s="13" t="s">
        <v>132</v>
      </c>
      <c r="H115" t="str">
        <f>"8827181108202302"</f>
        <v>8827181108202302</v>
      </c>
      <c r="I115" s="15">
        <v>1728000</v>
      </c>
      <c r="J115" s="4"/>
      <c r="K115" s="10">
        <v>3900</v>
      </c>
      <c r="L115" s="11">
        <f t="shared" si="1"/>
        <v>1724100</v>
      </c>
      <c r="M115" s="6"/>
      <c r="N115" s="13" t="str">
        <f>"549296"</f>
        <v>549296</v>
      </c>
    </row>
    <row r="116" spans="1:14" ht="15">
      <c r="A116" s="9">
        <v>109</v>
      </c>
      <c r="B116" s="4" t="s">
        <v>20</v>
      </c>
      <c r="C116" s="5" t="s">
        <v>21</v>
      </c>
      <c r="D116" s="14">
        <v>43451.792534722219</v>
      </c>
      <c r="E116" t="str">
        <f>"15407392267504858254"</f>
        <v>15407392267504858254</v>
      </c>
      <c r="F116" s="4" t="s">
        <v>22</v>
      </c>
      <c r="G116" s="13" t="s">
        <v>112</v>
      </c>
      <c r="H116" t="str">
        <f>"8827181028220701"</f>
        <v>8827181028220701</v>
      </c>
      <c r="I116" s="15">
        <v>869600</v>
      </c>
      <c r="J116" s="4"/>
      <c r="K116" s="10">
        <v>3900</v>
      </c>
      <c r="L116" s="11">
        <f t="shared" si="1"/>
        <v>865700</v>
      </c>
      <c r="M116" s="6"/>
      <c r="N116" s="13" t="str">
        <f>"534396"</f>
        <v>534396</v>
      </c>
    </row>
    <row r="117" spans="1:14" ht="15">
      <c r="A117" s="9">
        <v>110</v>
      </c>
      <c r="B117" s="4" t="s">
        <v>20</v>
      </c>
      <c r="C117" s="5" t="s">
        <v>21</v>
      </c>
      <c r="D117" s="14">
        <v>43451.791689814818</v>
      </c>
      <c r="E117" t="str">
        <f>"15411620962079224911"</f>
        <v>15411620962079224911</v>
      </c>
      <c r="F117" s="4" t="s">
        <v>22</v>
      </c>
      <c r="G117" s="13" t="s">
        <v>133</v>
      </c>
      <c r="H117" t="str">
        <f>"8827181102193404"</f>
        <v>8827181102193404</v>
      </c>
      <c r="I117" s="15">
        <v>1630500</v>
      </c>
      <c r="J117" s="4"/>
      <c r="K117" s="10">
        <v>3900</v>
      </c>
      <c r="L117" s="11">
        <f t="shared" si="1"/>
        <v>1626600</v>
      </c>
      <c r="M117" s="6"/>
      <c r="N117" s="13" t="str">
        <f>"521227"</f>
        <v>521227</v>
      </c>
    </row>
    <row r="118" spans="1:14" ht="15">
      <c r="A118" s="9">
        <v>111</v>
      </c>
      <c r="B118" s="4" t="s">
        <v>20</v>
      </c>
      <c r="C118" s="5" t="s">
        <v>21</v>
      </c>
      <c r="D118" s="14">
        <v>43451.789849537039</v>
      </c>
      <c r="E118" t="str">
        <f>"15416813252227317200"</f>
        <v>15416813252227317200</v>
      </c>
      <c r="F118" s="4" t="s">
        <v>22</v>
      </c>
      <c r="G118" s="13" t="s">
        <v>134</v>
      </c>
      <c r="H118" t="str">
        <f>"8827181108194803"</f>
        <v>8827181108194803</v>
      </c>
      <c r="I118" s="15">
        <v>1392000</v>
      </c>
      <c r="J118" s="4"/>
      <c r="K118" s="10">
        <v>3900</v>
      </c>
      <c r="L118" s="11">
        <f t="shared" si="1"/>
        <v>1388100</v>
      </c>
      <c r="M118" s="6"/>
      <c r="N118" s="13" t="str">
        <f>"489986"</f>
        <v>489986</v>
      </c>
    </row>
    <row r="119" spans="1:14" ht="15">
      <c r="A119" s="9">
        <v>112</v>
      </c>
      <c r="B119" s="4" t="s">
        <v>20</v>
      </c>
      <c r="C119" s="5" t="s">
        <v>21</v>
      </c>
      <c r="D119" s="14">
        <v>43451.789247685185</v>
      </c>
      <c r="E119" t="str">
        <f>"15440059270356356005"</f>
        <v>15440059270356356005</v>
      </c>
      <c r="F119" s="4" t="s">
        <v>22</v>
      </c>
      <c r="G119" s="13" t="s">
        <v>135</v>
      </c>
      <c r="H119" t="str">
        <f>"8827181205173201"</f>
        <v>8827181205173201</v>
      </c>
      <c r="I119" s="15">
        <v>1636500</v>
      </c>
      <c r="J119" s="4"/>
      <c r="K119" s="10">
        <v>3900</v>
      </c>
      <c r="L119" s="11">
        <f t="shared" si="1"/>
        <v>1632600</v>
      </c>
      <c r="M119" s="6"/>
      <c r="N119" s="13" t="str">
        <f>"479129"</f>
        <v>479129</v>
      </c>
    </row>
    <row r="120" spans="1:14" ht="15">
      <c r="A120" s="9">
        <v>113</v>
      </c>
      <c r="B120" s="4" t="s">
        <v>20</v>
      </c>
      <c r="C120" s="5" t="s">
        <v>21</v>
      </c>
      <c r="D120" s="14">
        <v>43451.788564814815</v>
      </c>
      <c r="E120" t="str">
        <f>"15414064996756388733"</f>
        <v>15414064996756388733</v>
      </c>
      <c r="F120" s="4" t="s">
        <v>22</v>
      </c>
      <c r="G120" s="13" t="s">
        <v>136</v>
      </c>
      <c r="H120" t="str">
        <f>"8827181105152806"</f>
        <v>8827181105152806</v>
      </c>
      <c r="I120" s="15">
        <v>1782000</v>
      </c>
      <c r="J120" s="4"/>
      <c r="K120" s="10">
        <v>3900</v>
      </c>
      <c r="L120" s="11">
        <f t="shared" si="1"/>
        <v>1778100</v>
      </c>
      <c r="M120" s="6"/>
      <c r="N120" s="13" t="str">
        <f>"467094"</f>
        <v>467094</v>
      </c>
    </row>
    <row r="121" spans="1:14" ht="15">
      <c r="A121" s="9">
        <v>114</v>
      </c>
      <c r="B121" s="4" t="s">
        <v>20</v>
      </c>
      <c r="C121" s="5" t="s">
        <v>21</v>
      </c>
      <c r="D121" s="14">
        <v>43451.787326388891</v>
      </c>
      <c r="E121" t="str">
        <f>"15413422016925640354"</f>
        <v>15413422016925640354</v>
      </c>
      <c r="F121" s="4" t="s">
        <v>22</v>
      </c>
      <c r="G121" s="13" t="s">
        <v>137</v>
      </c>
      <c r="H121" t="str">
        <f>"8827181104213601"</f>
        <v>8827181104213601</v>
      </c>
      <c r="I121" s="15">
        <v>1752000</v>
      </c>
      <c r="J121" s="4"/>
      <c r="K121" s="10">
        <v>3900</v>
      </c>
      <c r="L121" s="11">
        <f t="shared" si="1"/>
        <v>1748100</v>
      </c>
      <c r="M121" s="6"/>
      <c r="N121" s="13" t="str">
        <f>"996422"</f>
        <v>996422</v>
      </c>
    </row>
    <row r="122" spans="1:14" ht="15">
      <c r="A122" s="9">
        <v>115</v>
      </c>
      <c r="B122" s="4" t="s">
        <v>20</v>
      </c>
      <c r="C122" s="5" t="s">
        <v>21</v>
      </c>
      <c r="D122" s="14">
        <v>43451.786481481482</v>
      </c>
      <c r="E122" t="str">
        <f>"15413836569239227242"</f>
        <v>15413836569239227242</v>
      </c>
      <c r="F122" s="4" t="s">
        <v>22</v>
      </c>
      <c r="G122" s="13" t="s">
        <v>138</v>
      </c>
      <c r="H122" t="str">
        <f>"8827181105090704"</f>
        <v>8827181105090704</v>
      </c>
      <c r="I122" s="15">
        <v>1531400</v>
      </c>
      <c r="J122" s="4"/>
      <c r="K122" s="10">
        <v>3900</v>
      </c>
      <c r="L122" s="11">
        <f t="shared" si="1"/>
        <v>1527500</v>
      </c>
      <c r="M122" s="6"/>
      <c r="N122" s="13" t="str">
        <f>"430075"</f>
        <v>430075</v>
      </c>
    </row>
    <row r="123" spans="1:14" ht="15">
      <c r="A123" s="9">
        <v>116</v>
      </c>
      <c r="B123" s="4" t="s">
        <v>20</v>
      </c>
      <c r="C123" s="5" t="s">
        <v>21</v>
      </c>
      <c r="D123" s="14">
        <v>43451.786446759259</v>
      </c>
      <c r="E123" t="str">
        <f>"15413938395401945221"</f>
        <v>15413938395401945221</v>
      </c>
      <c r="F123" s="4" t="s">
        <v>22</v>
      </c>
      <c r="G123" s="13" t="s">
        <v>139</v>
      </c>
      <c r="H123" t="str">
        <f>"8827181105115702"</f>
        <v>8827181105115702</v>
      </c>
      <c r="I123" s="15">
        <v>1767000</v>
      </c>
      <c r="J123" s="4"/>
      <c r="K123" s="10">
        <v>3900</v>
      </c>
      <c r="L123" s="11">
        <f t="shared" si="1"/>
        <v>1763100</v>
      </c>
      <c r="M123" s="6"/>
      <c r="N123" s="13" t="str">
        <f>"995815"</f>
        <v>995815</v>
      </c>
    </row>
    <row r="124" spans="1:14" ht="15">
      <c r="A124" s="9">
        <v>117</v>
      </c>
      <c r="B124" s="4" t="s">
        <v>20</v>
      </c>
      <c r="C124" s="5" t="s">
        <v>21</v>
      </c>
      <c r="D124" s="14">
        <v>43451.784942129627</v>
      </c>
      <c r="E124" t="str">
        <f>"15432843132725535442"</f>
        <v>15432843132725535442</v>
      </c>
      <c r="F124" s="4" t="s">
        <v>22</v>
      </c>
      <c r="G124" s="13" t="s">
        <v>140</v>
      </c>
      <c r="H124" t="str">
        <f>"8827181127090501"</f>
        <v>8827181127090501</v>
      </c>
      <c r="I124" s="15">
        <v>1401600</v>
      </c>
      <c r="J124" s="4"/>
      <c r="K124" s="10">
        <v>3900</v>
      </c>
      <c r="L124" s="11">
        <f t="shared" si="1"/>
        <v>1397700</v>
      </c>
      <c r="M124" s="6"/>
      <c r="N124" s="13" t="str">
        <f>"403663"</f>
        <v>403663</v>
      </c>
    </row>
    <row r="125" spans="1:14" ht="15">
      <c r="A125" s="9">
        <v>118</v>
      </c>
      <c r="B125" s="4" t="s">
        <v>20</v>
      </c>
      <c r="C125" s="5" t="s">
        <v>21</v>
      </c>
      <c r="D125" s="14">
        <v>43451.784039351849</v>
      </c>
      <c r="E125" t="str">
        <f>"15431926568315526377"</f>
        <v>15431926568315526377</v>
      </c>
      <c r="F125" s="4" t="s">
        <v>22</v>
      </c>
      <c r="G125" s="13" t="s">
        <v>141</v>
      </c>
      <c r="H125" t="str">
        <f>"8827181126073701"</f>
        <v>8827181126073701</v>
      </c>
      <c r="I125" s="15">
        <v>1542800</v>
      </c>
      <c r="J125" s="4"/>
      <c r="K125" s="10">
        <v>3900</v>
      </c>
      <c r="L125" s="11">
        <f t="shared" si="1"/>
        <v>1538900</v>
      </c>
      <c r="M125" s="6"/>
      <c r="N125" s="13" t="str">
        <f>"390156"</f>
        <v>390156</v>
      </c>
    </row>
    <row r="126" spans="1:14" ht="15">
      <c r="A126" s="9">
        <v>119</v>
      </c>
      <c r="B126" s="4" t="s">
        <v>20</v>
      </c>
      <c r="C126" s="5" t="s">
        <v>21</v>
      </c>
      <c r="D126" s="14">
        <v>43451.783252314817</v>
      </c>
      <c r="E126" t="str">
        <f>"15433110036371558870"</f>
        <v>15433110036371558870</v>
      </c>
      <c r="F126" s="4" t="s">
        <v>22</v>
      </c>
      <c r="G126" s="13" t="s">
        <v>142</v>
      </c>
      <c r="H126" t="str">
        <f>"8827181127163003"</f>
        <v>8827181127163003</v>
      </c>
      <c r="I126" s="15">
        <v>1516250</v>
      </c>
      <c r="J126" s="4"/>
      <c r="K126" s="10">
        <v>3900</v>
      </c>
      <c r="L126" s="11">
        <f t="shared" si="1"/>
        <v>1512350</v>
      </c>
      <c r="M126" s="6"/>
      <c r="N126" s="13" t="str">
        <f>"378872"</f>
        <v>378872</v>
      </c>
    </row>
    <row r="127" spans="1:14" ht="15">
      <c r="A127" s="9">
        <v>120</v>
      </c>
      <c r="B127" s="4" t="s">
        <v>20</v>
      </c>
      <c r="C127" s="5" t="s">
        <v>21</v>
      </c>
      <c r="D127" s="14">
        <v>43451.782500000001</v>
      </c>
      <c r="E127" t="str">
        <f>"15432233387638730208"</f>
        <v>15432233387638730208</v>
      </c>
      <c r="F127" s="4" t="s">
        <v>22</v>
      </c>
      <c r="G127" s="13" t="s">
        <v>143</v>
      </c>
      <c r="H127" t="str">
        <f>"8827181126160801"</f>
        <v>8827181126160801</v>
      </c>
      <c r="I127" s="15">
        <v>1752000</v>
      </c>
      <c r="J127" s="4"/>
      <c r="K127" s="10">
        <v>3900</v>
      </c>
      <c r="L127" s="11">
        <f t="shared" si="1"/>
        <v>1748100</v>
      </c>
      <c r="M127" s="6"/>
      <c r="N127" s="13" t="str">
        <f>"993091"</f>
        <v>993091</v>
      </c>
    </row>
    <row r="128" spans="1:14" ht="15">
      <c r="A128" s="9">
        <v>121</v>
      </c>
      <c r="B128" s="4" t="s">
        <v>20</v>
      </c>
      <c r="C128" s="5" t="s">
        <v>21</v>
      </c>
      <c r="D128" s="14">
        <v>43451.781793981485</v>
      </c>
      <c r="E128" t="str">
        <f>"15440691670474721208"</f>
        <v>15440691670474721208</v>
      </c>
      <c r="F128" s="4" t="s">
        <v>22</v>
      </c>
      <c r="G128" s="13" t="s">
        <v>144</v>
      </c>
      <c r="H128" t="str">
        <f>"8827181206110601"</f>
        <v>8827181206110601</v>
      </c>
      <c r="I128" s="15">
        <v>1355000</v>
      </c>
      <c r="J128" s="4"/>
      <c r="K128" s="10">
        <v>3900</v>
      </c>
      <c r="L128" s="11">
        <f t="shared" si="1"/>
        <v>1351100</v>
      </c>
      <c r="M128" s="6"/>
      <c r="N128" s="13" t="str">
        <f>"357163"</f>
        <v>357163</v>
      </c>
    </row>
    <row r="129" spans="1:14" ht="15">
      <c r="A129" s="9">
        <v>122</v>
      </c>
      <c r="B129" s="4" t="s">
        <v>20</v>
      </c>
      <c r="C129" s="5" t="s">
        <v>21</v>
      </c>
      <c r="D129" s="14">
        <v>43451.78125</v>
      </c>
      <c r="E129" t="str">
        <f>"15410552007062862910"</f>
        <v>15410552007062862910</v>
      </c>
      <c r="F129" s="4" t="s">
        <v>22</v>
      </c>
      <c r="G129" s="13" t="s">
        <v>145</v>
      </c>
      <c r="H129" t="str">
        <f>"8827181101135302"</f>
        <v>8827181101135302</v>
      </c>
      <c r="I129" s="15">
        <v>1317600</v>
      </c>
      <c r="J129" s="4"/>
      <c r="K129" s="10">
        <v>3900</v>
      </c>
      <c r="L129" s="11">
        <f t="shared" si="1"/>
        <v>1313700</v>
      </c>
      <c r="M129" s="6"/>
      <c r="N129" s="13" t="str">
        <f>"349170"</f>
        <v>349170</v>
      </c>
    </row>
    <row r="130" spans="1:14" ht="15">
      <c r="A130" s="9">
        <v>123</v>
      </c>
      <c r="B130" s="4" t="s">
        <v>20</v>
      </c>
      <c r="C130" s="5" t="s">
        <v>21</v>
      </c>
      <c r="D130" s="14">
        <v>43451.779976851853</v>
      </c>
      <c r="E130" t="str">
        <f>"15406366779851024381"</f>
        <v>15406366779851024381</v>
      </c>
      <c r="F130" s="4" t="s">
        <v>22</v>
      </c>
      <c r="G130" s="13" t="s">
        <v>146</v>
      </c>
      <c r="H130" t="str">
        <f>"8827181027173703"</f>
        <v>8827181027173703</v>
      </c>
      <c r="I130" s="15">
        <v>1425600</v>
      </c>
      <c r="J130" s="4"/>
      <c r="K130" s="10">
        <v>3900</v>
      </c>
      <c r="L130" s="11">
        <f t="shared" si="1"/>
        <v>1421700</v>
      </c>
      <c r="M130" s="6"/>
      <c r="N130" s="13" t="str">
        <f>"331245"</f>
        <v>331245</v>
      </c>
    </row>
    <row r="131" spans="1:14" ht="15">
      <c r="A131" s="9">
        <v>124</v>
      </c>
      <c r="B131" s="4" t="s">
        <v>20</v>
      </c>
      <c r="C131" s="5" t="s">
        <v>21</v>
      </c>
      <c r="D131" s="14">
        <v>43451.77747685185</v>
      </c>
      <c r="E131" t="str">
        <f>"15419219224901320885"</f>
        <v>15419219224901320885</v>
      </c>
      <c r="F131" s="4" t="s">
        <v>22</v>
      </c>
      <c r="G131" s="13" t="s">
        <v>147</v>
      </c>
      <c r="H131" t="str">
        <f>"8827181111143802"</f>
        <v>8827181111143802</v>
      </c>
      <c r="I131" s="15">
        <v>1728000</v>
      </c>
      <c r="J131" s="4"/>
      <c r="K131" s="10">
        <v>3900</v>
      </c>
      <c r="L131" s="11">
        <f t="shared" si="1"/>
        <v>1724100</v>
      </c>
      <c r="M131" s="6"/>
      <c r="N131" s="13" t="str">
        <f>"287134"</f>
        <v>287134</v>
      </c>
    </row>
    <row r="132" spans="1:14" ht="15">
      <c r="A132" s="9">
        <v>125</v>
      </c>
      <c r="B132" s="4" t="s">
        <v>20</v>
      </c>
      <c r="C132" s="5" t="s">
        <v>21</v>
      </c>
      <c r="D132" s="14">
        <v>43451.775972222225</v>
      </c>
      <c r="E132" t="str">
        <f>"15406860571104199065"</f>
        <v>15406860571104199065</v>
      </c>
      <c r="F132" s="4" t="s">
        <v>22</v>
      </c>
      <c r="G132" s="13" t="s">
        <v>148</v>
      </c>
      <c r="H132" t="str">
        <f>"8827181028072004"</f>
        <v>8827181028072004</v>
      </c>
      <c r="I132" s="15">
        <v>48320</v>
      </c>
      <c r="J132" s="4"/>
      <c r="K132" s="10">
        <v>3900</v>
      </c>
      <c r="L132" s="11">
        <f t="shared" si="1"/>
        <v>44420</v>
      </c>
      <c r="M132" s="6"/>
      <c r="N132" s="13" t="str">
        <f>"264152"</f>
        <v>264152</v>
      </c>
    </row>
    <row r="133" spans="1:14" ht="15">
      <c r="A133" s="9">
        <v>126</v>
      </c>
      <c r="B133" s="4" t="s">
        <v>20</v>
      </c>
      <c r="C133" s="5" t="s">
        <v>21</v>
      </c>
      <c r="D133" s="14">
        <v>43451.775775462964</v>
      </c>
      <c r="E133" t="str">
        <f>"15432970684895006128"</f>
        <v>15432970684895006128</v>
      </c>
      <c r="F133" s="4" t="s">
        <v>22</v>
      </c>
      <c r="G133" s="13" t="s">
        <v>149</v>
      </c>
      <c r="H133" t="str">
        <f>"8827181127123702"</f>
        <v>8827181127123702</v>
      </c>
      <c r="I133" s="15">
        <v>1168000</v>
      </c>
      <c r="J133" s="4"/>
      <c r="K133" s="10">
        <v>3900</v>
      </c>
      <c r="L133" s="11">
        <f t="shared" si="1"/>
        <v>1164100</v>
      </c>
      <c r="M133" s="6"/>
      <c r="N133" s="13" t="str">
        <f>"261385"</f>
        <v>261385</v>
      </c>
    </row>
    <row r="134" spans="1:14" ht="15">
      <c r="A134" s="9">
        <v>127</v>
      </c>
      <c r="B134" s="4" t="s">
        <v>20</v>
      </c>
      <c r="C134" s="5" t="s">
        <v>21</v>
      </c>
      <c r="D134" s="14">
        <v>43451.775567129633</v>
      </c>
      <c r="E134" t="str">
        <f>"15406466870115625133"</f>
        <v>15406466870115625133</v>
      </c>
      <c r="F134" s="4" t="s">
        <v>22</v>
      </c>
      <c r="G134" s="13" t="s">
        <v>150</v>
      </c>
      <c r="H134" t="str">
        <f>"8827181027202406"</f>
        <v>8827181027202406</v>
      </c>
      <c r="I134" s="15">
        <v>1752000</v>
      </c>
      <c r="J134" s="4"/>
      <c r="K134" s="10">
        <v>3900</v>
      </c>
      <c r="L134" s="11">
        <f t="shared" si="1"/>
        <v>1748100</v>
      </c>
      <c r="M134" s="6"/>
      <c r="N134" s="13" t="str">
        <f>"258353"</f>
        <v>258353</v>
      </c>
    </row>
    <row r="135" spans="1:14" ht="15">
      <c r="A135" s="9">
        <v>128</v>
      </c>
      <c r="B135" s="4" t="s">
        <v>20</v>
      </c>
      <c r="C135" s="5" t="s">
        <v>21</v>
      </c>
      <c r="D135" s="14">
        <v>43451.775543981479</v>
      </c>
      <c r="E135" t="str">
        <f>"15413060075948761783"</f>
        <v>15413060075948761783</v>
      </c>
      <c r="F135" s="4" t="s">
        <v>22</v>
      </c>
      <c r="G135" s="13" t="s">
        <v>151</v>
      </c>
      <c r="H135" t="str">
        <f>"8827181104113304"</f>
        <v>8827181104113304</v>
      </c>
      <c r="I135" s="15">
        <v>1424000</v>
      </c>
      <c r="J135" s="4"/>
      <c r="K135" s="10">
        <v>3900</v>
      </c>
      <c r="L135" s="11">
        <f t="shared" si="1"/>
        <v>1420100</v>
      </c>
      <c r="M135" s="6"/>
      <c r="N135" s="13" t="str">
        <f>"258134"</f>
        <v>258134</v>
      </c>
    </row>
    <row r="136" spans="1:14" ht="15">
      <c r="A136" s="9">
        <v>129</v>
      </c>
      <c r="B136" s="4" t="s">
        <v>20</v>
      </c>
      <c r="C136" s="5" t="s">
        <v>21</v>
      </c>
      <c r="D136" s="14">
        <v>43451.775497685187</v>
      </c>
      <c r="E136" t="str">
        <f>"15420927788512913079"</f>
        <v>15420927788512913079</v>
      </c>
      <c r="F136" s="4" t="s">
        <v>22</v>
      </c>
      <c r="G136" s="13" t="s">
        <v>152</v>
      </c>
      <c r="H136" t="str">
        <f>"8827181113140616"</f>
        <v>8827181113140616</v>
      </c>
      <c r="I136" s="15">
        <v>1333000</v>
      </c>
      <c r="J136" s="4"/>
      <c r="K136" s="10">
        <v>3900</v>
      </c>
      <c r="L136" s="11">
        <f t="shared" si="1"/>
        <v>1329100</v>
      </c>
      <c r="M136" s="6"/>
      <c r="N136" s="13" t="str">
        <f>"257471"</f>
        <v>257471</v>
      </c>
    </row>
    <row r="137" spans="1:14" ht="15">
      <c r="A137" s="9">
        <v>130</v>
      </c>
      <c r="B137" s="4" t="s">
        <v>20</v>
      </c>
      <c r="C137" s="5" t="s">
        <v>21</v>
      </c>
      <c r="D137" s="14">
        <v>43451.774768518517</v>
      </c>
      <c r="E137" t="str">
        <f>"15420805516453942090"</f>
        <v>15420805516453942090</v>
      </c>
      <c r="F137" s="4" t="s">
        <v>22</v>
      </c>
      <c r="G137" s="13" t="s">
        <v>153</v>
      </c>
      <c r="H137" t="str">
        <f>"8827181113104205"</f>
        <v>8827181113104205</v>
      </c>
      <c r="I137" s="15">
        <v>1128000</v>
      </c>
      <c r="J137" s="4"/>
      <c r="K137" s="10">
        <v>3900</v>
      </c>
      <c r="L137" s="11">
        <f t="shared" ref="L137:L200" si="2">(I137-K137)</f>
        <v>1124100</v>
      </c>
      <c r="M137" s="6"/>
      <c r="N137" s="13" t="str">
        <f>"246749"</f>
        <v>246749</v>
      </c>
    </row>
    <row r="138" spans="1:14" ht="15">
      <c r="A138" s="9">
        <v>131</v>
      </c>
      <c r="B138" s="4" t="s">
        <v>20</v>
      </c>
      <c r="C138" s="5" t="s">
        <v>21</v>
      </c>
      <c r="D138" s="14">
        <v>43451.771585648145</v>
      </c>
      <c r="E138" t="str">
        <f>"15419934252467632494"</f>
        <v>15419934252467632494</v>
      </c>
      <c r="F138" s="4" t="s">
        <v>22</v>
      </c>
      <c r="G138" s="13" t="s">
        <v>154</v>
      </c>
      <c r="H138" t="str">
        <f>"8827181112103003"</f>
        <v>8827181112103003</v>
      </c>
      <c r="I138" s="15">
        <v>1168000</v>
      </c>
      <c r="J138" s="4"/>
      <c r="K138" s="10">
        <v>3900</v>
      </c>
      <c r="L138" s="11">
        <f t="shared" si="2"/>
        <v>1164100</v>
      </c>
      <c r="M138" s="6"/>
      <c r="N138" s="13" t="str">
        <f>"195236"</f>
        <v>195236</v>
      </c>
    </row>
    <row r="139" spans="1:14" ht="15">
      <c r="A139" s="9">
        <v>132</v>
      </c>
      <c r="B139" s="4" t="s">
        <v>20</v>
      </c>
      <c r="C139" s="5" t="s">
        <v>21</v>
      </c>
      <c r="D139" s="14">
        <v>43451.769074074073</v>
      </c>
      <c r="E139" t="str">
        <f>"15409665648362875517"</f>
        <v>15409665648362875517</v>
      </c>
      <c r="F139" s="4" t="s">
        <v>22</v>
      </c>
      <c r="G139" s="13" t="s">
        <v>155</v>
      </c>
      <c r="H139" t="str">
        <f>"8827181031131601"</f>
        <v>8827181031131601</v>
      </c>
      <c r="I139" s="15">
        <v>1615500</v>
      </c>
      <c r="J139" s="4"/>
      <c r="K139" s="10">
        <v>3900</v>
      </c>
      <c r="L139" s="11">
        <f t="shared" si="2"/>
        <v>1611600</v>
      </c>
      <c r="M139" s="6"/>
      <c r="N139" s="13" t="str">
        <f>"983191"</f>
        <v>983191</v>
      </c>
    </row>
    <row r="140" spans="1:14" ht="15">
      <c r="A140" s="9">
        <v>133</v>
      </c>
      <c r="B140" s="4" t="s">
        <v>20</v>
      </c>
      <c r="C140" s="5" t="s">
        <v>21</v>
      </c>
      <c r="D140" s="14">
        <v>43451.768090277779</v>
      </c>
      <c r="E140" t="str">
        <f>"15421143968215727373"</f>
        <v>15421143968215727373</v>
      </c>
      <c r="F140" s="4" t="s">
        <v>22</v>
      </c>
      <c r="G140" s="13" t="s">
        <v>156</v>
      </c>
      <c r="H140" t="str">
        <f>"8827181113200602"</f>
        <v>8827181113200602</v>
      </c>
      <c r="I140" s="15">
        <v>1662000</v>
      </c>
      <c r="J140" s="4"/>
      <c r="K140" s="10">
        <v>3900</v>
      </c>
      <c r="L140" s="11">
        <f t="shared" si="2"/>
        <v>1658100</v>
      </c>
      <c r="M140" s="6"/>
      <c r="N140" s="13" t="str">
        <f>"122846"</f>
        <v>122846</v>
      </c>
    </row>
    <row r="141" spans="1:14" ht="15">
      <c r="A141" s="9">
        <v>134</v>
      </c>
      <c r="B141" s="4" t="s">
        <v>20</v>
      </c>
      <c r="C141" s="5" t="s">
        <v>21</v>
      </c>
      <c r="D141" s="14">
        <v>43451.767824074072</v>
      </c>
      <c r="E141" t="str">
        <f>"15410402489402916773"</f>
        <v>15410402489402916773</v>
      </c>
      <c r="F141" s="4" t="s">
        <v>22</v>
      </c>
      <c r="G141" s="13" t="s">
        <v>157</v>
      </c>
      <c r="H141" t="str">
        <f>"8827181101094401"</f>
        <v>8827181101094401</v>
      </c>
      <c r="I141" s="15">
        <v>1355000</v>
      </c>
      <c r="J141" s="4"/>
      <c r="K141" s="10">
        <v>3900</v>
      </c>
      <c r="L141" s="11">
        <f t="shared" si="2"/>
        <v>1351100</v>
      </c>
      <c r="M141" s="6"/>
      <c r="N141" s="13" t="str">
        <f>"117268"</f>
        <v>117268</v>
      </c>
    </row>
    <row r="142" spans="1:14" ht="15">
      <c r="A142" s="9">
        <v>135</v>
      </c>
      <c r="B142" s="4" t="s">
        <v>20</v>
      </c>
      <c r="C142" s="5" t="s">
        <v>21</v>
      </c>
      <c r="D142" s="14">
        <v>43451.762349537035</v>
      </c>
      <c r="E142" t="str">
        <f>"15409577427668495273"</f>
        <v>15409577427668495273</v>
      </c>
      <c r="F142" s="4" t="s">
        <v>22</v>
      </c>
      <c r="G142" s="13" t="s">
        <v>158</v>
      </c>
      <c r="H142" t="str">
        <f>"8827181031104901"</f>
        <v>8827181031104901</v>
      </c>
      <c r="I142" s="15">
        <v>1797000</v>
      </c>
      <c r="J142" s="4"/>
      <c r="K142" s="10">
        <v>3900</v>
      </c>
      <c r="L142" s="11">
        <f t="shared" si="2"/>
        <v>1793100</v>
      </c>
      <c r="M142" s="6"/>
      <c r="N142" s="13" t="str">
        <f>"978249"</f>
        <v>978249</v>
      </c>
    </row>
    <row r="143" spans="1:14" ht="15">
      <c r="A143" s="9">
        <v>136</v>
      </c>
      <c r="B143" s="4" t="s">
        <v>20</v>
      </c>
      <c r="C143" s="5" t="s">
        <v>21</v>
      </c>
      <c r="D143" s="14">
        <v>43451.762291666666</v>
      </c>
      <c r="E143" t="str">
        <f>"15418205616927148568"</f>
        <v>15418205616927148568</v>
      </c>
      <c r="F143" s="4" t="s">
        <v>22</v>
      </c>
      <c r="G143" s="13" t="s">
        <v>159</v>
      </c>
      <c r="H143" t="str">
        <f>"8827181110102904"</f>
        <v>8827181110102904</v>
      </c>
      <c r="I143" s="15">
        <v>1430000</v>
      </c>
      <c r="J143" s="4"/>
      <c r="K143" s="10">
        <v>3900</v>
      </c>
      <c r="L143" s="11">
        <f t="shared" si="2"/>
        <v>1426100</v>
      </c>
      <c r="M143" s="6"/>
      <c r="N143" s="13" t="str">
        <f>"011039"</f>
        <v>011039</v>
      </c>
    </row>
    <row r="144" spans="1:14" ht="15">
      <c r="A144" s="9">
        <v>137</v>
      </c>
      <c r="B144" s="4" t="s">
        <v>20</v>
      </c>
      <c r="C144" s="5" t="s">
        <v>21</v>
      </c>
      <c r="D144" s="14">
        <v>43451.757476851853</v>
      </c>
      <c r="E144" t="str">
        <f>"15410215895602170252"</f>
        <v>15410215895602170252</v>
      </c>
      <c r="F144" s="4" t="s">
        <v>22</v>
      </c>
      <c r="G144" s="13" t="s">
        <v>160</v>
      </c>
      <c r="H144" t="str">
        <f>"8827181101043301"</f>
        <v>8827181101043301</v>
      </c>
      <c r="I144" s="15">
        <v>626375</v>
      </c>
      <c r="J144" s="4"/>
      <c r="K144" s="10">
        <v>3900</v>
      </c>
      <c r="L144" s="11">
        <f t="shared" si="2"/>
        <v>622475</v>
      </c>
      <c r="M144" s="6"/>
      <c r="N144" s="13" t="str">
        <f>"734556"</f>
        <v>734556</v>
      </c>
    </row>
    <row r="145" spans="1:14" ht="15">
      <c r="A145" s="9">
        <v>138</v>
      </c>
      <c r="B145" s="4" t="s">
        <v>20</v>
      </c>
      <c r="C145" s="5" t="s">
        <v>21</v>
      </c>
      <c r="D145" s="14">
        <v>43451.757326388892</v>
      </c>
      <c r="E145" t="str">
        <f>"15410692282477578083"</f>
        <v>15410692282477578083</v>
      </c>
      <c r="F145" s="4" t="s">
        <v>22</v>
      </c>
      <c r="G145" s="13" t="s">
        <v>161</v>
      </c>
      <c r="H145" t="str">
        <f>"8827181101174701"</f>
        <v>8827181101174701</v>
      </c>
      <c r="I145" s="15">
        <v>1647000</v>
      </c>
      <c r="J145" s="4"/>
      <c r="K145" s="10">
        <v>3900</v>
      </c>
      <c r="L145" s="11">
        <f t="shared" si="2"/>
        <v>1643100</v>
      </c>
      <c r="M145" s="6"/>
      <c r="N145" s="13" t="str">
        <f>"974627"</f>
        <v>974627</v>
      </c>
    </row>
    <row r="146" spans="1:14" ht="15">
      <c r="A146" s="9">
        <v>139</v>
      </c>
      <c r="B146" s="4" t="s">
        <v>20</v>
      </c>
      <c r="C146" s="5" t="s">
        <v>21</v>
      </c>
      <c r="D146" s="14">
        <v>43451.757291666669</v>
      </c>
      <c r="E146" t="str">
        <f>"15413836990686153344"</f>
        <v>15413836990686153344</v>
      </c>
      <c r="F146" s="4" t="s">
        <v>22</v>
      </c>
      <c r="G146" s="13" t="s">
        <v>162</v>
      </c>
      <c r="H146" t="str">
        <f>"8827181105090801"</f>
        <v>8827181105090801</v>
      </c>
      <c r="I146" s="15">
        <v>1767000</v>
      </c>
      <c r="J146" s="4"/>
      <c r="K146" s="10">
        <v>3900</v>
      </c>
      <c r="L146" s="11">
        <f t="shared" si="2"/>
        <v>1763100</v>
      </c>
      <c r="M146" s="6"/>
      <c r="N146" s="13" t="str">
        <f>"731982"</f>
        <v>731982</v>
      </c>
    </row>
    <row r="147" spans="1:14" ht="15">
      <c r="A147" s="9">
        <v>140</v>
      </c>
      <c r="B147" s="4" t="s">
        <v>20</v>
      </c>
      <c r="C147" s="5" t="s">
        <v>21</v>
      </c>
      <c r="D147" s="14">
        <v>43451.756643518522</v>
      </c>
      <c r="E147" t="str">
        <f>"15412885699423716650"</f>
        <v>15412885699423716650</v>
      </c>
      <c r="F147" s="4" t="s">
        <v>22</v>
      </c>
      <c r="G147" s="13" t="s">
        <v>163</v>
      </c>
      <c r="H147" t="str">
        <f>"8827181104064202"</f>
        <v>8827181104064202</v>
      </c>
      <c r="I147" s="15">
        <v>700050</v>
      </c>
      <c r="J147" s="4"/>
      <c r="K147" s="10">
        <v>3900</v>
      </c>
      <c r="L147" s="11">
        <f t="shared" si="2"/>
        <v>696150</v>
      </c>
      <c r="M147" s="6"/>
      <c r="N147" s="13" t="str">
        <f>"722447"</f>
        <v>722447</v>
      </c>
    </row>
    <row r="148" spans="1:14" ht="15">
      <c r="A148" s="9">
        <v>141</v>
      </c>
      <c r="B148" s="4" t="s">
        <v>20</v>
      </c>
      <c r="C148" s="5" t="s">
        <v>21</v>
      </c>
      <c r="D148" s="14">
        <v>43451.756365740737</v>
      </c>
      <c r="E148" t="str">
        <f>"15419977123904966462"</f>
        <v>15419977123904966462</v>
      </c>
      <c r="F148" s="4" t="s">
        <v>22</v>
      </c>
      <c r="G148" s="13" t="s">
        <v>164</v>
      </c>
      <c r="H148" t="str">
        <f>"8827181112114107"</f>
        <v>8827181112114107</v>
      </c>
      <c r="I148" s="15">
        <v>1668000</v>
      </c>
      <c r="J148" s="4"/>
      <c r="K148" s="10">
        <v>3900</v>
      </c>
      <c r="L148" s="11">
        <f t="shared" si="2"/>
        <v>1664100</v>
      </c>
      <c r="M148" s="6"/>
      <c r="N148" s="13" t="str">
        <f>"718435"</f>
        <v>718435</v>
      </c>
    </row>
    <row r="149" spans="1:14" ht="15">
      <c r="A149" s="9">
        <v>142</v>
      </c>
      <c r="B149" s="4" t="s">
        <v>20</v>
      </c>
      <c r="C149" s="5" t="s">
        <v>21</v>
      </c>
      <c r="D149" s="14">
        <v>43451.756238425929</v>
      </c>
      <c r="E149" t="str">
        <f>"15409866790498567199"</f>
        <v>15409866790498567199</v>
      </c>
      <c r="F149" s="4" t="s">
        <v>22</v>
      </c>
      <c r="G149" s="13" t="s">
        <v>165</v>
      </c>
      <c r="H149" t="str">
        <f>"8827181031185102"</f>
        <v>8827181031185102</v>
      </c>
      <c r="I149" s="15">
        <v>1752000</v>
      </c>
      <c r="J149" s="4"/>
      <c r="K149" s="10">
        <v>3900</v>
      </c>
      <c r="L149" s="11">
        <f t="shared" si="2"/>
        <v>1748100</v>
      </c>
      <c r="M149" s="6"/>
      <c r="N149" s="13" t="str">
        <f>"716715"</f>
        <v>716715</v>
      </c>
    </row>
    <row r="150" spans="1:14" ht="15">
      <c r="A150" s="9">
        <v>143</v>
      </c>
      <c r="B150" s="4" t="s">
        <v>20</v>
      </c>
      <c r="C150" s="5" t="s">
        <v>21</v>
      </c>
      <c r="D150" s="14">
        <v>43451.754374999997</v>
      </c>
      <c r="E150" t="str">
        <f>"15415444664389510426"</f>
        <v>15415444664389510426</v>
      </c>
      <c r="F150" s="4" t="s">
        <v>22</v>
      </c>
      <c r="G150" s="13" t="s">
        <v>166</v>
      </c>
      <c r="H150" t="str">
        <f>"8827181107054704"</f>
        <v>8827181107054704</v>
      </c>
      <c r="I150" s="15">
        <v>1752000</v>
      </c>
      <c r="J150" s="4"/>
      <c r="K150" s="10">
        <v>3900</v>
      </c>
      <c r="L150" s="11">
        <f t="shared" si="2"/>
        <v>1748100</v>
      </c>
      <c r="M150" s="6"/>
      <c r="N150" s="13" t="str">
        <f>"688300"</f>
        <v>688300</v>
      </c>
    </row>
    <row r="151" spans="1:14" ht="15">
      <c r="A151" s="9">
        <v>144</v>
      </c>
      <c r="B151" s="4" t="s">
        <v>20</v>
      </c>
      <c r="C151" s="5" t="s">
        <v>21</v>
      </c>
      <c r="D151" s="14">
        <v>43451.753877314812</v>
      </c>
      <c r="E151" t="str">
        <f>"15408831520621930433"</f>
        <v>15408831520621930433</v>
      </c>
      <c r="F151" s="4" t="s">
        <v>22</v>
      </c>
      <c r="G151" s="13" t="s">
        <v>167</v>
      </c>
      <c r="H151" t="str">
        <f>"8827181030140505"</f>
        <v>8827181030140505</v>
      </c>
      <c r="I151" s="15">
        <v>1716000</v>
      </c>
      <c r="J151" s="4"/>
      <c r="K151" s="10">
        <v>3900</v>
      </c>
      <c r="L151" s="11">
        <f t="shared" si="2"/>
        <v>1712100</v>
      </c>
      <c r="M151" s="6"/>
      <c r="N151" s="13" t="str">
        <f>"972032"</f>
        <v>972032</v>
      </c>
    </row>
    <row r="152" spans="1:14" ht="15">
      <c r="A152" s="9">
        <v>145</v>
      </c>
      <c r="B152" s="4" t="s">
        <v>20</v>
      </c>
      <c r="C152" s="5" t="s">
        <v>21</v>
      </c>
      <c r="D152" s="14">
        <v>43451.753067129626</v>
      </c>
      <c r="E152" t="str">
        <f>"15420142865881008499"</f>
        <v>15420142865881008499</v>
      </c>
      <c r="F152" s="4" t="s">
        <v>22</v>
      </c>
      <c r="G152" s="13" t="s">
        <v>168</v>
      </c>
      <c r="H152" t="str">
        <f>"8827181112161802"</f>
        <v>8827181112161802</v>
      </c>
      <c r="I152" s="15">
        <v>600000</v>
      </c>
      <c r="J152" s="4"/>
      <c r="K152" s="10">
        <v>3900</v>
      </c>
      <c r="L152" s="11">
        <f t="shared" si="2"/>
        <v>596100</v>
      </c>
      <c r="M152" s="6"/>
      <c r="N152" s="13" t="str">
        <f>"667927"</f>
        <v>667927</v>
      </c>
    </row>
    <row r="153" spans="1:14" ht="15">
      <c r="A153" s="9">
        <v>146</v>
      </c>
      <c r="B153" s="4" t="s">
        <v>20</v>
      </c>
      <c r="C153" s="5" t="s">
        <v>21</v>
      </c>
      <c r="D153" s="14">
        <v>43451.750949074078</v>
      </c>
      <c r="E153" t="str">
        <f>"15408099804399316330"</f>
        <v>15408099804399316330</v>
      </c>
      <c r="F153" s="4" t="s">
        <v>22</v>
      </c>
      <c r="G153" s="13" t="s">
        <v>169</v>
      </c>
      <c r="H153" t="str">
        <f>"8827181029174602"</f>
        <v>8827181029174602</v>
      </c>
      <c r="I153" s="15">
        <v>1647000</v>
      </c>
      <c r="J153" s="4"/>
      <c r="K153" s="10">
        <v>3900</v>
      </c>
      <c r="L153" s="11">
        <f t="shared" si="2"/>
        <v>1643100</v>
      </c>
      <c r="M153" s="6"/>
      <c r="N153" s="13" t="str">
        <f>"632569"</f>
        <v>632569</v>
      </c>
    </row>
    <row r="154" spans="1:14" ht="15">
      <c r="A154" s="9">
        <v>147</v>
      </c>
      <c r="B154" s="4" t="s">
        <v>20</v>
      </c>
      <c r="C154" s="5" t="s">
        <v>21</v>
      </c>
      <c r="D154" s="14">
        <v>43451.74962962963</v>
      </c>
      <c r="E154" t="str">
        <f>"15415752932904731538"</f>
        <v>15415752932904731538</v>
      </c>
      <c r="F154" s="4" t="s">
        <v>22</v>
      </c>
      <c r="G154" s="13" t="s">
        <v>170</v>
      </c>
      <c r="H154" t="str">
        <f>"8827181107142103"</f>
        <v>8827181107142103</v>
      </c>
      <c r="I154" s="15">
        <v>1108000</v>
      </c>
      <c r="J154" s="4"/>
      <c r="K154" s="10">
        <v>3900</v>
      </c>
      <c r="L154" s="11">
        <f t="shared" si="2"/>
        <v>1104100</v>
      </c>
      <c r="M154" s="6"/>
      <c r="N154" s="13" t="str">
        <f>"611994"</f>
        <v>611994</v>
      </c>
    </row>
    <row r="155" spans="1:14" ht="15">
      <c r="A155" s="9">
        <v>148</v>
      </c>
      <c r="B155" s="4" t="s">
        <v>20</v>
      </c>
      <c r="C155" s="5" t="s">
        <v>21</v>
      </c>
      <c r="D155" s="14">
        <v>43451.749178240738</v>
      </c>
      <c r="E155" t="str">
        <f>"15415734857182787856"</f>
        <v>15415734857182787856</v>
      </c>
      <c r="F155" s="4" t="s">
        <v>22</v>
      </c>
      <c r="G155" s="13" t="s">
        <v>171</v>
      </c>
      <c r="H155" t="str">
        <f>"8827181107135103"</f>
        <v>8827181107135103</v>
      </c>
      <c r="I155" s="15">
        <v>1518400</v>
      </c>
      <c r="J155" s="4"/>
      <c r="K155" s="10">
        <v>3900</v>
      </c>
      <c r="L155" s="11">
        <f t="shared" si="2"/>
        <v>1514500</v>
      </c>
      <c r="M155" s="6"/>
      <c r="N155" s="13" t="str">
        <f>"968534"</f>
        <v>968534</v>
      </c>
    </row>
    <row r="156" spans="1:14" ht="15">
      <c r="A156" s="9">
        <v>149</v>
      </c>
      <c r="B156" s="4" t="s">
        <v>20</v>
      </c>
      <c r="C156" s="5" t="s">
        <v>21</v>
      </c>
      <c r="D156" s="14">
        <v>43451.748113425929</v>
      </c>
      <c r="E156" t="str">
        <f>"15413355081874734194"</f>
        <v>15413355081874734194</v>
      </c>
      <c r="F156" s="4" t="s">
        <v>22</v>
      </c>
      <c r="G156" s="13" t="s">
        <v>172</v>
      </c>
      <c r="H156" t="str">
        <f>"8827181104194502"</f>
        <v>8827181104194502</v>
      </c>
      <c r="I156" s="15">
        <v>1752000</v>
      </c>
      <c r="J156" s="4"/>
      <c r="K156" s="10">
        <v>3900</v>
      </c>
      <c r="L156" s="11">
        <f t="shared" si="2"/>
        <v>1748100</v>
      </c>
      <c r="M156" s="6"/>
      <c r="N156" s="13" t="str">
        <f>"587544"</f>
        <v>587544</v>
      </c>
    </row>
    <row r="157" spans="1:14" ht="15">
      <c r="A157" s="9">
        <v>150</v>
      </c>
      <c r="B157" s="4" t="s">
        <v>20</v>
      </c>
      <c r="C157" s="5" t="s">
        <v>21</v>
      </c>
      <c r="D157" s="14">
        <v>43451.748101851852</v>
      </c>
      <c r="E157" t="str">
        <f>"15411231180534466686"</f>
        <v>15411231180534466686</v>
      </c>
      <c r="F157" s="4" t="s">
        <v>22</v>
      </c>
      <c r="G157" s="13" t="s">
        <v>173</v>
      </c>
      <c r="H157" t="str">
        <f>"8827181102084505"</f>
        <v>8827181102084505</v>
      </c>
      <c r="I157" s="15">
        <v>1752000</v>
      </c>
      <c r="J157" s="4"/>
      <c r="K157" s="10">
        <v>3900</v>
      </c>
      <c r="L157" s="11">
        <f t="shared" si="2"/>
        <v>1748100</v>
      </c>
      <c r="M157" s="6"/>
      <c r="N157" s="13" t="str">
        <f>"967712"</f>
        <v>967712</v>
      </c>
    </row>
    <row r="158" spans="1:14" ht="15">
      <c r="A158" s="9">
        <v>151</v>
      </c>
      <c r="B158" s="4" t="s">
        <v>20</v>
      </c>
      <c r="C158" s="5" t="s">
        <v>21</v>
      </c>
      <c r="D158" s="14">
        <v>43451.747939814813</v>
      </c>
      <c r="E158" t="str">
        <f>"15415066636293554826"</f>
        <v>15415066636293554826</v>
      </c>
      <c r="F158" s="4" t="s">
        <v>22</v>
      </c>
      <c r="G158" s="13" t="s">
        <v>174</v>
      </c>
      <c r="H158" t="str">
        <f>"8827181106191703"</f>
        <v>8827181106191703</v>
      </c>
      <c r="I158" s="15">
        <v>1482300</v>
      </c>
      <c r="J158" s="4"/>
      <c r="K158" s="10">
        <v>3900</v>
      </c>
      <c r="L158" s="11">
        <f t="shared" si="2"/>
        <v>1478400</v>
      </c>
      <c r="M158" s="6"/>
      <c r="N158" s="13" t="str">
        <f>"585008"</f>
        <v>585008</v>
      </c>
    </row>
    <row r="159" spans="1:14" ht="15">
      <c r="A159" s="9">
        <v>152</v>
      </c>
      <c r="B159" s="4" t="s">
        <v>20</v>
      </c>
      <c r="C159" s="5" t="s">
        <v>21</v>
      </c>
      <c r="D159" s="14">
        <v>43451.746689814812</v>
      </c>
      <c r="E159" t="str">
        <f>"15426996561711778286"</f>
        <v>15426996561711778286</v>
      </c>
      <c r="F159" s="4" t="s">
        <v>22</v>
      </c>
      <c r="G159" s="13" t="s">
        <v>175</v>
      </c>
      <c r="H159" t="str">
        <f>"8827181120144005"</f>
        <v>8827181120144005</v>
      </c>
      <c r="I159" s="15">
        <v>1924500</v>
      </c>
      <c r="J159" s="4"/>
      <c r="K159" s="10">
        <v>3900</v>
      </c>
      <c r="L159" s="11">
        <f t="shared" si="2"/>
        <v>1920600</v>
      </c>
      <c r="M159" s="6"/>
      <c r="N159" s="13" t="str">
        <f>"562272"</f>
        <v>562272</v>
      </c>
    </row>
    <row r="160" spans="1:14" ht="15">
      <c r="A160" s="9">
        <v>153</v>
      </c>
      <c r="B160" s="4" t="s">
        <v>20</v>
      </c>
      <c r="C160" s="5" t="s">
        <v>21</v>
      </c>
      <c r="D160" s="14">
        <v>43451.74628472222</v>
      </c>
      <c r="E160" t="str">
        <f>"15426946677473605169"</f>
        <v>15426946677473605169</v>
      </c>
      <c r="F160" s="4" t="s">
        <v>22</v>
      </c>
      <c r="G160" s="13" t="s">
        <v>176</v>
      </c>
      <c r="H160" t="str">
        <f>"8827181120131702"</f>
        <v>8827181120131702</v>
      </c>
      <c r="I160" s="15">
        <v>1329600</v>
      </c>
      <c r="J160" s="4"/>
      <c r="K160" s="10">
        <v>3900</v>
      </c>
      <c r="L160" s="11">
        <f t="shared" si="2"/>
        <v>1325700</v>
      </c>
      <c r="M160" s="6"/>
      <c r="N160" s="13" t="str">
        <f>"552018"</f>
        <v>552018</v>
      </c>
    </row>
    <row r="161" spans="1:14" ht="15">
      <c r="A161" s="9">
        <v>154</v>
      </c>
      <c r="B161" s="4" t="s">
        <v>20</v>
      </c>
      <c r="C161" s="5" t="s">
        <v>21</v>
      </c>
      <c r="D161" s="14">
        <v>43451.744699074072</v>
      </c>
      <c r="E161" t="str">
        <f>"15414200489524923496"</f>
        <v>15414200489524923496</v>
      </c>
      <c r="F161" s="4" t="s">
        <v>22</v>
      </c>
      <c r="G161" s="13" t="s">
        <v>177</v>
      </c>
      <c r="H161" t="str">
        <f>"8827181105191401"</f>
        <v>8827181105191401</v>
      </c>
      <c r="I161" s="15">
        <v>1267200</v>
      </c>
      <c r="J161" s="4"/>
      <c r="K161" s="10">
        <v>3900</v>
      </c>
      <c r="L161" s="11">
        <f t="shared" si="2"/>
        <v>1263300</v>
      </c>
      <c r="M161" s="6"/>
      <c r="N161" s="13" t="str">
        <f>"521418"</f>
        <v>521418</v>
      </c>
    </row>
    <row r="162" spans="1:14" ht="15">
      <c r="A162" s="9">
        <v>155</v>
      </c>
      <c r="B162" s="4" t="s">
        <v>20</v>
      </c>
      <c r="C162" s="5" t="s">
        <v>21</v>
      </c>
      <c r="D162" s="14">
        <v>43451.738703703704</v>
      </c>
      <c r="E162" t="str">
        <f>"15410460017721783962"</f>
        <v>15410460017721783962</v>
      </c>
      <c r="F162" s="4" t="s">
        <v>22</v>
      </c>
      <c r="G162" s="13" t="s">
        <v>178</v>
      </c>
      <c r="H162" t="str">
        <f>"8827181101112002"</f>
        <v>8827181101112002</v>
      </c>
      <c r="I162" s="15">
        <v>1902000</v>
      </c>
      <c r="J162" s="4"/>
      <c r="K162" s="10">
        <v>3900</v>
      </c>
      <c r="L162" s="11">
        <f t="shared" si="2"/>
        <v>1898100</v>
      </c>
      <c r="M162" s="6"/>
      <c r="N162" s="13" t="str">
        <f>"403987"</f>
        <v>403987</v>
      </c>
    </row>
    <row r="163" spans="1:14" ht="15">
      <c r="A163" s="9">
        <v>156</v>
      </c>
      <c r="B163" s="4" t="s">
        <v>20</v>
      </c>
      <c r="C163" s="5" t="s">
        <v>21</v>
      </c>
      <c r="D163" s="14">
        <v>43451.736504629633</v>
      </c>
      <c r="E163" t="str">
        <f>"15420719440249303092"</f>
        <v>15420719440249303092</v>
      </c>
      <c r="F163" s="4" t="s">
        <v>22</v>
      </c>
      <c r="G163" s="13" t="s">
        <v>179</v>
      </c>
      <c r="H163" t="str">
        <f>"8827181113081901"</f>
        <v>8827181113081901</v>
      </c>
      <c r="I163" s="15">
        <v>1668000</v>
      </c>
      <c r="J163" s="4"/>
      <c r="K163" s="10">
        <v>3900</v>
      </c>
      <c r="L163" s="11">
        <f t="shared" si="2"/>
        <v>1664100</v>
      </c>
      <c r="M163" s="6"/>
      <c r="N163" s="13" t="str">
        <f>"362624"</f>
        <v>362624</v>
      </c>
    </row>
    <row r="164" spans="1:14" ht="15">
      <c r="A164" s="9">
        <v>157</v>
      </c>
      <c r="B164" s="4" t="s">
        <v>20</v>
      </c>
      <c r="C164" s="5" t="s">
        <v>21</v>
      </c>
      <c r="D164" s="14">
        <v>43451.735555555555</v>
      </c>
      <c r="E164" t="str">
        <f>"15410259598856265330"</f>
        <v>15410259598856265330</v>
      </c>
      <c r="F164" s="4" t="s">
        <v>22</v>
      </c>
      <c r="G164" s="13" t="s">
        <v>180</v>
      </c>
      <c r="H164" t="str">
        <f>"8827181101054601"</f>
        <v>8827181101054601</v>
      </c>
      <c r="I164" s="15">
        <v>1636500</v>
      </c>
      <c r="J164" s="4"/>
      <c r="K164" s="10">
        <v>3900</v>
      </c>
      <c r="L164" s="11">
        <f t="shared" si="2"/>
        <v>1632600</v>
      </c>
      <c r="M164" s="6"/>
      <c r="N164" s="13" t="str">
        <f>"345505"</f>
        <v>345505</v>
      </c>
    </row>
    <row r="165" spans="1:14" ht="15">
      <c r="A165" s="9">
        <v>158</v>
      </c>
      <c r="B165" s="4" t="s">
        <v>20</v>
      </c>
      <c r="C165" s="5" t="s">
        <v>21</v>
      </c>
      <c r="D165" s="14">
        <v>43451.734398148146</v>
      </c>
      <c r="E165" t="str">
        <f>"15419364343217881800"</f>
        <v>15419364343217881800</v>
      </c>
      <c r="F165" s="4" t="s">
        <v>22</v>
      </c>
      <c r="G165" s="13" t="s">
        <v>181</v>
      </c>
      <c r="H165" t="str">
        <f>"8827181111184002"</f>
        <v>8827181111184002</v>
      </c>
      <c r="I165" s="15">
        <v>1098000</v>
      </c>
      <c r="J165" s="4"/>
      <c r="K165" s="10">
        <v>3900</v>
      </c>
      <c r="L165" s="11">
        <f t="shared" si="2"/>
        <v>1094100</v>
      </c>
      <c r="M165" s="6"/>
      <c r="N165" s="13" t="str">
        <f>"326055"</f>
        <v>326055</v>
      </c>
    </row>
    <row r="166" spans="1:14" ht="15">
      <c r="A166" s="9">
        <v>159</v>
      </c>
      <c r="B166" s="4" t="s">
        <v>20</v>
      </c>
      <c r="C166" s="5" t="s">
        <v>21</v>
      </c>
      <c r="D166" s="14">
        <v>43451.734016203707</v>
      </c>
      <c r="E166" t="str">
        <f>"15421822895853321736"</f>
        <v>15421822895853321736</v>
      </c>
      <c r="F166" s="4" t="s">
        <v>22</v>
      </c>
      <c r="G166" s="13" t="s">
        <v>182</v>
      </c>
      <c r="H166" t="str">
        <f>"8827181114145801"</f>
        <v>8827181114145801</v>
      </c>
      <c r="I166" s="15">
        <v>1146200</v>
      </c>
      <c r="J166" s="4"/>
      <c r="K166" s="10">
        <v>3900</v>
      </c>
      <c r="L166" s="11">
        <f t="shared" si="2"/>
        <v>1142300</v>
      </c>
      <c r="M166" s="6"/>
      <c r="N166" s="13" t="str">
        <f>"319677"</f>
        <v>319677</v>
      </c>
    </row>
    <row r="167" spans="1:14" ht="15">
      <c r="A167" s="9">
        <v>160</v>
      </c>
      <c r="B167" s="4" t="s">
        <v>20</v>
      </c>
      <c r="C167" s="5" t="s">
        <v>21</v>
      </c>
      <c r="D167" s="14">
        <v>43451.733275462961</v>
      </c>
      <c r="E167" t="str">
        <f>"15408866888682547161"</f>
        <v>15408866888682547161</v>
      </c>
      <c r="F167" s="4" t="s">
        <v>22</v>
      </c>
      <c r="G167" s="13" t="s">
        <v>183</v>
      </c>
      <c r="H167" t="str">
        <f>"8827181030150404"</f>
        <v>8827181030150404</v>
      </c>
      <c r="I167" s="15">
        <v>1626000</v>
      </c>
      <c r="J167" s="4"/>
      <c r="K167" s="10">
        <v>3900</v>
      </c>
      <c r="L167" s="11">
        <f t="shared" si="2"/>
        <v>1622100</v>
      </c>
      <c r="M167" s="6"/>
      <c r="N167" s="13" t="str">
        <f>"303199"</f>
        <v>303199</v>
      </c>
    </row>
    <row r="168" spans="1:14" ht="15">
      <c r="A168" s="9">
        <v>161</v>
      </c>
      <c r="B168" s="4" t="s">
        <v>20</v>
      </c>
      <c r="C168" s="5" t="s">
        <v>21</v>
      </c>
      <c r="D168" s="14">
        <v>43451.723900462966</v>
      </c>
      <c r="E168" t="str">
        <f>"15406995838432777256"</f>
        <v>15406995838432777256</v>
      </c>
      <c r="F168" s="4" t="s">
        <v>22</v>
      </c>
      <c r="G168" s="13" t="s">
        <v>184</v>
      </c>
      <c r="H168" t="str">
        <f>"8827181028110604"</f>
        <v>8827181028110604</v>
      </c>
      <c r="I168" s="15">
        <v>1098000</v>
      </c>
      <c r="J168" s="4"/>
      <c r="K168" s="10">
        <v>3900</v>
      </c>
      <c r="L168" s="11">
        <f t="shared" si="2"/>
        <v>1094100</v>
      </c>
      <c r="M168" s="6"/>
      <c r="N168" s="13" t="str">
        <f>"950822"</f>
        <v>950822</v>
      </c>
    </row>
    <row r="169" spans="1:14" ht="15">
      <c r="A169" s="9">
        <v>162</v>
      </c>
      <c r="B169" s="4" t="s">
        <v>20</v>
      </c>
      <c r="C169" s="5" t="s">
        <v>21</v>
      </c>
      <c r="D169" s="14">
        <v>43451.723321759258</v>
      </c>
      <c r="E169" t="str">
        <f>"15408948364373774543"</f>
        <v>15408948364373774543</v>
      </c>
      <c r="F169" s="4" t="s">
        <v>22</v>
      </c>
      <c r="G169" s="13" t="s">
        <v>185</v>
      </c>
      <c r="H169" t="str">
        <f>"8827181030172007"</f>
        <v>8827181030172007</v>
      </c>
      <c r="I169" s="15">
        <v>1902000</v>
      </c>
      <c r="J169" s="4"/>
      <c r="K169" s="10">
        <v>3900</v>
      </c>
      <c r="L169" s="11">
        <f t="shared" si="2"/>
        <v>1898100</v>
      </c>
      <c r="M169" s="6"/>
      <c r="N169" s="13" t="str">
        <f>"101989"</f>
        <v>101989</v>
      </c>
    </row>
    <row r="170" spans="1:14" ht="15">
      <c r="A170" s="9">
        <v>163</v>
      </c>
      <c r="B170" s="4" t="s">
        <v>20</v>
      </c>
      <c r="C170" s="5" t="s">
        <v>21</v>
      </c>
      <c r="D170" s="14">
        <v>43451.72314814815</v>
      </c>
      <c r="E170" t="str">
        <f>"15421952952141333001"</f>
        <v>15421952952141333001</v>
      </c>
      <c r="F170" s="4" t="s">
        <v>22</v>
      </c>
      <c r="G170" s="13" t="s">
        <v>186</v>
      </c>
      <c r="H170" t="str">
        <f>"8827181114183402"</f>
        <v>8827181114183402</v>
      </c>
      <c r="I170" s="15">
        <v>1722000</v>
      </c>
      <c r="J170" s="4"/>
      <c r="K170" s="10">
        <v>3900</v>
      </c>
      <c r="L170" s="11">
        <f t="shared" si="2"/>
        <v>1718100</v>
      </c>
      <c r="M170" s="6"/>
      <c r="N170" s="13" t="str">
        <f>"098359"</f>
        <v>098359</v>
      </c>
    </row>
    <row r="171" spans="1:14" ht="15">
      <c r="A171" s="9">
        <v>164</v>
      </c>
      <c r="B171" s="4" t="s">
        <v>20</v>
      </c>
      <c r="C171" s="5" t="s">
        <v>21</v>
      </c>
      <c r="D171" s="14">
        <v>43451.719861111109</v>
      </c>
      <c r="E171" t="str">
        <f>"15421746976746363275"</f>
        <v>15421746976746363275</v>
      </c>
      <c r="F171" s="4" t="s">
        <v>22</v>
      </c>
      <c r="G171" s="13" t="s">
        <v>187</v>
      </c>
      <c r="H171" t="str">
        <f>"8827181114125102"</f>
        <v>8827181114125102</v>
      </c>
      <c r="I171" s="15">
        <v>1647000</v>
      </c>
      <c r="J171" s="4"/>
      <c r="K171" s="10">
        <v>3900</v>
      </c>
      <c r="L171" s="11">
        <f t="shared" si="2"/>
        <v>1643100</v>
      </c>
      <c r="M171" s="6"/>
      <c r="N171" s="13" t="str">
        <f>"032502"</f>
        <v>032502</v>
      </c>
    </row>
    <row r="172" spans="1:14" ht="15">
      <c r="A172" s="9">
        <v>165</v>
      </c>
      <c r="B172" s="4" t="s">
        <v>20</v>
      </c>
      <c r="C172" s="5" t="s">
        <v>21</v>
      </c>
      <c r="D172" s="14">
        <v>43451.718668981484</v>
      </c>
      <c r="E172" t="str">
        <f>"15415449234235752147"</f>
        <v>15415449234235752147</v>
      </c>
      <c r="F172" s="4" t="s">
        <v>22</v>
      </c>
      <c r="G172" s="13" t="s">
        <v>188</v>
      </c>
      <c r="H172" t="str">
        <f>"8827181107055502"</f>
        <v>8827181107055502</v>
      </c>
      <c r="I172" s="15">
        <v>1740000</v>
      </c>
      <c r="J172" s="4"/>
      <c r="K172" s="10">
        <v>3900</v>
      </c>
      <c r="L172" s="11">
        <f t="shared" si="2"/>
        <v>1736100</v>
      </c>
      <c r="M172" s="6"/>
      <c r="N172" s="13" t="str">
        <f>"008571"</f>
        <v>008571</v>
      </c>
    </row>
    <row r="173" spans="1:14" ht="15">
      <c r="A173" s="9">
        <v>166</v>
      </c>
      <c r="B173" s="4" t="s">
        <v>20</v>
      </c>
      <c r="C173" s="5" t="s">
        <v>21</v>
      </c>
      <c r="D173" s="14">
        <v>43451.716238425928</v>
      </c>
      <c r="E173" t="str">
        <f>"15432332131341340048"</f>
        <v>15432332131341340048</v>
      </c>
      <c r="F173" s="4" t="s">
        <v>22</v>
      </c>
      <c r="G173" s="13" t="s">
        <v>189</v>
      </c>
      <c r="H173" t="str">
        <f>"8827181126185302"</f>
        <v>8827181126185302</v>
      </c>
      <c r="I173" s="15">
        <v>1767000</v>
      </c>
      <c r="J173" s="4"/>
      <c r="K173" s="10">
        <v>3900</v>
      </c>
      <c r="L173" s="11">
        <f t="shared" si="2"/>
        <v>1763100</v>
      </c>
      <c r="M173" s="6"/>
      <c r="N173" s="13" t="str">
        <f>"763312"</f>
        <v>763312</v>
      </c>
    </row>
    <row r="174" spans="1:14" ht="15">
      <c r="A174" s="9">
        <v>167</v>
      </c>
      <c r="B174" s="4" t="s">
        <v>20</v>
      </c>
      <c r="C174" s="5" t="s">
        <v>21</v>
      </c>
      <c r="D174" s="14">
        <v>43451.71603009259</v>
      </c>
      <c r="E174" t="str">
        <f>"15433278997244149241"</f>
        <v>15433278997244149241</v>
      </c>
      <c r="F174" s="4" t="s">
        <v>22</v>
      </c>
      <c r="G174" s="13" t="s">
        <v>190</v>
      </c>
      <c r="H174" t="str">
        <f>"8827181127211101"</f>
        <v>8827181127211101</v>
      </c>
      <c r="I174" s="15">
        <v>1752000</v>
      </c>
      <c r="J174" s="4"/>
      <c r="K174" s="10">
        <v>3900</v>
      </c>
      <c r="L174" s="11">
        <f t="shared" si="2"/>
        <v>1748100</v>
      </c>
      <c r="M174" s="6"/>
      <c r="N174" s="13" t="str">
        <f>"759590"</f>
        <v>759590</v>
      </c>
    </row>
    <row r="175" spans="1:14" ht="15">
      <c r="A175" s="9">
        <v>168</v>
      </c>
      <c r="B175" s="4" t="s">
        <v>20</v>
      </c>
      <c r="C175" s="5" t="s">
        <v>21</v>
      </c>
      <c r="D175" s="14">
        <v>43451.715937499997</v>
      </c>
      <c r="E175" t="str">
        <f>"15429427020428719660"</f>
        <v>15429427020428719660</v>
      </c>
      <c r="F175" s="4" t="s">
        <v>22</v>
      </c>
      <c r="G175" s="13" t="s">
        <v>191</v>
      </c>
      <c r="H175" t="str">
        <f>"8827181123101104"</f>
        <v>8827181123101104</v>
      </c>
      <c r="I175" s="15">
        <v>1195700</v>
      </c>
      <c r="J175" s="4"/>
      <c r="K175" s="10">
        <v>3900</v>
      </c>
      <c r="L175" s="11">
        <f t="shared" si="2"/>
        <v>1191800</v>
      </c>
      <c r="M175" s="6"/>
      <c r="N175" s="13" t="str">
        <f>"757952"</f>
        <v>757952</v>
      </c>
    </row>
    <row r="176" spans="1:14" ht="15">
      <c r="A176" s="9">
        <v>169</v>
      </c>
      <c r="B176" s="4" t="s">
        <v>20</v>
      </c>
      <c r="C176" s="5" t="s">
        <v>21</v>
      </c>
      <c r="D176" s="14">
        <v>43451.714085648149</v>
      </c>
      <c r="E176" t="str">
        <f>"15436760248888503092"</f>
        <v>15436760248888503092</v>
      </c>
      <c r="F176" s="4" t="s">
        <v>22</v>
      </c>
      <c r="G176" s="13" t="s">
        <v>192</v>
      </c>
      <c r="H176" t="str">
        <f>"8827181201215301"</f>
        <v>8827181201215301</v>
      </c>
      <c r="I176" s="15">
        <v>1590400</v>
      </c>
      <c r="J176" s="4"/>
      <c r="K176" s="10">
        <v>3900</v>
      </c>
      <c r="L176" s="11">
        <f t="shared" si="2"/>
        <v>1586500</v>
      </c>
      <c r="M176" s="6"/>
      <c r="N176" s="13" t="str">
        <f>"722828"</f>
        <v>722828</v>
      </c>
    </row>
    <row r="177" spans="1:14" ht="15">
      <c r="A177" s="9">
        <v>170</v>
      </c>
      <c r="B177" s="4" t="s">
        <v>20</v>
      </c>
      <c r="C177" s="5" t="s">
        <v>21</v>
      </c>
      <c r="D177" s="14">
        <v>43451.710115740738</v>
      </c>
      <c r="E177" t="str">
        <f>"15417583595194210267"</f>
        <v>15417583595194210267</v>
      </c>
      <c r="F177" s="4" t="s">
        <v>22</v>
      </c>
      <c r="G177" s="13" t="s">
        <v>193</v>
      </c>
      <c r="H177" t="str">
        <f>"8827181109171210"</f>
        <v>8827181109171210</v>
      </c>
      <c r="I177" s="15">
        <v>1108000</v>
      </c>
      <c r="J177" s="4"/>
      <c r="K177" s="10">
        <v>3900</v>
      </c>
      <c r="L177" s="11">
        <f t="shared" si="2"/>
        <v>1104100</v>
      </c>
      <c r="M177" s="6"/>
      <c r="N177" s="13" t="str">
        <f>"630288"</f>
        <v>630288</v>
      </c>
    </row>
    <row r="178" spans="1:14" ht="15">
      <c r="A178" s="9">
        <v>171</v>
      </c>
      <c r="B178" s="4" t="s">
        <v>20</v>
      </c>
      <c r="C178" s="5" t="s">
        <v>21</v>
      </c>
      <c r="D178" s="14">
        <v>43451.707870370374</v>
      </c>
      <c r="E178" t="str">
        <f>"15435663453011000748"</f>
        <v>15435663453011000748</v>
      </c>
      <c r="F178" s="4" t="s">
        <v>22</v>
      </c>
      <c r="G178" s="13" t="s">
        <v>194</v>
      </c>
      <c r="H178" t="str">
        <f>"8827181130152503"</f>
        <v>8827181130152503</v>
      </c>
      <c r="I178" s="15">
        <v>926400</v>
      </c>
      <c r="J178" s="4"/>
      <c r="K178" s="10">
        <v>3900</v>
      </c>
      <c r="L178" s="11">
        <f t="shared" si="2"/>
        <v>922500</v>
      </c>
      <c r="M178" s="6"/>
      <c r="N178" s="13" t="str">
        <f>"581163"</f>
        <v>581163</v>
      </c>
    </row>
    <row r="179" spans="1:14" ht="15">
      <c r="A179" s="9">
        <v>172</v>
      </c>
      <c r="B179" s="4" t="s">
        <v>20</v>
      </c>
      <c r="C179" s="5" t="s">
        <v>21</v>
      </c>
      <c r="D179" s="14">
        <v>43451.706655092596</v>
      </c>
      <c r="E179" t="str">
        <f>"15412206986196264723"</f>
        <v>15412206986196264723</v>
      </c>
      <c r="F179" s="4" t="s">
        <v>22</v>
      </c>
      <c r="G179" s="13" t="s">
        <v>195</v>
      </c>
      <c r="H179" t="str">
        <f>"8827181103115103"</f>
        <v>8827181103115103</v>
      </c>
      <c r="I179" s="15">
        <v>1767000</v>
      </c>
      <c r="J179" s="4"/>
      <c r="K179" s="10">
        <v>3900</v>
      </c>
      <c r="L179" s="11">
        <f t="shared" si="2"/>
        <v>1763100</v>
      </c>
      <c r="M179" s="6"/>
      <c r="N179" s="13" t="str">
        <f>"558277"</f>
        <v>558277</v>
      </c>
    </row>
    <row r="180" spans="1:14" ht="15">
      <c r="A180" s="9">
        <v>173</v>
      </c>
      <c r="B180" s="4" t="s">
        <v>20</v>
      </c>
      <c r="C180" s="5" t="s">
        <v>21</v>
      </c>
      <c r="D180" s="14">
        <v>43451.705752314818</v>
      </c>
      <c r="E180" t="str">
        <f>"15412946712005244336"</f>
        <v>15412946712005244336</v>
      </c>
      <c r="F180" s="4" t="s">
        <v>22</v>
      </c>
      <c r="G180" s="13" t="s">
        <v>196</v>
      </c>
      <c r="H180" t="str">
        <f>"8827181104082402"</f>
        <v>8827181104082402</v>
      </c>
      <c r="I180" s="15">
        <v>1740000</v>
      </c>
      <c r="J180" s="4"/>
      <c r="K180" s="10">
        <v>3900</v>
      </c>
      <c r="L180" s="11">
        <f t="shared" si="2"/>
        <v>1736100</v>
      </c>
      <c r="M180" s="6"/>
      <c r="N180" s="13" t="str">
        <f>"541175"</f>
        <v>541175</v>
      </c>
    </row>
    <row r="181" spans="1:14" ht="15">
      <c r="A181" s="9">
        <v>174</v>
      </c>
      <c r="B181" s="4" t="s">
        <v>20</v>
      </c>
      <c r="C181" s="5" t="s">
        <v>21</v>
      </c>
      <c r="D181" s="14">
        <v>43451.704513888886</v>
      </c>
      <c r="E181" t="str">
        <f>"15425295724796314239"</f>
        <v>15425295724796314239</v>
      </c>
      <c r="F181" s="4" t="s">
        <v>22</v>
      </c>
      <c r="G181" s="13" t="s">
        <v>197</v>
      </c>
      <c r="H181" t="str">
        <f>"8827181118152601"</f>
        <v>8827181118152601</v>
      </c>
      <c r="I181" s="15">
        <v>1274000</v>
      </c>
      <c r="J181" s="4"/>
      <c r="K181" s="10">
        <v>3900</v>
      </c>
      <c r="L181" s="11">
        <f t="shared" si="2"/>
        <v>1270100</v>
      </c>
      <c r="M181" s="6"/>
      <c r="N181" s="13" t="str">
        <f>"518052"</f>
        <v>518052</v>
      </c>
    </row>
    <row r="182" spans="1:14" ht="15">
      <c r="A182" s="9">
        <v>175</v>
      </c>
      <c r="B182" s="4" t="s">
        <v>20</v>
      </c>
      <c r="C182" s="5" t="s">
        <v>21</v>
      </c>
      <c r="D182" s="14">
        <v>43451.701828703706</v>
      </c>
      <c r="E182" t="str">
        <f>"15414760856162300236"</f>
        <v>15414760856162300236</v>
      </c>
      <c r="F182" s="4" t="s">
        <v>22</v>
      </c>
      <c r="G182" s="13" t="s">
        <v>198</v>
      </c>
      <c r="H182" t="str">
        <f>"8827181106104801"</f>
        <v>8827181106104801</v>
      </c>
      <c r="I182" s="15">
        <v>1460000</v>
      </c>
      <c r="J182" s="4"/>
      <c r="K182" s="10">
        <v>3900</v>
      </c>
      <c r="L182" s="11">
        <f t="shared" si="2"/>
        <v>1456100</v>
      </c>
      <c r="M182" s="6"/>
      <c r="N182" s="13" t="str">
        <f>"467643"</f>
        <v>467643</v>
      </c>
    </row>
    <row r="183" spans="1:14" ht="15">
      <c r="A183" s="9">
        <v>176</v>
      </c>
      <c r="B183" s="4" t="s">
        <v>20</v>
      </c>
      <c r="C183" s="5" t="s">
        <v>21</v>
      </c>
      <c r="D183" s="14">
        <v>43451.699212962965</v>
      </c>
      <c r="E183" t="str">
        <f>"15410450690675628309"</f>
        <v>15410450690675628309</v>
      </c>
      <c r="F183" s="4" t="s">
        <v>22</v>
      </c>
      <c r="G183" s="13" t="s">
        <v>199</v>
      </c>
      <c r="H183" t="str">
        <f>"8827181101110403"</f>
        <v>8827181101110403</v>
      </c>
      <c r="I183" s="15">
        <v>1636500</v>
      </c>
      <c r="J183" s="4"/>
      <c r="K183" s="10">
        <v>3900</v>
      </c>
      <c r="L183" s="11">
        <f t="shared" si="2"/>
        <v>1632600</v>
      </c>
      <c r="M183" s="6"/>
      <c r="N183" s="13" t="str">
        <f>"418942"</f>
        <v>418942</v>
      </c>
    </row>
    <row r="184" spans="1:14" ht="15">
      <c r="A184" s="9">
        <v>177</v>
      </c>
      <c r="B184" s="4" t="s">
        <v>20</v>
      </c>
      <c r="C184" s="5" t="s">
        <v>21</v>
      </c>
      <c r="D184" s="14">
        <v>43451.698564814818</v>
      </c>
      <c r="E184" t="str">
        <f>"15409761038772489935"</f>
        <v>15409761038772489935</v>
      </c>
      <c r="F184" s="4" t="s">
        <v>22</v>
      </c>
      <c r="G184" s="13" t="s">
        <v>200</v>
      </c>
      <c r="H184" t="str">
        <f>"8827181031155502"</f>
        <v>8827181031155502</v>
      </c>
      <c r="I184" s="15">
        <v>1752000</v>
      </c>
      <c r="J184" s="4"/>
      <c r="K184" s="10">
        <v>3900</v>
      </c>
      <c r="L184" s="11">
        <f t="shared" si="2"/>
        <v>1748100</v>
      </c>
      <c r="M184" s="6"/>
      <c r="N184" s="13" t="str">
        <f>"407029"</f>
        <v>407029</v>
      </c>
    </row>
    <row r="185" spans="1:14" ht="15">
      <c r="A185" s="9">
        <v>178</v>
      </c>
      <c r="B185" s="4" t="s">
        <v>20</v>
      </c>
      <c r="C185" s="5" t="s">
        <v>21</v>
      </c>
      <c r="D185" s="14">
        <v>43451.69699074074</v>
      </c>
      <c r="E185" t="str">
        <f>"15409404542457673670"</f>
        <v>15409404542457673670</v>
      </c>
      <c r="F185" s="4" t="s">
        <v>22</v>
      </c>
      <c r="G185" s="13" t="s">
        <v>201</v>
      </c>
      <c r="H185" t="str">
        <f>"8827181031060003"</f>
        <v>8827181031060003</v>
      </c>
      <c r="I185" s="15">
        <v>1294400</v>
      </c>
      <c r="J185" s="4"/>
      <c r="K185" s="10">
        <v>3900</v>
      </c>
      <c r="L185" s="11">
        <f t="shared" si="2"/>
        <v>1290500</v>
      </c>
      <c r="M185" s="6"/>
      <c r="N185" s="13" t="str">
        <f>"377717"</f>
        <v>377717</v>
      </c>
    </row>
    <row r="186" spans="1:14" ht="15">
      <c r="A186" s="9">
        <v>179</v>
      </c>
      <c r="B186" s="4" t="s">
        <v>20</v>
      </c>
      <c r="C186" s="5" t="s">
        <v>21</v>
      </c>
      <c r="D186" s="14">
        <v>43451.695798611108</v>
      </c>
      <c r="E186" t="str">
        <f>"15412341875295573630"</f>
        <v>15412341875295573630</v>
      </c>
      <c r="F186" s="4" t="s">
        <v>22</v>
      </c>
      <c r="G186" s="13" t="s">
        <v>202</v>
      </c>
      <c r="H186" t="str">
        <f>"8827181103153604"</f>
        <v>8827181103153604</v>
      </c>
      <c r="I186" s="15">
        <v>1767000</v>
      </c>
      <c r="J186" s="4"/>
      <c r="K186" s="10">
        <v>3900</v>
      </c>
      <c r="L186" s="11">
        <f t="shared" si="2"/>
        <v>1763100</v>
      </c>
      <c r="M186" s="6"/>
      <c r="N186" s="13" t="str">
        <f>"929903"</f>
        <v>929903</v>
      </c>
    </row>
    <row r="187" spans="1:14" ht="15">
      <c r="A187" s="9">
        <v>180</v>
      </c>
      <c r="B187" s="4" t="s">
        <v>20</v>
      </c>
      <c r="C187" s="5" t="s">
        <v>21</v>
      </c>
      <c r="D187" s="14">
        <v>43451.695231481484</v>
      </c>
      <c r="E187" t="str">
        <f>"15411216248048356451"</f>
        <v>15411216248048356451</v>
      </c>
      <c r="F187" s="4" t="s">
        <v>22</v>
      </c>
      <c r="G187" s="13" t="s">
        <v>203</v>
      </c>
      <c r="H187" t="str">
        <f>"8827181102082002"</f>
        <v>8827181102082002</v>
      </c>
      <c r="I187" s="15">
        <v>1363750</v>
      </c>
      <c r="J187" s="4"/>
      <c r="K187" s="10">
        <v>3900</v>
      </c>
      <c r="L187" s="11">
        <f t="shared" si="2"/>
        <v>1359850</v>
      </c>
      <c r="M187" s="6"/>
      <c r="N187" s="13" t="str">
        <f>"343575"</f>
        <v>343575</v>
      </c>
    </row>
    <row r="188" spans="1:14" ht="15">
      <c r="A188" s="9">
        <v>181</v>
      </c>
      <c r="B188" s="4" t="s">
        <v>20</v>
      </c>
      <c r="C188" s="5" t="s">
        <v>21</v>
      </c>
      <c r="D188" s="14">
        <v>43451.69222222222</v>
      </c>
      <c r="E188" t="str">
        <f>"15414757485509786626"</f>
        <v>15414757485509786626</v>
      </c>
      <c r="F188" s="4" t="s">
        <v>22</v>
      </c>
      <c r="G188" s="13" t="s">
        <v>204</v>
      </c>
      <c r="H188" t="str">
        <f>"8827181106104204"</f>
        <v>8827181106104204</v>
      </c>
      <c r="I188" s="15">
        <v>1635200</v>
      </c>
      <c r="J188" s="4"/>
      <c r="K188" s="10">
        <v>3900</v>
      </c>
      <c r="L188" s="11">
        <f t="shared" si="2"/>
        <v>1631300</v>
      </c>
      <c r="M188" s="6"/>
      <c r="N188" s="13" t="str">
        <f>"267808"</f>
        <v>267808</v>
      </c>
    </row>
    <row r="189" spans="1:14" ht="15">
      <c r="A189" s="9">
        <v>182</v>
      </c>
      <c r="B189" s="4" t="s">
        <v>20</v>
      </c>
      <c r="C189" s="5" t="s">
        <v>21</v>
      </c>
      <c r="D189" s="14">
        <v>43451.691099537034</v>
      </c>
      <c r="E189" t="str">
        <f>"15421987410121680896"</f>
        <v>15421987410121680896</v>
      </c>
      <c r="F189" s="4" t="s">
        <v>22</v>
      </c>
      <c r="G189" s="13" t="s">
        <v>205</v>
      </c>
      <c r="H189" t="str">
        <f>"8827181114193201"</f>
        <v>8827181114193201</v>
      </c>
      <c r="I189" s="15">
        <v>1752000</v>
      </c>
      <c r="J189" s="4"/>
      <c r="K189" s="10">
        <v>3900</v>
      </c>
      <c r="L189" s="11">
        <f t="shared" si="2"/>
        <v>1748100</v>
      </c>
      <c r="M189" s="6"/>
      <c r="N189" s="13" t="str">
        <f>"241794"</f>
        <v>241794</v>
      </c>
    </row>
    <row r="190" spans="1:14" ht="15">
      <c r="A190" s="9">
        <v>183</v>
      </c>
      <c r="B190" s="4" t="s">
        <v>20</v>
      </c>
      <c r="C190" s="5" t="s">
        <v>21</v>
      </c>
      <c r="D190" s="14">
        <v>43451.689004629632</v>
      </c>
      <c r="E190" t="str">
        <f>"15417799679974265878"</f>
        <v>15417799679974265878</v>
      </c>
      <c r="F190" s="4" t="s">
        <v>22</v>
      </c>
      <c r="G190" s="13" t="s">
        <v>206</v>
      </c>
      <c r="H190" t="str">
        <f>"8827181109231202"</f>
        <v>8827181109231202</v>
      </c>
      <c r="I190" s="15">
        <v>2172000</v>
      </c>
      <c r="J190" s="4"/>
      <c r="K190" s="10">
        <v>3900</v>
      </c>
      <c r="L190" s="11">
        <f t="shared" si="2"/>
        <v>2168100</v>
      </c>
      <c r="M190" s="6"/>
      <c r="N190" s="13" t="str">
        <f>"188638"</f>
        <v>188638</v>
      </c>
    </row>
    <row r="191" spans="1:14" ht="15">
      <c r="A191" s="9">
        <v>184</v>
      </c>
      <c r="B191" s="4" t="s">
        <v>20</v>
      </c>
      <c r="C191" s="5" t="s">
        <v>21</v>
      </c>
      <c r="D191" s="14">
        <v>43451.688344907408</v>
      </c>
      <c r="E191" t="str">
        <f>"15407756859113518662"</f>
        <v>15407756859113518662</v>
      </c>
      <c r="F191" s="4" t="s">
        <v>22</v>
      </c>
      <c r="G191" s="13" t="s">
        <v>207</v>
      </c>
      <c r="H191" t="str">
        <f>"8827181029081404"</f>
        <v>8827181029081404</v>
      </c>
      <c r="I191" s="15">
        <v>1728000</v>
      </c>
      <c r="J191" s="4"/>
      <c r="K191" s="10">
        <v>3900</v>
      </c>
      <c r="L191" s="11">
        <f t="shared" si="2"/>
        <v>1724100</v>
      </c>
      <c r="M191" s="6"/>
      <c r="N191" s="13" t="str">
        <f>"924069"</f>
        <v>924069</v>
      </c>
    </row>
    <row r="192" spans="1:14" ht="15">
      <c r="A192" s="9">
        <v>185</v>
      </c>
      <c r="B192" s="4" t="s">
        <v>20</v>
      </c>
      <c r="C192" s="5" t="s">
        <v>21</v>
      </c>
      <c r="D192" s="14">
        <v>43451.688009259262</v>
      </c>
      <c r="E192" t="str">
        <f>"15419887520463168240"</f>
        <v>15419887520463168240</v>
      </c>
      <c r="F192" s="4" t="s">
        <v>22</v>
      </c>
      <c r="G192" s="13" t="s">
        <v>208</v>
      </c>
      <c r="H192" t="str">
        <f>"8827181112091202"</f>
        <v>8827181112091202</v>
      </c>
      <c r="I192" s="15">
        <v>1500000</v>
      </c>
      <c r="J192" s="4"/>
      <c r="K192" s="10">
        <v>3900</v>
      </c>
      <c r="L192" s="11">
        <f t="shared" si="2"/>
        <v>1496100</v>
      </c>
      <c r="M192" s="6"/>
      <c r="N192" s="13" t="str">
        <f>"923823"</f>
        <v>923823</v>
      </c>
    </row>
    <row r="193" spans="1:14" ht="15">
      <c r="A193" s="9">
        <v>186</v>
      </c>
      <c r="B193" s="4" t="s">
        <v>20</v>
      </c>
      <c r="C193" s="5" t="s">
        <v>21</v>
      </c>
      <c r="D193" s="14">
        <v>43451.687835648147</v>
      </c>
      <c r="E193" t="str">
        <f>"15407911269827370691"</f>
        <v>15407911269827370691</v>
      </c>
      <c r="F193" s="4" t="s">
        <v>22</v>
      </c>
      <c r="G193" s="13" t="s">
        <v>209</v>
      </c>
      <c r="H193" t="str">
        <f>"8827181029123201"</f>
        <v>8827181029123201</v>
      </c>
      <c r="I193" s="15">
        <v>1752000</v>
      </c>
      <c r="J193" s="4"/>
      <c r="K193" s="10">
        <v>3900</v>
      </c>
      <c r="L193" s="11">
        <f t="shared" si="2"/>
        <v>1748100</v>
      </c>
      <c r="M193" s="6"/>
      <c r="N193" s="13" t="str">
        <f>"164442"</f>
        <v>164442</v>
      </c>
    </row>
    <row r="194" spans="1:14" ht="15">
      <c r="A194" s="9">
        <v>187</v>
      </c>
      <c r="B194" s="4" t="s">
        <v>20</v>
      </c>
      <c r="C194" s="5" t="s">
        <v>21</v>
      </c>
      <c r="D194" s="14">
        <v>43451.687534722223</v>
      </c>
      <c r="E194" t="str">
        <f>"15425997702936107848"</f>
        <v>15425997702936107848</v>
      </c>
      <c r="F194" s="4" t="s">
        <v>22</v>
      </c>
      <c r="G194" s="13" t="s">
        <v>210</v>
      </c>
      <c r="H194" t="str">
        <f>"8827181119105602"</f>
        <v>8827181119105602</v>
      </c>
      <c r="I194" s="15">
        <v>856000</v>
      </c>
      <c r="J194" s="4"/>
      <c r="K194" s="10">
        <v>3900</v>
      </c>
      <c r="L194" s="11">
        <f t="shared" si="2"/>
        <v>852100</v>
      </c>
      <c r="M194" s="6"/>
      <c r="N194" s="13" t="str">
        <f>"158605"</f>
        <v>158605</v>
      </c>
    </row>
    <row r="195" spans="1:14" ht="15">
      <c r="A195" s="9">
        <v>188</v>
      </c>
      <c r="B195" s="4" t="s">
        <v>20</v>
      </c>
      <c r="C195" s="5" t="s">
        <v>21</v>
      </c>
      <c r="D195" s="14">
        <v>43451.686828703707</v>
      </c>
      <c r="E195" t="str">
        <f>"15418190662307772644"</f>
        <v>15418190662307772644</v>
      </c>
      <c r="F195" s="4" t="s">
        <v>22</v>
      </c>
      <c r="G195" s="13" t="s">
        <v>211</v>
      </c>
      <c r="H195" t="str">
        <f>"8827181110100404"</f>
        <v>8827181110100404</v>
      </c>
      <c r="I195" s="15">
        <v>1063000</v>
      </c>
      <c r="J195" s="4"/>
      <c r="K195" s="10">
        <v>3900</v>
      </c>
      <c r="L195" s="11">
        <f t="shared" si="2"/>
        <v>1059100</v>
      </c>
      <c r="M195" s="6"/>
      <c r="N195" s="13" t="str">
        <f>"144225"</f>
        <v>144225</v>
      </c>
    </row>
    <row r="196" spans="1:14" ht="15">
      <c r="A196" s="9">
        <v>189</v>
      </c>
      <c r="B196" s="4" t="s">
        <v>20</v>
      </c>
      <c r="C196" s="5" t="s">
        <v>21</v>
      </c>
      <c r="D196" s="14">
        <v>43451.686226851853</v>
      </c>
      <c r="E196" t="str">
        <f>"15410418886307483289"</f>
        <v>15410418886307483289</v>
      </c>
      <c r="F196" s="4" t="s">
        <v>22</v>
      </c>
      <c r="G196" s="13" t="s">
        <v>212</v>
      </c>
      <c r="H196" t="str">
        <f>"8827181101101104"</f>
        <v>8827181101101104</v>
      </c>
      <c r="I196" s="15">
        <v>1431300</v>
      </c>
      <c r="J196" s="4"/>
      <c r="K196" s="10">
        <v>3900</v>
      </c>
      <c r="L196" s="11">
        <f t="shared" si="2"/>
        <v>1427400</v>
      </c>
      <c r="M196" s="6"/>
      <c r="N196" s="13" t="str">
        <f>"131904"</f>
        <v>131904</v>
      </c>
    </row>
    <row r="197" spans="1:14" ht="15">
      <c r="A197" s="9">
        <v>190</v>
      </c>
      <c r="B197" s="4" t="s">
        <v>20</v>
      </c>
      <c r="C197" s="5" t="s">
        <v>21</v>
      </c>
      <c r="D197" s="14">
        <v>43451.686157407406</v>
      </c>
      <c r="E197" t="str">
        <f>"15408211447023521575"</f>
        <v>15408211447023521575</v>
      </c>
      <c r="F197" s="4" t="s">
        <v>22</v>
      </c>
      <c r="G197" s="13" t="s">
        <v>213</v>
      </c>
      <c r="H197" t="str">
        <f>"8827181029205206"</f>
        <v>8827181029205206</v>
      </c>
      <c r="I197" s="15">
        <v>1208000</v>
      </c>
      <c r="J197" s="4"/>
      <c r="K197" s="10">
        <v>3900</v>
      </c>
      <c r="L197" s="11">
        <f t="shared" si="2"/>
        <v>1204100</v>
      </c>
      <c r="M197" s="6"/>
      <c r="N197" s="13" t="str">
        <f>"130458"</f>
        <v>130458</v>
      </c>
    </row>
    <row r="198" spans="1:14" ht="15">
      <c r="A198" s="9">
        <v>191</v>
      </c>
      <c r="B198" s="4" t="s">
        <v>20</v>
      </c>
      <c r="C198" s="5" t="s">
        <v>21</v>
      </c>
      <c r="D198" s="14">
        <v>43451.684490740743</v>
      </c>
      <c r="E198" t="str">
        <f>"15432944101973220881"</f>
        <v>15432944101973220881</v>
      </c>
      <c r="F198" s="4" t="s">
        <v>22</v>
      </c>
      <c r="G198" s="13" t="s">
        <v>214</v>
      </c>
      <c r="H198" t="str">
        <f>"8827181127115304"</f>
        <v>8827181127115304</v>
      </c>
      <c r="I198" s="15">
        <v>1635200</v>
      </c>
      <c r="J198" s="4"/>
      <c r="K198" s="10">
        <v>3900</v>
      </c>
      <c r="L198" s="11">
        <f t="shared" si="2"/>
        <v>1631300</v>
      </c>
      <c r="M198" s="6"/>
      <c r="N198" s="13" t="str">
        <f>"091844"</f>
        <v>091844</v>
      </c>
    </row>
    <row r="199" spans="1:14" ht="15">
      <c r="A199" s="9">
        <v>192</v>
      </c>
      <c r="B199" s="4" t="s">
        <v>20</v>
      </c>
      <c r="C199" s="5" t="s">
        <v>21</v>
      </c>
      <c r="D199" s="14">
        <v>43451.683541666665</v>
      </c>
      <c r="E199" t="str">
        <f>"15430448963534691581"</f>
        <v>15430448963534691581</v>
      </c>
      <c r="F199" s="4" t="s">
        <v>22</v>
      </c>
      <c r="G199" s="13" t="s">
        <v>215</v>
      </c>
      <c r="H199" t="str">
        <f>"8827181124143402"</f>
        <v>8827181124143402</v>
      </c>
      <c r="I199" s="15">
        <v>1662000</v>
      </c>
      <c r="J199" s="4"/>
      <c r="K199" s="10">
        <v>3900</v>
      </c>
      <c r="L199" s="11">
        <f t="shared" si="2"/>
        <v>1658100</v>
      </c>
      <c r="M199" s="6"/>
      <c r="N199" s="13" t="str">
        <f>"920103"</f>
        <v>920103</v>
      </c>
    </row>
    <row r="200" spans="1:14" ht="15">
      <c r="A200" s="9">
        <v>193</v>
      </c>
      <c r="B200" s="4" t="s">
        <v>20</v>
      </c>
      <c r="C200" s="5" t="s">
        <v>21</v>
      </c>
      <c r="D200" s="14">
        <v>43451.681840277779</v>
      </c>
      <c r="E200" t="str">
        <f>"15420793618329068571"</f>
        <v>15420793618329068571</v>
      </c>
      <c r="F200" s="4" t="s">
        <v>22</v>
      </c>
      <c r="G200" s="13" t="s">
        <v>216</v>
      </c>
      <c r="H200" t="str">
        <f>"8827181113102203"</f>
        <v>8827181113102203</v>
      </c>
      <c r="I200" s="15">
        <v>1188000</v>
      </c>
      <c r="J200" s="4"/>
      <c r="K200" s="10">
        <v>3900</v>
      </c>
      <c r="L200" s="11">
        <f t="shared" si="2"/>
        <v>1184100</v>
      </c>
      <c r="M200" s="6"/>
      <c r="N200" s="13" t="str">
        <f>"034706"</f>
        <v>034706</v>
      </c>
    </row>
    <row r="201" spans="1:14" ht="15">
      <c r="A201" s="9">
        <v>194</v>
      </c>
      <c r="B201" s="4" t="s">
        <v>20</v>
      </c>
      <c r="C201" s="5" t="s">
        <v>21</v>
      </c>
      <c r="D201" s="14">
        <v>43451.677233796298</v>
      </c>
      <c r="E201" t="str">
        <f>"15408253391873164464"</f>
        <v>15408253391873164464</v>
      </c>
      <c r="F201" s="4" t="s">
        <v>22</v>
      </c>
      <c r="G201" s="13" t="s">
        <v>217</v>
      </c>
      <c r="H201" t="str">
        <f>"8827181029220201"</f>
        <v>8827181029220201</v>
      </c>
      <c r="I201" s="15">
        <v>1615500</v>
      </c>
      <c r="J201" s="4"/>
      <c r="K201" s="10">
        <v>3900</v>
      </c>
      <c r="L201" s="11">
        <f t="shared" ref="L201:L264" si="3">(I201-K201)</f>
        <v>1611600</v>
      </c>
      <c r="M201" s="6"/>
      <c r="N201" s="13" t="str">
        <f>"914630"</f>
        <v>914630</v>
      </c>
    </row>
    <row r="202" spans="1:14" ht="15">
      <c r="A202" s="9">
        <v>195</v>
      </c>
      <c r="B202" s="4" t="s">
        <v>20</v>
      </c>
      <c r="C202" s="5" t="s">
        <v>21</v>
      </c>
      <c r="D202" s="14">
        <v>43451.674722222226</v>
      </c>
      <c r="E202" t="str">
        <f>"15408790723999815070"</f>
        <v>15408790723999815070</v>
      </c>
      <c r="F202" s="4" t="s">
        <v>22</v>
      </c>
      <c r="G202" s="13" t="s">
        <v>218</v>
      </c>
      <c r="H202" t="str">
        <f>"8827181030125702"</f>
        <v>8827181030125702</v>
      </c>
      <c r="I202" s="15">
        <v>1827000</v>
      </c>
      <c r="J202" s="4"/>
      <c r="K202" s="10">
        <v>3900</v>
      </c>
      <c r="L202" s="11">
        <f t="shared" si="3"/>
        <v>1823100</v>
      </c>
      <c r="M202" s="6"/>
      <c r="N202" s="13" t="str">
        <f>"635353"</f>
        <v>635353</v>
      </c>
    </row>
    <row r="203" spans="1:14" ht="15">
      <c r="A203" s="9">
        <v>196</v>
      </c>
      <c r="B203" s="4" t="s">
        <v>20</v>
      </c>
      <c r="C203" s="5" t="s">
        <v>21</v>
      </c>
      <c r="D203" s="14">
        <v>43451.674004629633</v>
      </c>
      <c r="E203" t="str">
        <f>"15413928299069893748"</f>
        <v>15413928299069893748</v>
      </c>
      <c r="F203" s="4" t="s">
        <v>22</v>
      </c>
      <c r="G203" s="13" t="s">
        <v>219</v>
      </c>
      <c r="H203" t="str">
        <f>"8827181105114002"</f>
        <v>8827181105114002</v>
      </c>
      <c r="I203" s="15">
        <v>1626000</v>
      </c>
      <c r="J203" s="4"/>
      <c r="K203" s="10">
        <v>3900</v>
      </c>
      <c r="L203" s="11">
        <f t="shared" si="3"/>
        <v>1622100</v>
      </c>
      <c r="M203" s="6"/>
      <c r="N203" s="13" t="str">
        <f>"911793"</f>
        <v>911793</v>
      </c>
    </row>
    <row r="204" spans="1:14" ht="15">
      <c r="A204" s="9">
        <v>197</v>
      </c>
      <c r="B204" s="4" t="s">
        <v>20</v>
      </c>
      <c r="C204" s="5" t="s">
        <v>21</v>
      </c>
      <c r="D204" s="14">
        <v>43451.673564814817</v>
      </c>
      <c r="E204" t="str">
        <f>"15427988772114812875"</f>
        <v>15427988772114812875</v>
      </c>
      <c r="F204" s="4" t="s">
        <v>22</v>
      </c>
      <c r="G204" s="13" t="s">
        <v>220</v>
      </c>
      <c r="H204" t="str">
        <f>"8827181121181401"</f>
        <v>8827181121181401</v>
      </c>
      <c r="I204" s="15">
        <v>1705200</v>
      </c>
      <c r="J204" s="4"/>
      <c r="K204" s="10">
        <v>3900</v>
      </c>
      <c r="L204" s="11">
        <f t="shared" si="3"/>
        <v>1701300</v>
      </c>
      <c r="M204" s="6"/>
      <c r="N204" s="13" t="str">
        <f>"604004"</f>
        <v>604004</v>
      </c>
    </row>
    <row r="205" spans="1:14" ht="15">
      <c r="A205" s="9">
        <v>198</v>
      </c>
      <c r="B205" s="4" t="s">
        <v>20</v>
      </c>
      <c r="C205" s="5" t="s">
        <v>21</v>
      </c>
      <c r="D205" s="14">
        <v>43451.671481481484</v>
      </c>
      <c r="E205" t="str">
        <f>"15420100398582574703"</f>
        <v>15420100398582574703</v>
      </c>
      <c r="F205" s="4" t="s">
        <v>22</v>
      </c>
      <c r="G205" s="13" t="s">
        <v>221</v>
      </c>
      <c r="H205" t="str">
        <f>"8827181112150709"</f>
        <v>8827181112150709</v>
      </c>
      <c r="I205" s="15">
        <v>1284000</v>
      </c>
      <c r="J205" s="4"/>
      <c r="K205" s="10">
        <v>3900</v>
      </c>
      <c r="L205" s="11">
        <f t="shared" si="3"/>
        <v>1280100</v>
      </c>
      <c r="M205" s="6"/>
      <c r="N205" s="13" t="str">
        <f>"547364"</f>
        <v>547364</v>
      </c>
    </row>
    <row r="206" spans="1:14" ht="15">
      <c r="A206" s="9">
        <v>199</v>
      </c>
      <c r="B206" s="4" t="s">
        <v>20</v>
      </c>
      <c r="C206" s="5" t="s">
        <v>21</v>
      </c>
      <c r="D206" s="14">
        <v>43451.669583333336</v>
      </c>
      <c r="E206" t="str">
        <f>"15408248271986823791"</f>
        <v>15408248271986823791</v>
      </c>
      <c r="F206" s="4" t="s">
        <v>22</v>
      </c>
      <c r="G206" s="13" t="s">
        <v>222</v>
      </c>
      <c r="H206" t="str">
        <f>"8827181029215303"</f>
        <v>8827181029215303</v>
      </c>
      <c r="I206" s="15">
        <v>1668000</v>
      </c>
      <c r="J206" s="4"/>
      <c r="K206" s="10">
        <v>3900</v>
      </c>
      <c r="L206" s="11">
        <f t="shared" si="3"/>
        <v>1664100</v>
      </c>
      <c r="M206" s="6"/>
      <c r="N206" s="13" t="str">
        <f>"498165"</f>
        <v>498165</v>
      </c>
    </row>
    <row r="207" spans="1:14" ht="15">
      <c r="A207" s="9">
        <v>200</v>
      </c>
      <c r="B207" s="4" t="s">
        <v>20</v>
      </c>
      <c r="C207" s="5" t="s">
        <v>21</v>
      </c>
      <c r="D207" s="14">
        <v>43451.669074074074</v>
      </c>
      <c r="E207" t="str">
        <f>"15410521603127955342"</f>
        <v>15410521603127955342</v>
      </c>
      <c r="F207" s="4" t="s">
        <v>22</v>
      </c>
      <c r="G207" s="13" t="s">
        <v>223</v>
      </c>
      <c r="H207" t="str">
        <f>"8827181101130207"</f>
        <v>8827181101130207</v>
      </c>
      <c r="I207" s="15">
        <v>1615500</v>
      </c>
      <c r="J207" s="4"/>
      <c r="K207" s="10">
        <v>3900</v>
      </c>
      <c r="L207" s="11">
        <f t="shared" si="3"/>
        <v>1611600</v>
      </c>
      <c r="M207" s="6"/>
      <c r="N207" s="13" t="str">
        <f>"485188"</f>
        <v>485188</v>
      </c>
    </row>
    <row r="208" spans="1:14" ht="15">
      <c r="A208" s="9">
        <v>201</v>
      </c>
      <c r="B208" s="4" t="s">
        <v>20</v>
      </c>
      <c r="C208" s="5" t="s">
        <v>21</v>
      </c>
      <c r="D208" s="14">
        <v>43451.668275462966</v>
      </c>
      <c r="E208" t="str">
        <f>"15419829411203081581"</f>
        <v>15419829411203081581</v>
      </c>
      <c r="F208" s="4" t="s">
        <v>22</v>
      </c>
      <c r="G208" s="13" t="s">
        <v>224</v>
      </c>
      <c r="H208" t="str">
        <f>"8827181112073501"</f>
        <v>8827181112073501</v>
      </c>
      <c r="I208" s="15">
        <v>564000</v>
      </c>
      <c r="J208" s="4"/>
      <c r="K208" s="10">
        <v>3900</v>
      </c>
      <c r="L208" s="11">
        <f t="shared" si="3"/>
        <v>560100</v>
      </c>
      <c r="M208" s="6"/>
      <c r="N208" s="13" t="str">
        <f>"464333"</f>
        <v>464333</v>
      </c>
    </row>
    <row r="209" spans="1:14" ht="15">
      <c r="A209" s="9">
        <v>202</v>
      </c>
      <c r="B209" s="4" t="s">
        <v>20</v>
      </c>
      <c r="C209" s="5" t="s">
        <v>21</v>
      </c>
      <c r="D209" s="14">
        <v>43451.663645833331</v>
      </c>
      <c r="E209" t="str">
        <f>"15432770517539202220"</f>
        <v>15432770517539202220</v>
      </c>
      <c r="F209" s="4" t="s">
        <v>22</v>
      </c>
      <c r="G209" s="13" t="s">
        <v>225</v>
      </c>
      <c r="H209" t="str">
        <f>"8827181127070401"</f>
        <v>8827181127070401</v>
      </c>
      <c r="I209" s="15">
        <v>1867500</v>
      </c>
      <c r="J209" s="4"/>
      <c r="K209" s="10">
        <v>3900</v>
      </c>
      <c r="L209" s="11">
        <f t="shared" si="3"/>
        <v>1863600</v>
      </c>
      <c r="M209" s="6"/>
      <c r="N209" s="13" t="str">
        <f>"902554"</f>
        <v>902554</v>
      </c>
    </row>
    <row r="210" spans="1:14" ht="15">
      <c r="A210" s="9">
        <v>203</v>
      </c>
      <c r="B210" s="4" t="s">
        <v>20</v>
      </c>
      <c r="C210" s="5" t="s">
        <v>21</v>
      </c>
      <c r="D210" s="14">
        <v>43451.662094907406</v>
      </c>
      <c r="E210" t="str">
        <f>"15426206477191967236"</f>
        <v>15426206477191967236</v>
      </c>
      <c r="F210" s="4" t="s">
        <v>22</v>
      </c>
      <c r="G210" s="13" t="s">
        <v>226</v>
      </c>
      <c r="H210" t="str">
        <f>"8827181119164401"</f>
        <v>8827181119164401</v>
      </c>
      <c r="I210" s="15">
        <v>1817200</v>
      </c>
      <c r="J210" s="4"/>
      <c r="K210" s="10">
        <v>3900</v>
      </c>
      <c r="L210" s="11">
        <f t="shared" si="3"/>
        <v>1813300</v>
      </c>
      <c r="M210" s="6"/>
      <c r="N210" s="13" t="str">
        <f>"316810"</f>
        <v>316810</v>
      </c>
    </row>
    <row r="211" spans="1:14" ht="15">
      <c r="A211" s="9">
        <v>204</v>
      </c>
      <c r="B211" s="4" t="s">
        <v>20</v>
      </c>
      <c r="C211" s="5" t="s">
        <v>21</v>
      </c>
      <c r="D211" s="14">
        <v>43451.658888888887</v>
      </c>
      <c r="E211" t="str">
        <f>"15426103559737400999"</f>
        <v>15426103559737400999</v>
      </c>
      <c r="F211" s="4" t="s">
        <v>22</v>
      </c>
      <c r="G211" s="13" t="s">
        <v>227</v>
      </c>
      <c r="H211" t="str">
        <f>"8827181119135204"</f>
        <v>8827181119135204</v>
      </c>
      <c r="I211" s="15">
        <v>1098000</v>
      </c>
      <c r="J211" s="4"/>
      <c r="K211" s="10">
        <v>3900</v>
      </c>
      <c r="L211" s="11">
        <f t="shared" si="3"/>
        <v>1094100</v>
      </c>
      <c r="M211" s="6"/>
      <c r="N211" s="13" t="str">
        <f>"232658"</f>
        <v>232658</v>
      </c>
    </row>
    <row r="212" spans="1:14" ht="15">
      <c r="A212" s="9">
        <v>205</v>
      </c>
      <c r="B212" s="4" t="s">
        <v>20</v>
      </c>
      <c r="C212" s="5" t="s">
        <v>21</v>
      </c>
      <c r="D212" s="14">
        <v>43451.658333333333</v>
      </c>
      <c r="E212" t="str">
        <f>"15409675351339010909"</f>
        <v>15409675351339010909</v>
      </c>
      <c r="F212" s="4" t="s">
        <v>22</v>
      </c>
      <c r="G212" s="13" t="s">
        <v>228</v>
      </c>
      <c r="H212" t="str">
        <f>"8827181031133203"</f>
        <v>8827181031133203</v>
      </c>
      <c r="I212" s="15">
        <v>564500</v>
      </c>
      <c r="J212" s="4"/>
      <c r="K212" s="10">
        <v>3900</v>
      </c>
      <c r="L212" s="11">
        <f t="shared" si="3"/>
        <v>560600</v>
      </c>
      <c r="M212" s="6"/>
      <c r="N212" s="13" t="str">
        <f>"218839"</f>
        <v>218839</v>
      </c>
    </row>
    <row r="213" spans="1:14" ht="15">
      <c r="A213" s="9">
        <v>206</v>
      </c>
      <c r="B213" s="4" t="s">
        <v>20</v>
      </c>
      <c r="C213" s="5" t="s">
        <v>21</v>
      </c>
      <c r="D213" s="14">
        <v>43451.656655092593</v>
      </c>
      <c r="E213" t="str">
        <f>"15432258798531522708"</f>
        <v>15432258798531522708</v>
      </c>
      <c r="F213" s="4" t="s">
        <v>22</v>
      </c>
      <c r="G213" s="13" t="s">
        <v>229</v>
      </c>
      <c r="H213" t="str">
        <f>"8827181126165102"</f>
        <v>8827181126165102</v>
      </c>
      <c r="I213" s="15">
        <v>1077000</v>
      </c>
      <c r="J213" s="4"/>
      <c r="K213" s="10">
        <v>3900</v>
      </c>
      <c r="L213" s="11">
        <f t="shared" si="3"/>
        <v>1073100</v>
      </c>
      <c r="M213" s="6"/>
      <c r="N213" s="13" t="str">
        <f>"182580"</f>
        <v>182580</v>
      </c>
    </row>
    <row r="214" spans="1:14" ht="15">
      <c r="A214" s="9">
        <v>207</v>
      </c>
      <c r="B214" s="4" t="s">
        <v>20</v>
      </c>
      <c r="C214" s="5" t="s">
        <v>21</v>
      </c>
      <c r="D214" s="14">
        <v>43451.656215277777</v>
      </c>
      <c r="E214" t="str">
        <f>"15408073052379458275"</f>
        <v>15408073052379458275</v>
      </c>
      <c r="F214" s="4" t="s">
        <v>22</v>
      </c>
      <c r="G214" s="13" t="s">
        <v>230</v>
      </c>
      <c r="H214" t="str">
        <f>"8827181029170105"</f>
        <v>8827181029170105</v>
      </c>
      <c r="I214" s="15">
        <v>1084000</v>
      </c>
      <c r="J214" s="4"/>
      <c r="K214" s="10">
        <v>3900</v>
      </c>
      <c r="L214" s="11">
        <f t="shared" si="3"/>
        <v>1080100</v>
      </c>
      <c r="M214" s="6"/>
      <c r="N214" s="13" t="str">
        <f>"996505"</f>
        <v>996505</v>
      </c>
    </row>
    <row r="215" spans="1:14" ht="15">
      <c r="A215" s="9">
        <v>208</v>
      </c>
      <c r="B215" s="4" t="s">
        <v>20</v>
      </c>
      <c r="C215" s="5" t="s">
        <v>21</v>
      </c>
      <c r="D215" s="14">
        <v>43451.650405092594</v>
      </c>
      <c r="E215" t="str">
        <f>"15406895893103735968"</f>
        <v>15406895893103735968</v>
      </c>
      <c r="F215" s="4" t="s">
        <v>22</v>
      </c>
      <c r="G215" s="13" t="s">
        <v>231</v>
      </c>
      <c r="H215" t="str">
        <f>"8827181028081902"</f>
        <v>8827181028081902</v>
      </c>
      <c r="I215" s="15">
        <v>1573500</v>
      </c>
      <c r="J215" s="4"/>
      <c r="K215" s="10">
        <v>3900</v>
      </c>
      <c r="L215" s="11">
        <f t="shared" si="3"/>
        <v>1569600</v>
      </c>
      <c r="M215" s="6"/>
      <c r="N215" s="13" t="str">
        <f>"045643"</f>
        <v>045643</v>
      </c>
    </row>
    <row r="216" spans="1:14" ht="15">
      <c r="A216" s="9">
        <v>209</v>
      </c>
      <c r="B216" s="4" t="s">
        <v>20</v>
      </c>
      <c r="C216" s="5" t="s">
        <v>21</v>
      </c>
      <c r="D216" s="14">
        <v>43451.650381944448</v>
      </c>
      <c r="E216" t="str">
        <f>"15415009009704738057"</f>
        <v>15415009009704738057</v>
      </c>
      <c r="F216" s="4" t="s">
        <v>22</v>
      </c>
      <c r="G216" s="13" t="s">
        <v>232</v>
      </c>
      <c r="H216" t="str">
        <f>"8827181106174102"</f>
        <v>8827181106174102</v>
      </c>
      <c r="I216" s="15">
        <v>1752000</v>
      </c>
      <c r="J216" s="4"/>
      <c r="K216" s="10">
        <v>3900</v>
      </c>
      <c r="L216" s="11">
        <f t="shared" si="3"/>
        <v>1748100</v>
      </c>
      <c r="M216" s="6"/>
      <c r="N216" s="13" t="str">
        <f>"045041"</f>
        <v>045041</v>
      </c>
    </row>
    <row r="217" spans="1:14" ht="15">
      <c r="A217" s="9">
        <v>210</v>
      </c>
      <c r="B217" s="4" t="s">
        <v>20</v>
      </c>
      <c r="C217" s="5" t="s">
        <v>21</v>
      </c>
      <c r="D217" s="14">
        <v>43451.650370370371</v>
      </c>
      <c r="E217" t="str">
        <f>"15411299511833733968"</f>
        <v>15411299511833733968</v>
      </c>
      <c r="F217" s="4" t="s">
        <v>22</v>
      </c>
      <c r="G217" s="13" t="s">
        <v>233</v>
      </c>
      <c r="H217" t="str">
        <f>"8827181102103905"</f>
        <v>8827181102103905</v>
      </c>
      <c r="I217" s="15">
        <v>1752000</v>
      </c>
      <c r="J217" s="4"/>
      <c r="K217" s="10">
        <v>3900</v>
      </c>
      <c r="L217" s="11">
        <f t="shared" si="3"/>
        <v>1748100</v>
      </c>
      <c r="M217" s="6"/>
      <c r="N217" s="13" t="str">
        <f>"991790"</f>
        <v>991790</v>
      </c>
    </row>
    <row r="218" spans="1:14" ht="15">
      <c r="A218" s="9">
        <v>211</v>
      </c>
      <c r="B218" s="4" t="s">
        <v>20</v>
      </c>
      <c r="C218" s="5" t="s">
        <v>21</v>
      </c>
      <c r="D218" s="14">
        <v>43451.650312500002</v>
      </c>
      <c r="E218" t="str">
        <f>"15412188625481940723"</f>
        <v>15412188625481940723</v>
      </c>
      <c r="F218" s="4" t="s">
        <v>22</v>
      </c>
      <c r="G218" s="13" t="s">
        <v>234</v>
      </c>
      <c r="H218" t="str">
        <f>"8827181103112102"</f>
        <v>8827181103112102</v>
      </c>
      <c r="I218" s="15">
        <v>1707000</v>
      </c>
      <c r="J218" s="4"/>
      <c r="K218" s="10">
        <v>3900</v>
      </c>
      <c r="L218" s="11">
        <f t="shared" si="3"/>
        <v>1703100</v>
      </c>
      <c r="M218" s="6"/>
      <c r="N218" s="13" t="str">
        <f>"043747"</f>
        <v>043747</v>
      </c>
    </row>
    <row r="219" spans="1:14" ht="15">
      <c r="A219" s="9">
        <v>212</v>
      </c>
      <c r="B219" s="4" t="s">
        <v>20</v>
      </c>
      <c r="C219" s="5" t="s">
        <v>21</v>
      </c>
      <c r="D219" s="14">
        <v>43451.649976851855</v>
      </c>
      <c r="E219" t="str">
        <f>"15415503344454526729"</f>
        <v>15415503344454526729</v>
      </c>
      <c r="F219" s="4" t="s">
        <v>22</v>
      </c>
      <c r="G219" s="13" t="s">
        <v>235</v>
      </c>
      <c r="H219" t="str">
        <f>"8827181107072504"</f>
        <v>8827181107072504</v>
      </c>
      <c r="I219" s="15">
        <v>1401600</v>
      </c>
      <c r="J219" s="4"/>
      <c r="K219" s="10">
        <v>3900</v>
      </c>
      <c r="L219" s="11">
        <f t="shared" si="3"/>
        <v>1397700</v>
      </c>
      <c r="M219" s="6"/>
      <c r="N219" s="13" t="str">
        <f>"035781"</f>
        <v>035781</v>
      </c>
    </row>
    <row r="220" spans="1:14" ht="15">
      <c r="A220" s="9">
        <v>213</v>
      </c>
      <c r="B220" s="4" t="s">
        <v>20</v>
      </c>
      <c r="C220" s="5" t="s">
        <v>21</v>
      </c>
      <c r="D220" s="14">
        <v>43451.649768518517</v>
      </c>
      <c r="E220" t="str">
        <f>"15411242972359095534"</f>
        <v>15411242972359095534</v>
      </c>
      <c r="F220" s="4" t="s">
        <v>22</v>
      </c>
      <c r="G220" s="13" t="s">
        <v>236</v>
      </c>
      <c r="H220" t="str">
        <f>"8827181102090404"</f>
        <v>8827181102090404</v>
      </c>
      <c r="I220" s="15">
        <v>1827000</v>
      </c>
      <c r="J220" s="4"/>
      <c r="K220" s="10">
        <v>3900</v>
      </c>
      <c r="L220" s="11">
        <f t="shared" si="3"/>
        <v>1823100</v>
      </c>
      <c r="M220" s="6"/>
      <c r="N220" s="13" t="str">
        <f>"031133"</f>
        <v>031133</v>
      </c>
    </row>
    <row r="221" spans="1:14" ht="15">
      <c r="A221" s="9">
        <v>214</v>
      </c>
      <c r="B221" s="4" t="s">
        <v>20</v>
      </c>
      <c r="C221" s="5" t="s">
        <v>21</v>
      </c>
      <c r="D221" s="14">
        <v>43451.649444444447</v>
      </c>
      <c r="E221" t="str">
        <f>"15430260044938273428"</f>
        <v>15430260044938273428</v>
      </c>
      <c r="F221" s="4" t="s">
        <v>22</v>
      </c>
      <c r="G221" s="13" t="s">
        <v>237</v>
      </c>
      <c r="H221" t="str">
        <f>"8827181124092001"</f>
        <v>8827181124092001</v>
      </c>
      <c r="I221" s="15">
        <v>1797000</v>
      </c>
      <c r="J221" s="4"/>
      <c r="K221" s="10">
        <v>3900</v>
      </c>
      <c r="L221" s="11">
        <f t="shared" si="3"/>
        <v>1793100</v>
      </c>
      <c r="M221" s="6"/>
      <c r="N221" s="13" t="str">
        <f>"024477"</f>
        <v>024477</v>
      </c>
    </row>
    <row r="222" spans="1:14" ht="15">
      <c r="A222" s="9">
        <v>215</v>
      </c>
      <c r="B222" s="4" t="s">
        <v>20</v>
      </c>
      <c r="C222" s="5" t="s">
        <v>21</v>
      </c>
      <c r="D222" s="14">
        <v>43451.648472222223</v>
      </c>
      <c r="E222" t="str">
        <f>"15414952522477263782"</f>
        <v>15414952522477263782</v>
      </c>
      <c r="F222" s="4" t="s">
        <v>22</v>
      </c>
      <c r="G222" s="13" t="s">
        <v>238</v>
      </c>
      <c r="H222" t="str">
        <f>"8827181106160704"</f>
        <v>8827181106160704</v>
      </c>
      <c r="I222" s="15">
        <v>1752000</v>
      </c>
      <c r="J222" s="4"/>
      <c r="K222" s="10">
        <v>3900</v>
      </c>
      <c r="L222" s="11">
        <f t="shared" si="3"/>
        <v>1748100</v>
      </c>
      <c r="M222" s="6"/>
      <c r="N222" s="13" t="str">
        <f>"003621"</f>
        <v>003621</v>
      </c>
    </row>
    <row r="223" spans="1:14" ht="15">
      <c r="A223" s="9">
        <v>216</v>
      </c>
      <c r="B223" s="4" t="s">
        <v>20</v>
      </c>
      <c r="C223" s="5" t="s">
        <v>21</v>
      </c>
      <c r="D223" s="14">
        <v>43451.648321759261</v>
      </c>
      <c r="E223" t="str">
        <f>"15416116926525245414"</f>
        <v>15416116926525245414</v>
      </c>
      <c r="F223" s="4" t="s">
        <v>22</v>
      </c>
      <c r="G223" s="13" t="s">
        <v>239</v>
      </c>
      <c r="H223" t="str">
        <f>"8827181108002801"</f>
        <v>8827181108002801</v>
      </c>
      <c r="I223" s="15">
        <v>1752000</v>
      </c>
      <c r="J223" s="4"/>
      <c r="K223" s="10">
        <v>3900</v>
      </c>
      <c r="L223" s="11">
        <f t="shared" si="3"/>
        <v>1748100</v>
      </c>
      <c r="M223" s="6"/>
      <c r="N223" s="13" t="str">
        <f>"799937"</f>
        <v>799937</v>
      </c>
    </row>
    <row r="224" spans="1:14" ht="15">
      <c r="A224" s="9">
        <v>217</v>
      </c>
      <c r="B224" s="4" t="s">
        <v>20</v>
      </c>
      <c r="C224" s="5" t="s">
        <v>21</v>
      </c>
      <c r="D224" s="14">
        <v>43451.647118055553</v>
      </c>
      <c r="E224" t="str">
        <f>"15414772581014487387"</f>
        <v>15414772581014487387</v>
      </c>
      <c r="F224" s="4" t="s">
        <v>22</v>
      </c>
      <c r="G224" s="13" t="s">
        <v>240</v>
      </c>
      <c r="H224" t="str">
        <f>"8827181106110706"</f>
        <v>8827181106110706</v>
      </c>
      <c r="I224" s="15">
        <v>1812000</v>
      </c>
      <c r="J224" s="4"/>
      <c r="K224" s="10">
        <v>3900</v>
      </c>
      <c r="L224" s="11">
        <f t="shared" si="3"/>
        <v>1808100</v>
      </c>
      <c r="M224" s="6"/>
      <c r="N224" s="13" t="str">
        <f>"770124"</f>
        <v>770124</v>
      </c>
    </row>
    <row r="225" spans="1:14" ht="15">
      <c r="A225" s="9">
        <v>218</v>
      </c>
      <c r="B225" s="4" t="s">
        <v>20</v>
      </c>
      <c r="C225" s="5" t="s">
        <v>21</v>
      </c>
      <c r="D225" s="14">
        <v>43451.646481481483</v>
      </c>
      <c r="E225" t="str">
        <f>"15424330722462943911"</f>
        <v>15424330722462943911</v>
      </c>
      <c r="F225" s="4" t="s">
        <v>22</v>
      </c>
      <c r="G225" s="13" t="s">
        <v>241</v>
      </c>
      <c r="H225" t="str">
        <f>"8827181117123701"</f>
        <v>8827181117123701</v>
      </c>
      <c r="I225" s="15">
        <v>1992000</v>
      </c>
      <c r="J225" s="4"/>
      <c r="K225" s="10">
        <v>3900</v>
      </c>
      <c r="L225" s="11">
        <f t="shared" si="3"/>
        <v>1988100</v>
      </c>
      <c r="M225" s="6"/>
      <c r="N225" s="13" t="str">
        <f>"754764"</f>
        <v>754764</v>
      </c>
    </row>
    <row r="226" spans="1:14" ht="15">
      <c r="A226" s="9">
        <v>219</v>
      </c>
      <c r="B226" s="4" t="s">
        <v>20</v>
      </c>
      <c r="C226" s="5" t="s">
        <v>21</v>
      </c>
      <c r="D226" s="14">
        <v>43451.646458333336</v>
      </c>
      <c r="E226" t="str">
        <f>"15418140777159906769"</f>
        <v>15418140777159906769</v>
      </c>
      <c r="F226" s="4" t="s">
        <v>22</v>
      </c>
      <c r="G226" s="13" t="s">
        <v>242</v>
      </c>
      <c r="H226" t="str">
        <f>"8827181110084101"</f>
        <v>8827181110084101</v>
      </c>
      <c r="I226" s="15">
        <v>1108000</v>
      </c>
      <c r="J226" s="4"/>
      <c r="K226" s="10">
        <v>3900</v>
      </c>
      <c r="L226" s="11">
        <f t="shared" si="3"/>
        <v>1104100</v>
      </c>
      <c r="M226" s="6"/>
      <c r="N226" s="13" t="str">
        <f>"754180"</f>
        <v>754180</v>
      </c>
    </row>
    <row r="227" spans="1:14" ht="15">
      <c r="A227" s="9">
        <v>220</v>
      </c>
      <c r="B227" s="4" t="s">
        <v>20</v>
      </c>
      <c r="C227" s="5" t="s">
        <v>21</v>
      </c>
      <c r="D227" s="14">
        <v>43451.646261574075</v>
      </c>
      <c r="E227" t="str">
        <f>"15414942199376441932"</f>
        <v>15414942199376441932</v>
      </c>
      <c r="F227" s="4" t="s">
        <v>22</v>
      </c>
      <c r="G227" s="13" t="s">
        <v>243</v>
      </c>
      <c r="H227" t="str">
        <f>"8827181106155001"</f>
        <v>8827181106155001</v>
      </c>
      <c r="I227" s="15">
        <v>1168000</v>
      </c>
      <c r="J227" s="4"/>
      <c r="K227" s="10">
        <v>3900</v>
      </c>
      <c r="L227" s="11">
        <f t="shared" si="3"/>
        <v>1164100</v>
      </c>
      <c r="M227" s="6"/>
      <c r="N227" s="13" t="str">
        <f>"749518"</f>
        <v>749518</v>
      </c>
    </row>
    <row r="228" spans="1:14" ht="15">
      <c r="A228" s="9">
        <v>221</v>
      </c>
      <c r="B228" s="4" t="s">
        <v>20</v>
      </c>
      <c r="C228" s="5" t="s">
        <v>21</v>
      </c>
      <c r="D228" s="14">
        <v>43451.646134259259</v>
      </c>
      <c r="E228" t="str">
        <f>"15424429091613503258"</f>
        <v>15424429091613503258</v>
      </c>
      <c r="F228" s="4" t="s">
        <v>22</v>
      </c>
      <c r="G228" s="13" t="s">
        <v>244</v>
      </c>
      <c r="H228" t="str">
        <f>"8827181117152102"</f>
        <v>8827181117152102</v>
      </c>
      <c r="I228" s="15">
        <v>1198000</v>
      </c>
      <c r="J228" s="4"/>
      <c r="K228" s="10">
        <v>3900</v>
      </c>
      <c r="L228" s="11">
        <f t="shared" si="3"/>
        <v>1194100</v>
      </c>
      <c r="M228" s="6"/>
      <c r="N228" s="13" t="str">
        <f>"746311"</f>
        <v>746311</v>
      </c>
    </row>
    <row r="229" spans="1:14" ht="15">
      <c r="A229" s="9">
        <v>222</v>
      </c>
      <c r="B229" s="4" t="s">
        <v>20</v>
      </c>
      <c r="C229" s="5" t="s">
        <v>21</v>
      </c>
      <c r="D229" s="14">
        <v>43451.645162037035</v>
      </c>
      <c r="E229" t="str">
        <f>"15412566317905403901"</f>
        <v>15412566317905403901</v>
      </c>
      <c r="F229" s="4" t="s">
        <v>22</v>
      </c>
      <c r="G229" s="13" t="s">
        <v>245</v>
      </c>
      <c r="H229" t="str">
        <f>"8827181103215002"</f>
        <v>8827181103215002</v>
      </c>
      <c r="I229" s="15">
        <v>1605000</v>
      </c>
      <c r="J229" s="4"/>
      <c r="K229" s="10">
        <v>3900</v>
      </c>
      <c r="L229" s="11">
        <f t="shared" si="3"/>
        <v>1601100</v>
      </c>
      <c r="M229" s="6"/>
      <c r="N229" s="13" t="str">
        <f>"988042"</f>
        <v>988042</v>
      </c>
    </row>
    <row r="230" spans="1:14" ht="15">
      <c r="A230" s="9">
        <v>223</v>
      </c>
      <c r="B230" s="4" t="s">
        <v>20</v>
      </c>
      <c r="C230" s="5" t="s">
        <v>21</v>
      </c>
      <c r="D230" s="14">
        <v>43451.644317129627</v>
      </c>
      <c r="E230" t="str">
        <f>"15417365837479398823"</f>
        <v>15417365837479398823</v>
      </c>
      <c r="F230" s="4" t="s">
        <v>22</v>
      </c>
      <c r="G230" s="13" t="s">
        <v>246</v>
      </c>
      <c r="H230" t="str">
        <f>"8827181109110911"</f>
        <v>8827181109110911</v>
      </c>
      <c r="I230" s="15">
        <v>1728000</v>
      </c>
      <c r="J230" s="4"/>
      <c r="K230" s="10">
        <v>3900</v>
      </c>
      <c r="L230" s="11">
        <f t="shared" si="3"/>
        <v>1724100</v>
      </c>
      <c r="M230" s="6"/>
      <c r="N230" s="13" t="str">
        <f>"697243"</f>
        <v>697243</v>
      </c>
    </row>
    <row r="231" spans="1:14" ht="15">
      <c r="A231" s="9">
        <v>224</v>
      </c>
      <c r="B231" s="4" t="s">
        <v>20</v>
      </c>
      <c r="C231" s="5" t="s">
        <v>21</v>
      </c>
      <c r="D231" s="14">
        <v>43451.644270833334</v>
      </c>
      <c r="E231" t="str">
        <f>"15406990645627372889"</f>
        <v>15406990645627372889</v>
      </c>
      <c r="F231" s="4" t="s">
        <v>22</v>
      </c>
      <c r="G231" s="13" t="s">
        <v>247</v>
      </c>
      <c r="H231" t="str">
        <f>"8827181028105703"</f>
        <v>8827181028105703</v>
      </c>
      <c r="I231" s="15">
        <v>2059500</v>
      </c>
      <c r="J231" s="4"/>
      <c r="K231" s="10">
        <v>3900</v>
      </c>
      <c r="L231" s="11">
        <f t="shared" si="3"/>
        <v>2055600</v>
      </c>
      <c r="M231" s="6"/>
      <c r="N231" s="13" t="str">
        <f>"695921"</f>
        <v>695921</v>
      </c>
    </row>
    <row r="232" spans="1:14" ht="15">
      <c r="A232" s="9">
        <v>225</v>
      </c>
      <c r="B232" s="4" t="s">
        <v>20</v>
      </c>
      <c r="C232" s="5" t="s">
        <v>21</v>
      </c>
      <c r="D232" s="14">
        <v>43451.644004629627</v>
      </c>
      <c r="E232" t="str">
        <f>"15412257506608944701"</f>
        <v>15412257506608944701</v>
      </c>
      <c r="F232" s="4" t="s">
        <v>22</v>
      </c>
      <c r="G232" s="13" t="s">
        <v>248</v>
      </c>
      <c r="H232" t="str">
        <f>"8827181103131508"</f>
        <v>8827181103131508</v>
      </c>
      <c r="I232" s="15">
        <v>1819500</v>
      </c>
      <c r="J232" s="4"/>
      <c r="K232" s="10">
        <v>3900</v>
      </c>
      <c r="L232" s="11">
        <f t="shared" si="3"/>
        <v>1815600</v>
      </c>
      <c r="M232" s="6"/>
      <c r="N232" s="13" t="str">
        <f>"987082"</f>
        <v>987082</v>
      </c>
    </row>
    <row r="233" spans="1:14" ht="15">
      <c r="A233" s="9">
        <v>226</v>
      </c>
      <c r="B233" s="4" t="s">
        <v>20</v>
      </c>
      <c r="C233" s="5" t="s">
        <v>21</v>
      </c>
      <c r="D233" s="14">
        <v>43451.643958333334</v>
      </c>
      <c r="E233" t="str">
        <f>"15406860571104199065"</f>
        <v>15406860571104199065</v>
      </c>
      <c r="F233" s="4" t="s">
        <v>22</v>
      </c>
      <c r="G233" s="13" t="s">
        <v>148</v>
      </c>
      <c r="H233" t="str">
        <f>"8827181028072004"</f>
        <v>8827181028072004</v>
      </c>
      <c r="I233" s="15">
        <v>600000</v>
      </c>
      <c r="J233" s="4"/>
      <c r="K233" s="10">
        <v>3900</v>
      </c>
      <c r="L233" s="11">
        <f t="shared" si="3"/>
        <v>596100</v>
      </c>
      <c r="M233" s="6"/>
      <c r="N233" s="13" t="str">
        <f>"687016"</f>
        <v>687016</v>
      </c>
    </row>
    <row r="234" spans="1:14" ht="15">
      <c r="A234" s="9">
        <v>227</v>
      </c>
      <c r="B234" s="4" t="s">
        <v>20</v>
      </c>
      <c r="C234" s="5" t="s">
        <v>21</v>
      </c>
      <c r="D234" s="14">
        <v>43451.64366898148</v>
      </c>
      <c r="E234" t="str">
        <f>"15415703863084399326"</f>
        <v>15415703863084399326</v>
      </c>
      <c r="F234" s="4" t="s">
        <v>22</v>
      </c>
      <c r="G234" s="13" t="s">
        <v>249</v>
      </c>
      <c r="H234" t="str">
        <f>"8827181107125906"</f>
        <v>8827181107125906</v>
      </c>
      <c r="I234" s="15">
        <v>1752000</v>
      </c>
      <c r="J234" s="4"/>
      <c r="K234" s="10">
        <v>3900</v>
      </c>
      <c r="L234" s="11">
        <f t="shared" si="3"/>
        <v>1748100</v>
      </c>
      <c r="M234" s="6"/>
      <c r="N234" s="13" t="str">
        <f>"680119"</f>
        <v>680119</v>
      </c>
    </row>
    <row r="235" spans="1:14" ht="15">
      <c r="A235" s="9">
        <v>228</v>
      </c>
      <c r="B235" s="4" t="s">
        <v>20</v>
      </c>
      <c r="C235" s="5" t="s">
        <v>21</v>
      </c>
      <c r="D235" s="14">
        <v>43451.642280092594</v>
      </c>
      <c r="E235" t="str">
        <f>"15412991862277584890"</f>
        <v>15412991862277584890</v>
      </c>
      <c r="F235" s="4" t="s">
        <v>22</v>
      </c>
      <c r="G235" s="13" t="s">
        <v>250</v>
      </c>
      <c r="H235" t="str">
        <f>"8827181104093903"</f>
        <v>8827181104093903</v>
      </c>
      <c r="I235" s="15">
        <v>1481250</v>
      </c>
      <c r="J235" s="4"/>
      <c r="K235" s="10">
        <v>3900</v>
      </c>
      <c r="L235" s="11">
        <f t="shared" si="3"/>
        <v>1477350</v>
      </c>
      <c r="M235" s="6"/>
      <c r="N235" s="13" t="str">
        <f>"648976"</f>
        <v>648976</v>
      </c>
    </row>
    <row r="236" spans="1:14" ht="15">
      <c r="A236" s="9">
        <v>229</v>
      </c>
      <c r="B236" s="4" t="s">
        <v>20</v>
      </c>
      <c r="C236" s="5" t="s">
        <v>21</v>
      </c>
      <c r="D236" s="14">
        <v>43451.641909722224</v>
      </c>
      <c r="E236" t="str">
        <f>"15433112144714476845"</f>
        <v>15433112144714476845</v>
      </c>
      <c r="F236" s="4" t="s">
        <v>22</v>
      </c>
      <c r="G236" s="13" t="s">
        <v>251</v>
      </c>
      <c r="H236" t="str">
        <f>"8827181127163302"</f>
        <v>8827181127163302</v>
      </c>
      <c r="I236" s="15">
        <v>1160000</v>
      </c>
      <c r="J236" s="4"/>
      <c r="K236" s="10">
        <v>3900</v>
      </c>
      <c r="L236" s="11">
        <f t="shared" si="3"/>
        <v>1156100</v>
      </c>
      <c r="M236" s="6"/>
      <c r="N236" s="13" t="str">
        <f>"985469"</f>
        <v>985469</v>
      </c>
    </row>
    <row r="237" spans="1:14" ht="15">
      <c r="A237" s="9">
        <v>230</v>
      </c>
      <c r="B237" s="4" t="s">
        <v>20</v>
      </c>
      <c r="C237" s="5" t="s">
        <v>21</v>
      </c>
      <c r="D237" s="14">
        <v>43451.638402777775</v>
      </c>
      <c r="E237" t="str">
        <f>"15432920019957543608"</f>
        <v>15432920019957543608</v>
      </c>
      <c r="F237" s="4" t="s">
        <v>22</v>
      </c>
      <c r="G237" s="13" t="s">
        <v>252</v>
      </c>
      <c r="H237" t="str">
        <f>"8827181127111301"</f>
        <v>8827181127111301</v>
      </c>
      <c r="I237" s="15">
        <v>1401600</v>
      </c>
      <c r="J237" s="4"/>
      <c r="K237" s="10">
        <v>3900</v>
      </c>
      <c r="L237" s="11">
        <f t="shared" si="3"/>
        <v>1397700</v>
      </c>
      <c r="M237" s="6"/>
      <c r="N237" s="13" t="str">
        <f>"560067"</f>
        <v>560067</v>
      </c>
    </row>
    <row r="238" spans="1:14" ht="15">
      <c r="A238" s="9">
        <v>231</v>
      </c>
      <c r="B238" s="4" t="s">
        <v>20</v>
      </c>
      <c r="C238" s="5" t="s">
        <v>21</v>
      </c>
      <c r="D238" s="14">
        <v>43451.636087962965</v>
      </c>
      <c r="E238" t="str">
        <f>"15409478752333136259"</f>
        <v>15409478752333136259</v>
      </c>
      <c r="F238" s="4" t="s">
        <v>22</v>
      </c>
      <c r="G238" s="13" t="s">
        <v>253</v>
      </c>
      <c r="H238" t="str">
        <f>"8827181031080404"</f>
        <v>8827181031080404</v>
      </c>
      <c r="I238" s="15">
        <v>1752000</v>
      </c>
      <c r="J238" s="4"/>
      <c r="K238" s="10">
        <v>3900</v>
      </c>
      <c r="L238" s="11">
        <f t="shared" si="3"/>
        <v>1748100</v>
      </c>
      <c r="M238" s="6"/>
      <c r="N238" s="13" t="str">
        <f>"504321"</f>
        <v>504321</v>
      </c>
    </row>
    <row r="239" spans="1:14" ht="15">
      <c r="A239" s="9">
        <v>232</v>
      </c>
      <c r="B239" s="4" t="s">
        <v>20</v>
      </c>
      <c r="C239" s="5" t="s">
        <v>21</v>
      </c>
      <c r="D239" s="14">
        <v>43451.636053240742</v>
      </c>
      <c r="E239" t="str">
        <f>"15430194150028651722"</f>
        <v>15430194150028651722</v>
      </c>
      <c r="F239" s="4" t="s">
        <v>22</v>
      </c>
      <c r="G239" s="13" t="s">
        <v>254</v>
      </c>
      <c r="H239" t="str">
        <f>"8827181124073002"</f>
        <v>8827181124073002</v>
      </c>
      <c r="I239" s="15">
        <v>1072000</v>
      </c>
      <c r="J239" s="4"/>
      <c r="K239" s="10">
        <v>3900</v>
      </c>
      <c r="L239" s="11">
        <f t="shared" si="3"/>
        <v>1068100</v>
      </c>
      <c r="M239" s="6"/>
      <c r="N239" s="13" t="str">
        <f>"503722"</f>
        <v>503722</v>
      </c>
    </row>
    <row r="240" spans="1:14" ht="15">
      <c r="A240" s="9">
        <v>233</v>
      </c>
      <c r="B240" s="4" t="s">
        <v>20</v>
      </c>
      <c r="C240" s="5" t="s">
        <v>21</v>
      </c>
      <c r="D240" s="14">
        <v>43451.635000000002</v>
      </c>
      <c r="E240" t="str">
        <f>"15414125148271358475"</f>
        <v>15414125148271358475</v>
      </c>
      <c r="F240" s="4" t="s">
        <v>22</v>
      </c>
      <c r="G240" s="13" t="s">
        <v>255</v>
      </c>
      <c r="H240" t="str">
        <f>"8827181105170806"</f>
        <v>8827181105170806</v>
      </c>
      <c r="I240" s="15">
        <v>1557400</v>
      </c>
      <c r="J240" s="4"/>
      <c r="K240" s="10">
        <v>3900</v>
      </c>
      <c r="L240" s="11">
        <f t="shared" si="3"/>
        <v>1553500</v>
      </c>
      <c r="M240" s="6"/>
      <c r="N240" s="13" t="str">
        <f>"979508"</f>
        <v>979508</v>
      </c>
    </row>
    <row r="241" spans="1:14" ht="15">
      <c r="A241" s="9">
        <v>234</v>
      </c>
      <c r="B241" s="4" t="s">
        <v>20</v>
      </c>
      <c r="C241" s="5" t="s">
        <v>21</v>
      </c>
      <c r="D241" s="14">
        <v>43451.632731481484</v>
      </c>
      <c r="E241" t="str">
        <f>"15430432374999827317"</f>
        <v>15430432374999827317</v>
      </c>
      <c r="F241" s="4" t="s">
        <v>22</v>
      </c>
      <c r="G241" s="13" t="s">
        <v>256</v>
      </c>
      <c r="H241" t="str">
        <f>"8827181124140702"</f>
        <v>8827181124140702</v>
      </c>
      <c r="I241" s="15">
        <v>1084000</v>
      </c>
      <c r="J241" s="4"/>
      <c r="K241" s="10">
        <v>3900</v>
      </c>
      <c r="L241" s="11">
        <f t="shared" si="3"/>
        <v>1080100</v>
      </c>
      <c r="M241" s="6"/>
      <c r="N241" s="13" t="str">
        <f>"417053"</f>
        <v>417053</v>
      </c>
    </row>
    <row r="242" spans="1:14" ht="15">
      <c r="A242" s="9">
        <v>235</v>
      </c>
      <c r="B242" s="4" t="s">
        <v>20</v>
      </c>
      <c r="C242" s="5" t="s">
        <v>21</v>
      </c>
      <c r="D242" s="14">
        <v>43451.632685185185</v>
      </c>
      <c r="E242" t="str">
        <f>"15407118328458627556"</f>
        <v>15407118328458627556</v>
      </c>
      <c r="F242" s="4" t="s">
        <v>22</v>
      </c>
      <c r="G242" s="13" t="s">
        <v>257</v>
      </c>
      <c r="H242" t="str">
        <f>"8827181028143002"</f>
        <v>8827181028143002</v>
      </c>
      <c r="I242" s="15">
        <v>1992000</v>
      </c>
      <c r="J242" s="4"/>
      <c r="K242" s="10">
        <v>3900</v>
      </c>
      <c r="L242" s="11">
        <f t="shared" si="3"/>
        <v>1988100</v>
      </c>
      <c r="M242" s="6"/>
      <c r="N242" s="13" t="str">
        <f>"415649"</f>
        <v>415649</v>
      </c>
    </row>
    <row r="243" spans="1:14" ht="15">
      <c r="A243" s="9">
        <v>236</v>
      </c>
      <c r="B243" s="4" t="s">
        <v>20</v>
      </c>
      <c r="C243" s="5" t="s">
        <v>21</v>
      </c>
      <c r="D243" s="14">
        <v>43451.632326388892</v>
      </c>
      <c r="E243" t="str">
        <f>"15408155044444918514"</f>
        <v>15408155044444918514</v>
      </c>
      <c r="F243" s="4" t="s">
        <v>22</v>
      </c>
      <c r="G243" s="13" t="s">
        <v>258</v>
      </c>
      <c r="H243" t="str">
        <f>"8827181029191802"</f>
        <v>8827181029191802</v>
      </c>
      <c r="I243" s="15">
        <v>1788000</v>
      </c>
      <c r="J243" s="4"/>
      <c r="K243" s="10">
        <v>3900</v>
      </c>
      <c r="L243" s="11">
        <f t="shared" si="3"/>
        <v>1784100</v>
      </c>
      <c r="M243" s="6"/>
      <c r="N243" s="13" t="str">
        <f>"404464"</f>
        <v>404464</v>
      </c>
    </row>
    <row r="244" spans="1:14" ht="15">
      <c r="A244" s="9">
        <v>237</v>
      </c>
      <c r="B244" s="4" t="s">
        <v>20</v>
      </c>
      <c r="C244" s="5" t="s">
        <v>21</v>
      </c>
      <c r="D244" s="14">
        <v>43451.629247685189</v>
      </c>
      <c r="E244" t="str">
        <f>"15439227014006612231"</f>
        <v>15439227014006612231</v>
      </c>
      <c r="F244" s="4" t="s">
        <v>22</v>
      </c>
      <c r="G244" s="13" t="s">
        <v>259</v>
      </c>
      <c r="H244" t="str">
        <f>"8827181204182501"</f>
        <v>8827181204182501</v>
      </c>
      <c r="I244" s="15">
        <v>1647000</v>
      </c>
      <c r="J244" s="4"/>
      <c r="K244" s="10">
        <v>3900</v>
      </c>
      <c r="L244" s="11">
        <f t="shared" si="3"/>
        <v>1643100</v>
      </c>
      <c r="M244" s="6"/>
      <c r="N244" s="13" t="str">
        <f>"316636"</f>
        <v>316636</v>
      </c>
    </row>
    <row r="245" spans="1:14" ht="15">
      <c r="A245" s="9">
        <v>238</v>
      </c>
      <c r="B245" s="4" t="s">
        <v>20</v>
      </c>
      <c r="C245" s="5" t="s">
        <v>21</v>
      </c>
      <c r="D245" s="14">
        <v>43451.62840277778</v>
      </c>
      <c r="E245" t="str">
        <f>"15413870150542843527"</f>
        <v>15413870150542843527</v>
      </c>
      <c r="F245" s="4" t="s">
        <v>22</v>
      </c>
      <c r="G245" s="13" t="s">
        <v>260</v>
      </c>
      <c r="H245" t="str">
        <f>"8827181105100306"</f>
        <v>8827181105100306</v>
      </c>
      <c r="I245" s="15">
        <v>1767000</v>
      </c>
      <c r="J245" s="4"/>
      <c r="K245" s="10">
        <v>3900</v>
      </c>
      <c r="L245" s="11">
        <f t="shared" si="3"/>
        <v>1763100</v>
      </c>
      <c r="M245" s="6"/>
      <c r="N245" s="13" t="str">
        <f>"287928"</f>
        <v>287928</v>
      </c>
    </row>
    <row r="246" spans="1:14" ht="15">
      <c r="A246" s="9">
        <v>239</v>
      </c>
      <c r="B246" s="4" t="s">
        <v>20</v>
      </c>
      <c r="C246" s="5" t="s">
        <v>21</v>
      </c>
      <c r="D246" s="14">
        <v>43451.626898148148</v>
      </c>
      <c r="E246" t="str">
        <f>"15407901261561347436"</f>
        <v>15407901261561347436</v>
      </c>
      <c r="F246" s="4" t="s">
        <v>22</v>
      </c>
      <c r="G246" s="13" t="s">
        <v>261</v>
      </c>
      <c r="H246" t="str">
        <f>"8827181029121503"</f>
        <v>8827181029121503</v>
      </c>
      <c r="I246" s="15">
        <v>100000</v>
      </c>
      <c r="J246" s="4"/>
      <c r="K246" s="10">
        <v>3900</v>
      </c>
      <c r="L246" s="11">
        <f t="shared" si="3"/>
        <v>96100</v>
      </c>
      <c r="M246" s="6"/>
      <c r="N246" s="13" t="str">
        <f>"238434"</f>
        <v>238434</v>
      </c>
    </row>
    <row r="247" spans="1:14" ht="15">
      <c r="A247" s="9">
        <v>240</v>
      </c>
      <c r="B247" s="4" t="s">
        <v>20</v>
      </c>
      <c r="C247" s="5" t="s">
        <v>21</v>
      </c>
      <c r="D247" s="14">
        <v>43451.626736111109</v>
      </c>
      <c r="E247" t="str">
        <f>"15414811019188669384"</f>
        <v>15414811019188669384</v>
      </c>
      <c r="F247" s="4" t="s">
        <v>22</v>
      </c>
      <c r="G247" s="13" t="s">
        <v>262</v>
      </c>
      <c r="H247" t="str">
        <f>"8827181106121101"</f>
        <v>8827181106121101</v>
      </c>
      <c r="I247" s="15">
        <v>1069300</v>
      </c>
      <c r="J247" s="4"/>
      <c r="K247" s="10">
        <v>3900</v>
      </c>
      <c r="L247" s="11">
        <f t="shared" si="3"/>
        <v>1065400</v>
      </c>
      <c r="M247" s="6"/>
      <c r="N247" s="13" t="str">
        <f>"971864"</f>
        <v>971864</v>
      </c>
    </row>
    <row r="248" spans="1:14" ht="15">
      <c r="A248" s="9">
        <v>241</v>
      </c>
      <c r="B248" s="4" t="s">
        <v>20</v>
      </c>
      <c r="C248" s="5" t="s">
        <v>21</v>
      </c>
      <c r="D248" s="14">
        <v>43451.625520833331</v>
      </c>
      <c r="E248" t="str">
        <f>"15438881744513722564"</f>
        <v>15438881744513722564</v>
      </c>
      <c r="F248" s="4" t="s">
        <v>22</v>
      </c>
      <c r="G248" s="13" t="s">
        <v>263</v>
      </c>
      <c r="H248" t="str">
        <f>"8827181204084901"</f>
        <v>8827181204084901</v>
      </c>
      <c r="I248" s="15">
        <v>658800</v>
      </c>
      <c r="J248" s="4"/>
      <c r="K248" s="10">
        <v>3900</v>
      </c>
      <c r="L248" s="11">
        <f t="shared" si="3"/>
        <v>654900</v>
      </c>
      <c r="M248" s="6"/>
      <c r="N248" s="13" t="str">
        <f>"201764"</f>
        <v>201764</v>
      </c>
    </row>
    <row r="249" spans="1:14" ht="15">
      <c r="A249" s="9">
        <v>242</v>
      </c>
      <c r="B249" s="4" t="s">
        <v>20</v>
      </c>
      <c r="C249" s="5" t="s">
        <v>21</v>
      </c>
      <c r="D249" s="14">
        <v>43451.62394675926</v>
      </c>
      <c r="E249" t="str">
        <f>"15414887759708865563"</f>
        <v>15414887759708865563</v>
      </c>
      <c r="F249" s="4" t="s">
        <v>22</v>
      </c>
      <c r="G249" s="13" t="s">
        <v>264</v>
      </c>
      <c r="H249" t="str">
        <f>"8827181106141904"</f>
        <v>8827181106141904</v>
      </c>
      <c r="I249" s="15">
        <v>1552500</v>
      </c>
      <c r="J249" s="4"/>
      <c r="K249" s="10">
        <v>3900</v>
      </c>
      <c r="L249" s="11">
        <f t="shared" si="3"/>
        <v>1548600</v>
      </c>
      <c r="M249" s="6"/>
      <c r="N249" s="13" t="str">
        <f>"969397"</f>
        <v>969397</v>
      </c>
    </row>
    <row r="250" spans="1:14" ht="15">
      <c r="A250" s="9">
        <v>243</v>
      </c>
      <c r="B250" s="4" t="s">
        <v>20</v>
      </c>
      <c r="C250" s="5" t="s">
        <v>21</v>
      </c>
      <c r="D250" s="14">
        <v>43451.623599537037</v>
      </c>
      <c r="E250" t="str">
        <f>"15409770372811657755"</f>
        <v>15409770372811657755</v>
      </c>
      <c r="F250" s="4" t="s">
        <v>22</v>
      </c>
      <c r="G250" s="13" t="s">
        <v>265</v>
      </c>
      <c r="H250" t="str">
        <f>"8827181031161003"</f>
        <v>8827181031161003</v>
      </c>
      <c r="I250" s="15">
        <v>1460000</v>
      </c>
      <c r="J250" s="4"/>
      <c r="K250" s="10">
        <v>3900</v>
      </c>
      <c r="L250" s="11">
        <f t="shared" si="3"/>
        <v>1456100</v>
      </c>
      <c r="M250" s="6"/>
      <c r="N250" s="13" t="str">
        <f>"145690"</f>
        <v>145690</v>
      </c>
    </row>
    <row r="251" spans="1:14" ht="15">
      <c r="A251" s="9">
        <v>244</v>
      </c>
      <c r="B251" s="4" t="s">
        <v>20</v>
      </c>
      <c r="C251" s="5" t="s">
        <v>21</v>
      </c>
      <c r="D251" s="14">
        <v>43451.623287037037</v>
      </c>
      <c r="E251" t="str">
        <f>"15418182926639501110"</f>
        <v>15418182926639501110</v>
      </c>
      <c r="F251" s="4" t="s">
        <v>22</v>
      </c>
      <c r="G251" s="13" t="s">
        <v>266</v>
      </c>
      <c r="H251" t="str">
        <f>"8827181110095104"</f>
        <v>8827181110095104</v>
      </c>
      <c r="I251" s="15">
        <v>1355000</v>
      </c>
      <c r="J251" s="4"/>
      <c r="K251" s="10">
        <v>3900</v>
      </c>
      <c r="L251" s="11">
        <f t="shared" si="3"/>
        <v>1351100</v>
      </c>
      <c r="M251" s="6"/>
      <c r="N251" s="13" t="str">
        <f>"136402"</f>
        <v>136402</v>
      </c>
    </row>
    <row r="252" spans="1:14" ht="15">
      <c r="A252" s="9">
        <v>245</v>
      </c>
      <c r="B252" s="4" t="s">
        <v>20</v>
      </c>
      <c r="C252" s="5" t="s">
        <v>21</v>
      </c>
      <c r="D252" s="14">
        <v>43451.623055555552</v>
      </c>
      <c r="E252" t="str">
        <f>"15411441668777348592"</f>
        <v>15411441668777348592</v>
      </c>
      <c r="F252" s="4" t="s">
        <v>22</v>
      </c>
      <c r="G252" s="13" t="s">
        <v>267</v>
      </c>
      <c r="H252" t="str">
        <f>"8827181102143601"</f>
        <v>8827181102143601</v>
      </c>
      <c r="I252" s="15">
        <v>1309200</v>
      </c>
      <c r="J252" s="4"/>
      <c r="K252" s="10">
        <v>3900</v>
      </c>
      <c r="L252" s="11">
        <f t="shared" si="3"/>
        <v>1305300</v>
      </c>
      <c r="M252" s="6"/>
      <c r="N252" s="13" t="str">
        <f>"129336"</f>
        <v>129336</v>
      </c>
    </row>
    <row r="253" spans="1:14" ht="15">
      <c r="A253" s="9">
        <v>246</v>
      </c>
      <c r="B253" s="4" t="s">
        <v>20</v>
      </c>
      <c r="C253" s="5" t="s">
        <v>21</v>
      </c>
      <c r="D253" s="14">
        <v>43451.622696759259</v>
      </c>
      <c r="E253" t="str">
        <f>"15407011835684599678"</f>
        <v>15407011835684599678</v>
      </c>
      <c r="F253" s="4" t="s">
        <v>22</v>
      </c>
      <c r="G253" s="13" t="s">
        <v>268</v>
      </c>
      <c r="H253" t="str">
        <f>"8827181028113301"</f>
        <v>8827181028113301</v>
      </c>
      <c r="I253" s="15">
        <v>538500</v>
      </c>
      <c r="J253" s="4"/>
      <c r="K253" s="10">
        <v>3900</v>
      </c>
      <c r="L253" s="11">
        <f t="shared" si="3"/>
        <v>534600</v>
      </c>
      <c r="M253" s="6"/>
      <c r="N253" s="13" t="str">
        <f>"968255"</f>
        <v>968255</v>
      </c>
    </row>
    <row r="254" spans="1:14" ht="15">
      <c r="A254" s="9">
        <v>247</v>
      </c>
      <c r="B254" s="4" t="s">
        <v>20</v>
      </c>
      <c r="C254" s="5" t="s">
        <v>21</v>
      </c>
      <c r="D254" s="14">
        <v>43451.620405092595</v>
      </c>
      <c r="E254" t="str">
        <f>"15416603623033143338"</f>
        <v>15416603623033143338</v>
      </c>
      <c r="F254" s="4" t="s">
        <v>22</v>
      </c>
      <c r="G254" s="13" t="s">
        <v>269</v>
      </c>
      <c r="H254" t="str">
        <f>"8827181108135902"</f>
        <v>8827181108135902</v>
      </c>
      <c r="I254" s="15">
        <v>1752000</v>
      </c>
      <c r="J254" s="4"/>
      <c r="K254" s="10">
        <v>3900</v>
      </c>
      <c r="L254" s="11">
        <f t="shared" si="3"/>
        <v>1748100</v>
      </c>
      <c r="M254" s="6"/>
      <c r="N254" s="13" t="str">
        <f>"056997"</f>
        <v>056997</v>
      </c>
    </row>
    <row r="255" spans="1:14" ht="15">
      <c r="A255" s="9">
        <v>248</v>
      </c>
      <c r="B255" s="4" t="s">
        <v>20</v>
      </c>
      <c r="C255" s="5" t="s">
        <v>21</v>
      </c>
      <c r="D255" s="14">
        <v>43451.620300925926</v>
      </c>
      <c r="E255" t="str">
        <f>"15417685200181292161"</f>
        <v>15417685200181292161</v>
      </c>
      <c r="F255" s="4" t="s">
        <v>22</v>
      </c>
      <c r="G255" s="13" t="s">
        <v>270</v>
      </c>
      <c r="H255" t="str">
        <f>"8827181109200201"</f>
        <v>8827181109200201</v>
      </c>
      <c r="I255" s="15">
        <v>1740000</v>
      </c>
      <c r="J255" s="4"/>
      <c r="K255" s="10">
        <v>3900</v>
      </c>
      <c r="L255" s="11">
        <f t="shared" si="3"/>
        <v>1736100</v>
      </c>
      <c r="M255" s="6"/>
      <c r="N255" s="13" t="str">
        <f>"053677"</f>
        <v>053677</v>
      </c>
    </row>
    <row r="256" spans="1:14" ht="15">
      <c r="A256" s="9">
        <v>249</v>
      </c>
      <c r="B256" s="4" t="s">
        <v>20</v>
      </c>
      <c r="C256" s="5" t="s">
        <v>21</v>
      </c>
      <c r="D256" s="14">
        <v>43451.620162037034</v>
      </c>
      <c r="E256" t="str">
        <f>"15413928862499239343"</f>
        <v>15413928862499239343</v>
      </c>
      <c r="F256" s="4" t="s">
        <v>22</v>
      </c>
      <c r="G256" s="13" t="s">
        <v>271</v>
      </c>
      <c r="H256" t="str">
        <f>"8827181105114103"</f>
        <v>8827181105114103</v>
      </c>
      <c r="I256" s="15">
        <v>1098000</v>
      </c>
      <c r="J256" s="4"/>
      <c r="K256" s="10">
        <v>3900</v>
      </c>
      <c r="L256" s="11">
        <f t="shared" si="3"/>
        <v>1094100</v>
      </c>
      <c r="M256" s="6"/>
      <c r="N256" s="13" t="str">
        <f>"049721"</f>
        <v>049721</v>
      </c>
    </row>
    <row r="257" spans="1:14" ht="15">
      <c r="A257" s="9">
        <v>250</v>
      </c>
      <c r="B257" s="4" t="s">
        <v>20</v>
      </c>
      <c r="C257" s="5" t="s">
        <v>21</v>
      </c>
      <c r="D257" s="14">
        <v>43451.619166666664</v>
      </c>
      <c r="E257" t="str">
        <f>"15433892702248700456"</f>
        <v>15433892702248700456</v>
      </c>
      <c r="F257" s="4" t="s">
        <v>22</v>
      </c>
      <c r="G257" s="13" t="s">
        <v>272</v>
      </c>
      <c r="H257" t="str">
        <f>"8827181128141402"</f>
        <v>8827181128141402</v>
      </c>
      <c r="I257" s="15">
        <v>1740000</v>
      </c>
      <c r="J257" s="4"/>
      <c r="K257" s="10">
        <v>3900</v>
      </c>
      <c r="L257" s="11">
        <f t="shared" si="3"/>
        <v>1736100</v>
      </c>
      <c r="M257" s="6"/>
      <c r="N257" s="13" t="str">
        <f>"023498"</f>
        <v>023498</v>
      </c>
    </row>
    <row r="258" spans="1:14" ht="15">
      <c r="A258" s="9">
        <v>251</v>
      </c>
      <c r="B258" s="4" t="s">
        <v>20</v>
      </c>
      <c r="C258" s="5" t="s">
        <v>21</v>
      </c>
      <c r="D258" s="14">
        <v>43451.618773148148</v>
      </c>
      <c r="E258" t="str">
        <f>"15446114659812765055"</f>
        <v>15446114659812765055</v>
      </c>
      <c r="F258" s="4" t="s">
        <v>22</v>
      </c>
      <c r="G258" s="13" t="s">
        <v>273</v>
      </c>
      <c r="H258" t="str">
        <f>"8827181212174401"</f>
        <v>8827181212174401</v>
      </c>
      <c r="I258" s="15">
        <v>1531500</v>
      </c>
      <c r="J258" s="4"/>
      <c r="K258" s="10">
        <v>3900</v>
      </c>
      <c r="L258" s="11">
        <f t="shared" si="3"/>
        <v>1527600</v>
      </c>
      <c r="M258" s="6"/>
      <c r="N258" s="13" t="str">
        <f>"014475"</f>
        <v>014475</v>
      </c>
    </row>
    <row r="259" spans="1:14" ht="15">
      <c r="A259" s="9">
        <v>252</v>
      </c>
      <c r="B259" s="4" t="s">
        <v>20</v>
      </c>
      <c r="C259" s="5" t="s">
        <v>21</v>
      </c>
      <c r="D259" s="14">
        <v>43451.616041666668</v>
      </c>
      <c r="E259" t="str">
        <f>"15409705132022184075"</f>
        <v>15409705132022184075</v>
      </c>
      <c r="F259" s="4" t="s">
        <v>22</v>
      </c>
      <c r="G259" s="13" t="s">
        <v>274</v>
      </c>
      <c r="H259" t="str">
        <f>"8827181031142104"</f>
        <v>8827181031142104</v>
      </c>
      <c r="I259" s="15">
        <v>1752000</v>
      </c>
      <c r="J259" s="4"/>
      <c r="K259" s="10">
        <v>3900</v>
      </c>
      <c r="L259" s="11">
        <f t="shared" si="3"/>
        <v>1748100</v>
      </c>
      <c r="M259" s="6"/>
      <c r="N259" s="13" t="str">
        <f>"747705"</f>
        <v>747705</v>
      </c>
    </row>
    <row r="260" spans="1:14" ht="15">
      <c r="A260" s="9">
        <v>253</v>
      </c>
      <c r="B260" s="4" t="s">
        <v>20</v>
      </c>
      <c r="C260" s="5" t="s">
        <v>21</v>
      </c>
      <c r="D260" s="14">
        <v>43451.613622685189</v>
      </c>
      <c r="E260" t="str">
        <f>"15410610972625684932"</f>
        <v>15410610972625684932</v>
      </c>
      <c r="F260" s="4" t="s">
        <v>22</v>
      </c>
      <c r="G260" s="13" t="s">
        <v>275</v>
      </c>
      <c r="H260" t="str">
        <f>"8827181101153103"</f>
        <v>8827181101153103</v>
      </c>
      <c r="I260" s="15">
        <v>1406700</v>
      </c>
      <c r="J260" s="4"/>
      <c r="K260" s="10">
        <v>3900</v>
      </c>
      <c r="L260" s="11">
        <f t="shared" si="3"/>
        <v>1402800</v>
      </c>
      <c r="M260" s="6"/>
      <c r="N260" s="13" t="str">
        <f>"960557"</f>
        <v>960557</v>
      </c>
    </row>
    <row r="261" spans="1:14" ht="15">
      <c r="A261" s="9">
        <v>254</v>
      </c>
      <c r="B261" s="4" t="s">
        <v>20</v>
      </c>
      <c r="C261" s="5" t="s">
        <v>21</v>
      </c>
      <c r="D261" s="14">
        <v>43451.611944444441</v>
      </c>
      <c r="E261" t="str">
        <f>"15420086355276722603"</f>
        <v>15420086355276722603</v>
      </c>
      <c r="F261" s="4" t="s">
        <v>22</v>
      </c>
      <c r="G261" s="13" t="s">
        <v>276</v>
      </c>
      <c r="H261" t="str">
        <f>"8827181112144310"</f>
        <v>8827181112144310</v>
      </c>
      <c r="I261" s="15">
        <v>1420000</v>
      </c>
      <c r="J261" s="4"/>
      <c r="K261" s="10">
        <v>3900</v>
      </c>
      <c r="L261" s="11">
        <f t="shared" si="3"/>
        <v>1416100</v>
      </c>
      <c r="M261" s="6"/>
      <c r="N261" s="13" t="str">
        <f>"637728"</f>
        <v>637728</v>
      </c>
    </row>
    <row r="262" spans="1:14" ht="15">
      <c r="A262" s="9">
        <v>255</v>
      </c>
      <c r="B262" s="4" t="s">
        <v>20</v>
      </c>
      <c r="C262" s="5" t="s">
        <v>21</v>
      </c>
      <c r="D262" s="14">
        <v>43451.611898148149</v>
      </c>
      <c r="E262" t="str">
        <f>"15417340931802221227"</f>
        <v>15417340931802221227</v>
      </c>
      <c r="F262" s="4" t="s">
        <v>22</v>
      </c>
      <c r="G262" s="13" t="s">
        <v>277</v>
      </c>
      <c r="H262" t="str">
        <f>"8827181109102803"</f>
        <v>8827181109102803</v>
      </c>
      <c r="I262" s="15">
        <v>1767000</v>
      </c>
      <c r="J262" s="4"/>
      <c r="K262" s="10">
        <v>3900</v>
      </c>
      <c r="L262" s="11">
        <f t="shared" si="3"/>
        <v>1763100</v>
      </c>
      <c r="M262" s="6"/>
      <c r="N262" s="13" t="str">
        <f>"959049"</f>
        <v>959049</v>
      </c>
    </row>
    <row r="263" spans="1:14" ht="15">
      <c r="A263" s="9">
        <v>256</v>
      </c>
      <c r="B263" s="4" t="s">
        <v>20</v>
      </c>
      <c r="C263" s="5" t="s">
        <v>21</v>
      </c>
      <c r="D263" s="14">
        <v>43451.611481481479</v>
      </c>
      <c r="E263" t="str">
        <f>"15426054285785225200"</f>
        <v>15426054285785225200</v>
      </c>
      <c r="F263" s="4" t="s">
        <v>22</v>
      </c>
      <c r="G263" s="13" t="s">
        <v>278</v>
      </c>
      <c r="H263" t="str">
        <f>"8827181119123001"</f>
        <v>8827181119123001</v>
      </c>
      <c r="I263" s="15">
        <v>1768500</v>
      </c>
      <c r="J263" s="4"/>
      <c r="K263" s="10">
        <v>3900</v>
      </c>
      <c r="L263" s="11">
        <f t="shared" si="3"/>
        <v>1764600</v>
      </c>
      <c r="M263" s="6"/>
      <c r="N263" s="13" t="str">
        <f>"958661"</f>
        <v>958661</v>
      </c>
    </row>
    <row r="264" spans="1:14" ht="15">
      <c r="A264" s="9">
        <v>257</v>
      </c>
      <c r="B264" s="4" t="s">
        <v>20</v>
      </c>
      <c r="C264" s="5" t="s">
        <v>21</v>
      </c>
      <c r="D264" s="14">
        <v>43451.61041666667</v>
      </c>
      <c r="E264" t="str">
        <f>"15438956681074599469"</f>
        <v>15438956681074599469</v>
      </c>
      <c r="F264" s="4" t="s">
        <v>22</v>
      </c>
      <c r="G264" s="13" t="s">
        <v>279</v>
      </c>
      <c r="H264" t="str">
        <f>"8827181204105401"</f>
        <v>8827181204105401</v>
      </c>
      <c r="I264" s="15">
        <v>1660500</v>
      </c>
      <c r="J264" s="4"/>
      <c r="K264" s="10">
        <v>3900</v>
      </c>
      <c r="L264" s="11">
        <f t="shared" si="3"/>
        <v>1656600</v>
      </c>
      <c r="M264" s="6"/>
      <c r="N264" s="13" t="str">
        <f>"587694"</f>
        <v>587694</v>
      </c>
    </row>
    <row r="265" spans="1:14" ht="15">
      <c r="A265" s="9">
        <v>258</v>
      </c>
      <c r="B265" s="4" t="s">
        <v>20</v>
      </c>
      <c r="C265" s="5" t="s">
        <v>21</v>
      </c>
      <c r="D265" s="14">
        <v>43451.610277777778</v>
      </c>
      <c r="E265" t="str">
        <f>"15413863314415383868"</f>
        <v>15413863314415383868</v>
      </c>
      <c r="F265" s="4" t="s">
        <v>22</v>
      </c>
      <c r="G265" s="13" t="s">
        <v>280</v>
      </c>
      <c r="H265" t="str">
        <f>"8827181105095201"</f>
        <v>8827181105095201</v>
      </c>
      <c r="I265" s="15">
        <v>1752000</v>
      </c>
      <c r="J265" s="4"/>
      <c r="K265" s="10">
        <v>3900</v>
      </c>
      <c r="L265" s="11">
        <f t="shared" ref="L265:L328" si="4">(I265-K265)</f>
        <v>1748100</v>
      </c>
      <c r="M265" s="6"/>
      <c r="N265" s="13" t="str">
        <f>"583150"</f>
        <v>583150</v>
      </c>
    </row>
    <row r="266" spans="1:14" ht="15">
      <c r="A266" s="9">
        <v>259</v>
      </c>
      <c r="B266" s="4" t="s">
        <v>20</v>
      </c>
      <c r="C266" s="5" t="s">
        <v>21</v>
      </c>
      <c r="D266" s="14">
        <v>43451.609317129631</v>
      </c>
      <c r="E266" t="str">
        <f>"15415719056514141175"</f>
        <v>15415719056514141175</v>
      </c>
      <c r="F266" s="4" t="s">
        <v>22</v>
      </c>
      <c r="G266" s="13" t="s">
        <v>281</v>
      </c>
      <c r="H266" t="str">
        <f>"8827181107132504"</f>
        <v>8827181107132504</v>
      </c>
      <c r="I266" s="15">
        <v>1740000</v>
      </c>
      <c r="J266" s="4"/>
      <c r="K266" s="10">
        <v>3900</v>
      </c>
      <c r="L266" s="11">
        <f t="shared" si="4"/>
        <v>1736100</v>
      </c>
      <c r="M266" s="6"/>
      <c r="N266" s="13" t="str">
        <f>"558793"</f>
        <v>558793</v>
      </c>
    </row>
    <row r="267" spans="1:14" ht="15">
      <c r="A267" s="9">
        <v>260</v>
      </c>
      <c r="B267" s="4" t="s">
        <v>20</v>
      </c>
      <c r="C267" s="5" t="s">
        <v>21</v>
      </c>
      <c r="D267" s="14">
        <v>43451.608749999999</v>
      </c>
      <c r="E267" t="str">
        <f>"15407173750229565087"</f>
        <v>15407173750229565087</v>
      </c>
      <c r="F267" s="4" t="s">
        <v>22</v>
      </c>
      <c r="G267" s="13" t="s">
        <v>282</v>
      </c>
      <c r="H267" t="str">
        <f>"8827181028160203"</f>
        <v>8827181028160203</v>
      </c>
      <c r="I267" s="15">
        <v>1077000</v>
      </c>
      <c r="J267" s="4"/>
      <c r="K267" s="10">
        <v>3900</v>
      </c>
      <c r="L267" s="11">
        <f t="shared" si="4"/>
        <v>1073100</v>
      </c>
      <c r="M267" s="6"/>
      <c r="N267" s="13" t="str">
        <f>"546251"</f>
        <v>546251</v>
      </c>
    </row>
    <row r="268" spans="1:14" ht="15">
      <c r="A268" s="9">
        <v>261</v>
      </c>
      <c r="B268" s="4" t="s">
        <v>20</v>
      </c>
      <c r="C268" s="5" t="s">
        <v>21</v>
      </c>
      <c r="D268" s="14">
        <v>43451.607141203705</v>
      </c>
      <c r="E268" t="str">
        <f>"15414031181402775545"</f>
        <v>15414031181402775545</v>
      </c>
      <c r="F268" s="4" t="s">
        <v>22</v>
      </c>
      <c r="G268" s="13" t="s">
        <v>283</v>
      </c>
      <c r="H268" t="str">
        <f>"8827181105143108"</f>
        <v>8827181105143108</v>
      </c>
      <c r="I268" s="15">
        <v>1752000</v>
      </c>
      <c r="J268" s="4"/>
      <c r="K268" s="10">
        <v>3900</v>
      </c>
      <c r="L268" s="11">
        <f t="shared" si="4"/>
        <v>1748100</v>
      </c>
      <c r="M268" s="6"/>
      <c r="N268" s="13" t="str">
        <f>"511123"</f>
        <v>511123</v>
      </c>
    </row>
    <row r="269" spans="1:14" ht="15">
      <c r="A269" s="9">
        <v>262</v>
      </c>
      <c r="B269" s="4" t="s">
        <v>20</v>
      </c>
      <c r="C269" s="5" t="s">
        <v>21</v>
      </c>
      <c r="D269" s="14">
        <v>43451.606817129628</v>
      </c>
      <c r="E269" t="str">
        <f>"15413864060295711107"</f>
        <v>15413864060295711107</v>
      </c>
      <c r="F269" s="4" t="s">
        <v>22</v>
      </c>
      <c r="G269" s="13" t="s">
        <v>284</v>
      </c>
      <c r="H269" t="str">
        <f>"8827181105095301"</f>
        <v>8827181105095301</v>
      </c>
      <c r="I269" s="15">
        <v>1612800</v>
      </c>
      <c r="J269" s="4"/>
      <c r="K269" s="10">
        <v>3900</v>
      </c>
      <c r="L269" s="11">
        <f t="shared" si="4"/>
        <v>1608900</v>
      </c>
      <c r="M269" s="6"/>
      <c r="N269" s="13" t="str">
        <f>"503923"</f>
        <v>503923</v>
      </c>
    </row>
    <row r="270" spans="1:14" ht="15">
      <c r="A270" s="9">
        <v>263</v>
      </c>
      <c r="B270" s="4" t="s">
        <v>20</v>
      </c>
      <c r="C270" s="5" t="s">
        <v>21</v>
      </c>
      <c r="D270" s="14">
        <v>43451.60193287037</v>
      </c>
      <c r="E270" t="str">
        <f>"15406377603988512332"</f>
        <v>15406377603988512332</v>
      </c>
      <c r="F270" s="4" t="s">
        <v>22</v>
      </c>
      <c r="G270" s="13" t="s">
        <v>285</v>
      </c>
      <c r="H270" t="str">
        <f>"8827181027175601"</f>
        <v>8827181027175601</v>
      </c>
      <c r="I270" s="15">
        <v>1782000</v>
      </c>
      <c r="J270" s="4"/>
      <c r="K270" s="10">
        <v>3900</v>
      </c>
      <c r="L270" s="11">
        <f t="shared" si="4"/>
        <v>1778100</v>
      </c>
      <c r="M270" s="6"/>
      <c r="N270" s="13" t="str">
        <f>"393971"</f>
        <v>393971</v>
      </c>
    </row>
    <row r="271" spans="1:14" ht="15">
      <c r="A271" s="9">
        <v>264</v>
      </c>
      <c r="B271" s="4" t="s">
        <v>20</v>
      </c>
      <c r="C271" s="5" t="s">
        <v>21</v>
      </c>
      <c r="D271" s="14">
        <v>43451.600081018521</v>
      </c>
      <c r="E271" t="str">
        <f>"15412250119763593856"</f>
        <v>15412250119763593856</v>
      </c>
      <c r="F271" s="4" t="s">
        <v>22</v>
      </c>
      <c r="G271" s="13" t="s">
        <v>286</v>
      </c>
      <c r="H271" t="str">
        <f>"8827181103130302"</f>
        <v>8827181103130302</v>
      </c>
      <c r="I271" s="15">
        <v>1626000</v>
      </c>
      <c r="J271" s="4"/>
      <c r="K271" s="10">
        <v>3900</v>
      </c>
      <c r="L271" s="11">
        <f t="shared" si="4"/>
        <v>1622100</v>
      </c>
      <c r="M271" s="6"/>
      <c r="N271" s="13" t="str">
        <f>"346963"</f>
        <v>346963</v>
      </c>
    </row>
    <row r="272" spans="1:14" ht="15">
      <c r="A272" s="9">
        <v>265</v>
      </c>
      <c r="B272" s="4" t="s">
        <v>20</v>
      </c>
      <c r="C272" s="5" t="s">
        <v>21</v>
      </c>
      <c r="D272" s="14">
        <v>43451.59983796296</v>
      </c>
      <c r="E272" t="str">
        <f>"15423380954665165237"</f>
        <v>15423380954665165237</v>
      </c>
      <c r="F272" s="4" t="s">
        <v>22</v>
      </c>
      <c r="G272" s="13" t="s">
        <v>287</v>
      </c>
      <c r="H272" t="str">
        <f>"8827181116101404"</f>
        <v>8827181116101404</v>
      </c>
      <c r="I272" s="15">
        <v>1402000</v>
      </c>
      <c r="J272" s="4"/>
      <c r="K272" s="10">
        <v>3900</v>
      </c>
      <c r="L272" s="11">
        <f t="shared" si="4"/>
        <v>1398100</v>
      </c>
      <c r="M272" s="6"/>
      <c r="N272" s="13" t="str">
        <f>"341302"</f>
        <v>341302</v>
      </c>
    </row>
    <row r="273" spans="1:14" ht="15">
      <c r="A273" s="9">
        <v>266</v>
      </c>
      <c r="B273" s="4" t="s">
        <v>20</v>
      </c>
      <c r="C273" s="5" t="s">
        <v>21</v>
      </c>
      <c r="D273" s="14">
        <v>43451.599664351852</v>
      </c>
      <c r="E273" t="str">
        <f>"15414004430068915170"</f>
        <v>15414004430068915170</v>
      </c>
      <c r="F273" s="4" t="s">
        <v>22</v>
      </c>
      <c r="G273" s="13" t="s">
        <v>288</v>
      </c>
      <c r="H273" t="str">
        <f>"8827181105134703"</f>
        <v>8827181105134703</v>
      </c>
      <c r="I273" s="15">
        <v>1118000</v>
      </c>
      <c r="J273" s="4"/>
      <c r="K273" s="10">
        <v>3900</v>
      </c>
      <c r="L273" s="11">
        <f t="shared" si="4"/>
        <v>1114100</v>
      </c>
      <c r="M273" s="6"/>
      <c r="N273" s="13" t="str">
        <f>"337241"</f>
        <v>337241</v>
      </c>
    </row>
    <row r="274" spans="1:14" ht="15">
      <c r="A274" s="9">
        <v>267</v>
      </c>
      <c r="B274" s="4" t="s">
        <v>20</v>
      </c>
      <c r="C274" s="5" t="s">
        <v>21</v>
      </c>
      <c r="D274" s="14">
        <v>43451.599583333336</v>
      </c>
      <c r="E274" t="str">
        <f>"15417601668804018331"</f>
        <v>15417601668804018331</v>
      </c>
      <c r="F274" s="4" t="s">
        <v>22</v>
      </c>
      <c r="G274" s="13" t="s">
        <v>289</v>
      </c>
      <c r="H274" t="str">
        <f>"8827181109174204"</f>
        <v>8827181109174204</v>
      </c>
      <c r="I274" s="15">
        <v>734300</v>
      </c>
      <c r="J274" s="4"/>
      <c r="K274" s="10">
        <v>3900</v>
      </c>
      <c r="L274" s="11">
        <f t="shared" si="4"/>
        <v>730400</v>
      </c>
      <c r="M274" s="6"/>
      <c r="N274" s="13" t="str">
        <f>"335285"</f>
        <v>335285</v>
      </c>
    </row>
    <row r="275" spans="1:14" ht="15">
      <c r="A275" s="9">
        <v>268</v>
      </c>
      <c r="B275" s="4" t="s">
        <v>20</v>
      </c>
      <c r="C275" s="5" t="s">
        <v>21</v>
      </c>
      <c r="D275" s="14">
        <v>43451.599340277775</v>
      </c>
      <c r="E275" t="str">
        <f>"15409031773746582017"</f>
        <v>15409031773746582017</v>
      </c>
      <c r="F275" s="4" t="s">
        <v>22</v>
      </c>
      <c r="G275" s="13" t="s">
        <v>290</v>
      </c>
      <c r="H275" t="str">
        <f>"8827181030193904"</f>
        <v>8827181030193904</v>
      </c>
      <c r="I275" s="15">
        <v>1660500</v>
      </c>
      <c r="J275" s="4"/>
      <c r="K275" s="10">
        <v>3900</v>
      </c>
      <c r="L275" s="11">
        <f t="shared" si="4"/>
        <v>1656600</v>
      </c>
      <c r="M275" s="6"/>
      <c r="N275" s="13" t="str">
        <f>"329886"</f>
        <v>329886</v>
      </c>
    </row>
    <row r="276" spans="1:14" ht="15">
      <c r="A276" s="9">
        <v>269</v>
      </c>
      <c r="B276" s="4" t="s">
        <v>20</v>
      </c>
      <c r="C276" s="5" t="s">
        <v>21</v>
      </c>
      <c r="D276" s="14">
        <v>43451.596516203703</v>
      </c>
      <c r="E276" t="str">
        <f>"15410874729641929588"</f>
        <v>15410874729641929588</v>
      </c>
      <c r="F276" s="4" t="s">
        <v>22</v>
      </c>
      <c r="G276" s="13" t="s">
        <v>291</v>
      </c>
      <c r="H276" t="str">
        <f>"8827181101225101"</f>
        <v>8827181101225101</v>
      </c>
      <c r="I276" s="15">
        <v>1797000</v>
      </c>
      <c r="J276" s="4"/>
      <c r="K276" s="10">
        <v>3900</v>
      </c>
      <c r="L276" s="11">
        <f t="shared" si="4"/>
        <v>1793100</v>
      </c>
      <c r="M276" s="6"/>
      <c r="N276" s="13" t="str">
        <f>"265639"</f>
        <v>265639</v>
      </c>
    </row>
    <row r="277" spans="1:14" ht="15">
      <c r="A277" s="9">
        <v>270</v>
      </c>
      <c r="B277" s="4" t="s">
        <v>20</v>
      </c>
      <c r="C277" s="5" t="s">
        <v>21</v>
      </c>
      <c r="D277" s="14">
        <v>43451.594490740739</v>
      </c>
      <c r="E277" t="str">
        <f>"15416364356767281165"</f>
        <v>15416364356767281165</v>
      </c>
      <c r="F277" s="4" t="s">
        <v>22</v>
      </c>
      <c r="G277" s="13" t="s">
        <v>292</v>
      </c>
      <c r="H277" t="str">
        <f>"8827181108072005"</f>
        <v>8827181108072005</v>
      </c>
      <c r="I277" s="15">
        <v>1752000</v>
      </c>
      <c r="J277" s="4"/>
      <c r="K277" s="10">
        <v>3900</v>
      </c>
      <c r="L277" s="11">
        <f t="shared" si="4"/>
        <v>1748100</v>
      </c>
      <c r="M277" s="6"/>
      <c r="N277" s="13" t="str">
        <f>"212766"</f>
        <v>212766</v>
      </c>
    </row>
    <row r="278" spans="1:14" ht="15">
      <c r="A278" s="9">
        <v>271</v>
      </c>
      <c r="B278" s="4" t="s">
        <v>20</v>
      </c>
      <c r="C278" s="5" t="s">
        <v>21</v>
      </c>
      <c r="D278" s="14">
        <v>43451.593275462961</v>
      </c>
      <c r="E278" t="str">
        <f>"15412412920199755111"</f>
        <v>15412412920199755111</v>
      </c>
      <c r="F278" s="4" t="s">
        <v>22</v>
      </c>
      <c r="G278" s="13" t="s">
        <v>293</v>
      </c>
      <c r="H278" t="str">
        <f>"8827181103173405"</f>
        <v>8827181103173405</v>
      </c>
      <c r="I278" s="15">
        <v>1752000</v>
      </c>
      <c r="J278" s="4"/>
      <c r="K278" s="10">
        <v>3900</v>
      </c>
      <c r="L278" s="11">
        <f t="shared" si="4"/>
        <v>1748100</v>
      </c>
      <c r="M278" s="6"/>
      <c r="N278" s="13" t="str">
        <f>"183290"</f>
        <v>183290</v>
      </c>
    </row>
    <row r="279" spans="1:14" ht="15">
      <c r="A279" s="9">
        <v>272</v>
      </c>
      <c r="B279" s="4" t="s">
        <v>20</v>
      </c>
      <c r="C279" s="5" t="s">
        <v>21</v>
      </c>
      <c r="D279" s="14">
        <v>43451.592210648145</v>
      </c>
      <c r="E279" t="str">
        <f>"15409905474871234271"</f>
        <v>15409905474871234271</v>
      </c>
      <c r="F279" s="4" t="s">
        <v>22</v>
      </c>
      <c r="G279" s="13" t="s">
        <v>294</v>
      </c>
      <c r="H279" t="str">
        <f>"8827181031195504"</f>
        <v>8827181031195504</v>
      </c>
      <c r="I279" s="15">
        <v>1588500</v>
      </c>
      <c r="J279" s="4"/>
      <c r="K279" s="10">
        <v>3900</v>
      </c>
      <c r="L279" s="11">
        <f t="shared" si="4"/>
        <v>1584600</v>
      </c>
      <c r="M279" s="6"/>
      <c r="N279" s="13" t="str">
        <f>"157544"</f>
        <v>157544</v>
      </c>
    </row>
    <row r="280" spans="1:14" ht="15">
      <c r="A280" s="9">
        <v>273</v>
      </c>
      <c r="B280" s="4" t="s">
        <v>20</v>
      </c>
      <c r="C280" s="5" t="s">
        <v>21</v>
      </c>
      <c r="D280" s="14">
        <v>43451.591504629629</v>
      </c>
      <c r="E280" t="str">
        <f>"15413239733217641564"</f>
        <v>15413239733217641564</v>
      </c>
      <c r="F280" s="4" t="s">
        <v>22</v>
      </c>
      <c r="G280" s="13" t="s">
        <v>295</v>
      </c>
      <c r="H280" t="str">
        <f>"8827181104163208"</f>
        <v>8827181104163208</v>
      </c>
      <c r="I280" s="15">
        <v>1485000</v>
      </c>
      <c r="J280" s="4"/>
      <c r="K280" s="10">
        <v>3900</v>
      </c>
      <c r="L280" s="11">
        <f t="shared" si="4"/>
        <v>1481100</v>
      </c>
      <c r="M280" s="6"/>
      <c r="N280" s="13" t="str">
        <f>"140176"</f>
        <v>140176</v>
      </c>
    </row>
    <row r="281" spans="1:14" ht="15">
      <c r="A281" s="9">
        <v>274</v>
      </c>
      <c r="B281" s="4" t="s">
        <v>20</v>
      </c>
      <c r="C281" s="5" t="s">
        <v>21</v>
      </c>
      <c r="D281" s="14">
        <v>43451.590960648151</v>
      </c>
      <c r="E281" t="str">
        <f>"15414892098448436771"</f>
        <v>15414892098448436771</v>
      </c>
      <c r="F281" s="4" t="s">
        <v>22</v>
      </c>
      <c r="G281" s="13" t="s">
        <v>296</v>
      </c>
      <c r="H281" t="str">
        <f>"8827181106142606"</f>
        <v>8827181106142606</v>
      </c>
      <c r="I281" s="15">
        <v>1819500</v>
      </c>
      <c r="J281" s="4"/>
      <c r="K281" s="10">
        <v>3900</v>
      </c>
      <c r="L281" s="11">
        <f t="shared" si="4"/>
        <v>1815600</v>
      </c>
      <c r="M281" s="6"/>
      <c r="N281" s="13" t="str">
        <f>"127193"</f>
        <v>127193</v>
      </c>
    </row>
    <row r="282" spans="1:14" ht="15">
      <c r="A282" s="9">
        <v>275</v>
      </c>
      <c r="B282" s="4" t="s">
        <v>20</v>
      </c>
      <c r="C282" s="5" t="s">
        <v>21</v>
      </c>
      <c r="D282" s="14">
        <v>43451.59065972222</v>
      </c>
      <c r="E282" t="str">
        <f>"15436202490648103068"</f>
        <v>15436202490648103068</v>
      </c>
      <c r="F282" s="4" t="s">
        <v>22</v>
      </c>
      <c r="G282" s="13" t="s">
        <v>297</v>
      </c>
      <c r="H282" t="str">
        <f>"8827181201062401"</f>
        <v>8827181201062401</v>
      </c>
      <c r="I282" s="15">
        <v>882750</v>
      </c>
      <c r="J282" s="4"/>
      <c r="K282" s="10">
        <v>3900</v>
      </c>
      <c r="L282" s="11">
        <f t="shared" si="4"/>
        <v>878850</v>
      </c>
      <c r="M282" s="6"/>
      <c r="N282" s="13" t="str">
        <f>"119771"</f>
        <v>119771</v>
      </c>
    </row>
    <row r="283" spans="1:14" ht="15">
      <c r="A283" s="9">
        <v>276</v>
      </c>
      <c r="B283" s="4" t="s">
        <v>20</v>
      </c>
      <c r="C283" s="5" t="s">
        <v>21</v>
      </c>
      <c r="D283" s="14">
        <v>43451.590497685182</v>
      </c>
      <c r="E283" t="str">
        <f>"15410479681356751638"</f>
        <v>15410479681356751638</v>
      </c>
      <c r="F283" s="4" t="s">
        <v>22</v>
      </c>
      <c r="G283" s="13" t="s">
        <v>298</v>
      </c>
      <c r="H283" t="str">
        <f>"8827181101115208"</f>
        <v>8827181101115208</v>
      </c>
      <c r="I283" s="15">
        <v>1537200</v>
      </c>
      <c r="J283" s="4"/>
      <c r="K283" s="10">
        <v>3900</v>
      </c>
      <c r="L283" s="11">
        <f t="shared" si="4"/>
        <v>1533300</v>
      </c>
      <c r="M283" s="6"/>
      <c r="N283" s="13" t="str">
        <f>"116050"</f>
        <v>116050</v>
      </c>
    </row>
    <row r="284" spans="1:14" ht="15">
      <c r="A284" s="9">
        <v>277</v>
      </c>
      <c r="B284" s="4" t="s">
        <v>20</v>
      </c>
      <c r="C284" s="5" t="s">
        <v>21</v>
      </c>
      <c r="D284" s="14">
        <v>43451.589444444442</v>
      </c>
      <c r="E284" t="str">
        <f>"15412376612787380712"</f>
        <v>15412376612787380712</v>
      </c>
      <c r="F284" s="4" t="s">
        <v>22</v>
      </c>
      <c r="G284" s="13" t="s">
        <v>299</v>
      </c>
      <c r="H284" t="str">
        <f>"8827181103163401"</f>
        <v>8827181103163401</v>
      </c>
      <c r="I284" s="15">
        <v>1561650</v>
      </c>
      <c r="J284" s="4"/>
      <c r="K284" s="10">
        <v>3900</v>
      </c>
      <c r="L284" s="11">
        <f t="shared" si="4"/>
        <v>1557750</v>
      </c>
      <c r="M284" s="6"/>
      <c r="N284" s="13" t="str">
        <f>"091291"</f>
        <v>091291</v>
      </c>
    </row>
    <row r="285" spans="1:14" ht="15">
      <c r="A285" s="9">
        <v>278</v>
      </c>
      <c r="B285" s="4" t="s">
        <v>20</v>
      </c>
      <c r="C285" s="5" t="s">
        <v>21</v>
      </c>
      <c r="D285" s="14">
        <v>43451.588784722226</v>
      </c>
      <c r="E285" t="str">
        <f>"15431507969354733895"</f>
        <v>15431507969354733895</v>
      </c>
      <c r="F285" s="4" t="s">
        <v>22</v>
      </c>
      <c r="G285" s="13" t="s">
        <v>300</v>
      </c>
      <c r="H285" t="str">
        <f>"8827181125195901"</f>
        <v>8827181125195901</v>
      </c>
      <c r="I285" s="15">
        <v>594000</v>
      </c>
      <c r="J285" s="4"/>
      <c r="K285" s="10">
        <v>3900</v>
      </c>
      <c r="L285" s="11">
        <f t="shared" si="4"/>
        <v>590100</v>
      </c>
      <c r="M285" s="6"/>
      <c r="N285" s="13" t="str">
        <f>"076201"</f>
        <v>076201</v>
      </c>
    </row>
    <row r="286" spans="1:14" ht="15">
      <c r="A286" s="9">
        <v>279</v>
      </c>
      <c r="B286" s="4" t="s">
        <v>20</v>
      </c>
      <c r="C286" s="5" t="s">
        <v>21</v>
      </c>
      <c r="D286" s="14">
        <v>43451.587511574071</v>
      </c>
      <c r="E286" t="str">
        <f>"15417516300892722320"</f>
        <v>15417516300892722320</v>
      </c>
      <c r="F286" s="4" t="s">
        <v>22</v>
      </c>
      <c r="G286" s="13" t="s">
        <v>301</v>
      </c>
      <c r="H286" t="str">
        <f>"8827181109152003"</f>
        <v>8827181109152003</v>
      </c>
      <c r="I286" s="15">
        <v>1740000</v>
      </c>
      <c r="J286" s="4"/>
      <c r="K286" s="10">
        <v>3900</v>
      </c>
      <c r="L286" s="11">
        <f t="shared" si="4"/>
        <v>1736100</v>
      </c>
      <c r="M286" s="6"/>
      <c r="N286" s="13" t="str">
        <f>"046002"</f>
        <v>046002</v>
      </c>
    </row>
    <row r="287" spans="1:14" ht="15">
      <c r="A287" s="9">
        <v>280</v>
      </c>
      <c r="B287" s="4" t="s">
        <v>20</v>
      </c>
      <c r="C287" s="5" t="s">
        <v>21</v>
      </c>
      <c r="D287" s="14">
        <v>43451.586435185185</v>
      </c>
      <c r="E287" t="str">
        <f>"15418312657435841631"</f>
        <v>15418312657435841631</v>
      </c>
      <c r="F287" s="4" t="s">
        <v>22</v>
      </c>
      <c r="G287" s="13" t="s">
        <v>302</v>
      </c>
      <c r="H287" t="str">
        <f>"8827181110132706"</f>
        <v>8827181110132706</v>
      </c>
      <c r="I287" s="15">
        <v>1740000</v>
      </c>
      <c r="J287" s="4"/>
      <c r="K287" s="10">
        <v>3900</v>
      </c>
      <c r="L287" s="11">
        <f t="shared" si="4"/>
        <v>1736100</v>
      </c>
      <c r="M287" s="6"/>
      <c r="N287" s="13" t="str">
        <f>"020502"</f>
        <v>020502</v>
      </c>
    </row>
    <row r="288" spans="1:14" ht="15">
      <c r="A288" s="9">
        <v>281</v>
      </c>
      <c r="B288" s="4" t="s">
        <v>20</v>
      </c>
      <c r="C288" s="5" t="s">
        <v>21</v>
      </c>
      <c r="D288" s="14">
        <v>43451.583113425928</v>
      </c>
      <c r="E288" t="str">
        <f>"15415852742631425105"</f>
        <v>15415852742631425105</v>
      </c>
      <c r="F288" s="4" t="s">
        <v>22</v>
      </c>
      <c r="G288" s="13" t="s">
        <v>303</v>
      </c>
      <c r="H288" t="str">
        <f>"8827181107170708"</f>
        <v>8827181107170708</v>
      </c>
      <c r="I288" s="15">
        <v>1460000</v>
      </c>
      <c r="J288" s="4"/>
      <c r="K288" s="10">
        <v>3900</v>
      </c>
      <c r="L288" s="11">
        <f t="shared" si="4"/>
        <v>1456100</v>
      </c>
      <c r="M288" s="6"/>
      <c r="N288" s="13" t="str">
        <f>"743492"</f>
        <v>743492</v>
      </c>
    </row>
    <row r="289" spans="1:14" ht="15">
      <c r="A289" s="9">
        <v>282</v>
      </c>
      <c r="B289" s="4" t="s">
        <v>20</v>
      </c>
      <c r="C289" s="5" t="s">
        <v>21</v>
      </c>
      <c r="D289" s="14">
        <v>43451.582569444443</v>
      </c>
      <c r="E289" t="str">
        <f>"15432544877907303432"</f>
        <v>15432544877907303432</v>
      </c>
      <c r="F289" s="4" t="s">
        <v>22</v>
      </c>
      <c r="G289" s="13" t="s">
        <v>304</v>
      </c>
      <c r="H289" t="str">
        <f>"8827181127004801"</f>
        <v>8827181127004801</v>
      </c>
      <c r="I289" s="15">
        <v>1153000</v>
      </c>
      <c r="J289" s="4"/>
      <c r="K289" s="10">
        <v>3900</v>
      </c>
      <c r="L289" s="11">
        <f t="shared" si="4"/>
        <v>1149100</v>
      </c>
      <c r="M289" s="6"/>
      <c r="N289" s="13" t="str">
        <f>"732141"</f>
        <v>732141</v>
      </c>
    </row>
    <row r="290" spans="1:14" ht="15">
      <c r="A290" s="9">
        <v>283</v>
      </c>
      <c r="B290" s="4" t="s">
        <v>20</v>
      </c>
      <c r="C290" s="5" t="s">
        <v>21</v>
      </c>
      <c r="D290" s="14">
        <v>43451.58116898148</v>
      </c>
      <c r="E290" t="str">
        <f>"15413343174511291109"</f>
        <v>15413343174511291109</v>
      </c>
      <c r="F290" s="4" t="s">
        <v>22</v>
      </c>
      <c r="G290" s="13" t="s">
        <v>305</v>
      </c>
      <c r="H290" t="str">
        <f>"8827181104192501"</f>
        <v>8827181104192501</v>
      </c>
      <c r="I290" s="15">
        <v>1397500</v>
      </c>
      <c r="J290" s="4"/>
      <c r="K290" s="10">
        <v>3900</v>
      </c>
      <c r="L290" s="11">
        <f t="shared" si="4"/>
        <v>1393600</v>
      </c>
      <c r="M290" s="6"/>
      <c r="N290" s="13" t="str">
        <f>"933283"</f>
        <v>933283</v>
      </c>
    </row>
    <row r="291" spans="1:14" ht="15">
      <c r="A291" s="9">
        <v>284</v>
      </c>
      <c r="B291" s="4" t="s">
        <v>20</v>
      </c>
      <c r="C291" s="5" t="s">
        <v>21</v>
      </c>
      <c r="D291" s="14">
        <v>43451.579421296294</v>
      </c>
      <c r="E291" t="str">
        <f>"15409031225807594840"</f>
        <v>15409031225807594840</v>
      </c>
      <c r="F291" s="4" t="s">
        <v>22</v>
      </c>
      <c r="G291" s="13" t="s">
        <v>306</v>
      </c>
      <c r="H291" t="str">
        <f>"8827181030193802"</f>
        <v>8827181030193802</v>
      </c>
      <c r="I291" s="15">
        <v>1355000</v>
      </c>
      <c r="J291" s="4"/>
      <c r="K291" s="10">
        <v>3900</v>
      </c>
      <c r="L291" s="11">
        <f t="shared" si="4"/>
        <v>1351100</v>
      </c>
      <c r="M291" s="6"/>
      <c r="N291" s="13" t="str">
        <f>"662865"</f>
        <v>662865</v>
      </c>
    </row>
    <row r="292" spans="1:14" ht="15">
      <c r="A292" s="9">
        <v>285</v>
      </c>
      <c r="B292" s="4" t="s">
        <v>20</v>
      </c>
      <c r="C292" s="5" t="s">
        <v>21</v>
      </c>
      <c r="D292" s="14">
        <v>43451.575937499998</v>
      </c>
      <c r="E292" t="str">
        <f>"15411316199111109443"</f>
        <v>15411316199111109443</v>
      </c>
      <c r="F292" s="4" t="s">
        <v>22</v>
      </c>
      <c r="G292" s="13" t="s">
        <v>307</v>
      </c>
      <c r="H292" t="str">
        <f>"8827181102110701"</f>
        <v>8827181102110701</v>
      </c>
      <c r="I292" s="15">
        <v>1645500</v>
      </c>
      <c r="J292" s="4"/>
      <c r="K292" s="10">
        <v>3900</v>
      </c>
      <c r="L292" s="11">
        <f t="shared" si="4"/>
        <v>1641600</v>
      </c>
      <c r="M292" s="6"/>
      <c r="N292" s="13" t="str">
        <f>"571437"</f>
        <v>571437</v>
      </c>
    </row>
    <row r="293" spans="1:14" ht="15">
      <c r="A293" s="9">
        <v>286</v>
      </c>
      <c r="B293" s="4" t="s">
        <v>20</v>
      </c>
      <c r="C293" s="5" t="s">
        <v>21</v>
      </c>
      <c r="D293" s="14">
        <v>43451.574780092589</v>
      </c>
      <c r="E293" t="str">
        <f>"15414861740005275255"</f>
        <v>15414861740005275255</v>
      </c>
      <c r="F293" s="4" t="s">
        <v>22</v>
      </c>
      <c r="G293" s="13" t="s">
        <v>308</v>
      </c>
      <c r="H293" t="str">
        <f>"8827181106133604"</f>
        <v>8827181106133604</v>
      </c>
      <c r="I293" s="15">
        <v>896000</v>
      </c>
      <c r="J293" s="4"/>
      <c r="K293" s="10">
        <v>3900</v>
      </c>
      <c r="L293" s="11">
        <f t="shared" si="4"/>
        <v>892100</v>
      </c>
      <c r="M293" s="6"/>
      <c r="N293" s="13" t="str">
        <f>"543312"</f>
        <v>543312</v>
      </c>
    </row>
    <row r="294" spans="1:14" ht="15">
      <c r="A294" s="9">
        <v>287</v>
      </c>
      <c r="B294" s="4" t="s">
        <v>20</v>
      </c>
      <c r="C294" s="5" t="s">
        <v>21</v>
      </c>
      <c r="D294" s="14">
        <v>43451.574421296296</v>
      </c>
      <c r="E294" t="str">
        <f>"15412268987851256758"</f>
        <v>15412268987851256758</v>
      </c>
      <c r="F294" s="4" t="s">
        <v>22</v>
      </c>
      <c r="G294" s="13" t="s">
        <v>309</v>
      </c>
      <c r="H294" t="str">
        <f>"8827181103133407"</f>
        <v>8827181103133407</v>
      </c>
      <c r="I294" s="15">
        <v>1776000</v>
      </c>
      <c r="J294" s="4"/>
      <c r="K294" s="10">
        <v>3900</v>
      </c>
      <c r="L294" s="11">
        <f t="shared" si="4"/>
        <v>1772100</v>
      </c>
      <c r="M294" s="6"/>
      <c r="N294" s="13" t="str">
        <f>"535525"</f>
        <v>535525</v>
      </c>
    </row>
    <row r="295" spans="1:14" ht="15">
      <c r="A295" s="9">
        <v>288</v>
      </c>
      <c r="B295" s="4" t="s">
        <v>20</v>
      </c>
      <c r="C295" s="5" t="s">
        <v>21</v>
      </c>
      <c r="D295" s="14">
        <v>43451.571238425924</v>
      </c>
      <c r="E295" t="str">
        <f>"15418339165085563890"</f>
        <v>15418339165085563890</v>
      </c>
      <c r="F295" s="4" t="s">
        <v>22</v>
      </c>
      <c r="G295" s="13" t="s">
        <v>310</v>
      </c>
      <c r="H295" t="str">
        <f>"8827181110141106"</f>
        <v>8827181110141106</v>
      </c>
      <c r="I295" s="15">
        <v>1692000</v>
      </c>
      <c r="J295" s="4"/>
      <c r="K295" s="10">
        <v>3900</v>
      </c>
      <c r="L295" s="11">
        <f t="shared" si="4"/>
        <v>1688100</v>
      </c>
      <c r="M295" s="6"/>
      <c r="N295" s="13" t="str">
        <f>"466405"</f>
        <v>466405</v>
      </c>
    </row>
    <row r="296" spans="1:14" ht="15">
      <c r="A296" s="9">
        <v>289</v>
      </c>
      <c r="B296" s="4" t="s">
        <v>20</v>
      </c>
      <c r="C296" s="5" t="s">
        <v>21</v>
      </c>
      <c r="D296" s="14">
        <v>43451.570740740739</v>
      </c>
      <c r="E296" t="str">
        <f>"15415856321647729756"</f>
        <v>15415856321647729756</v>
      </c>
      <c r="F296" s="4" t="s">
        <v>22</v>
      </c>
      <c r="G296" s="13" t="s">
        <v>311</v>
      </c>
      <c r="H296" t="str">
        <f>"8827181107171306"</f>
        <v>8827181107171306</v>
      </c>
      <c r="I296" s="15">
        <v>1350800</v>
      </c>
      <c r="J296" s="4"/>
      <c r="K296" s="10">
        <v>3900</v>
      </c>
      <c r="L296" s="11">
        <f t="shared" si="4"/>
        <v>1346900</v>
      </c>
      <c r="M296" s="6"/>
      <c r="N296" s="13" t="str">
        <f>"456018"</f>
        <v>456018</v>
      </c>
    </row>
    <row r="297" spans="1:14" ht="15">
      <c r="A297" s="9">
        <v>290</v>
      </c>
      <c r="B297" s="4" t="s">
        <v>20</v>
      </c>
      <c r="C297" s="5" t="s">
        <v>21</v>
      </c>
      <c r="D297" s="14">
        <v>43451.564629629633</v>
      </c>
      <c r="E297" t="str">
        <f>"15414007176517043178"</f>
        <v>15414007176517043178</v>
      </c>
      <c r="F297" s="4" t="s">
        <v>22</v>
      </c>
      <c r="G297" s="13" t="s">
        <v>312</v>
      </c>
      <c r="H297" t="str">
        <f>"8827181105135109"</f>
        <v>8827181105135109</v>
      </c>
      <c r="I297" s="15">
        <v>816000</v>
      </c>
      <c r="J297" s="4"/>
      <c r="K297" s="10">
        <v>3900</v>
      </c>
      <c r="L297" s="11">
        <f t="shared" si="4"/>
        <v>812100</v>
      </c>
      <c r="M297" s="6"/>
      <c r="N297" s="13" t="str">
        <f>"317867"</f>
        <v>317867</v>
      </c>
    </row>
    <row r="298" spans="1:14" ht="15">
      <c r="A298" s="9">
        <v>291</v>
      </c>
      <c r="B298" s="4" t="s">
        <v>20</v>
      </c>
      <c r="C298" s="5" t="s">
        <v>21</v>
      </c>
      <c r="D298" s="14">
        <v>43451.563831018517</v>
      </c>
      <c r="E298" t="str">
        <f>"15410642316949523488"</f>
        <v>15410642316949523488</v>
      </c>
      <c r="F298" s="4" t="s">
        <v>22</v>
      </c>
      <c r="G298" s="13" t="s">
        <v>313</v>
      </c>
      <c r="H298" t="str">
        <f>"8827181101162306"</f>
        <v>8827181101162306</v>
      </c>
      <c r="I298" s="15">
        <v>1392000</v>
      </c>
      <c r="J298" s="4"/>
      <c r="K298" s="10">
        <v>3900</v>
      </c>
      <c r="L298" s="11">
        <f t="shared" si="4"/>
        <v>1388100</v>
      </c>
      <c r="M298" s="6"/>
      <c r="N298" s="13" t="str">
        <f>"301007"</f>
        <v>301007</v>
      </c>
    </row>
    <row r="299" spans="1:14" ht="15">
      <c r="A299" s="9">
        <v>292</v>
      </c>
      <c r="B299" s="4" t="s">
        <v>20</v>
      </c>
      <c r="C299" s="5" t="s">
        <v>21</v>
      </c>
      <c r="D299" s="14">
        <v>43451.561574074076</v>
      </c>
      <c r="E299" t="str">
        <f>"15417555812292438033"</f>
        <v>15417555812292438033</v>
      </c>
      <c r="F299" s="4" t="s">
        <v>22</v>
      </c>
      <c r="G299" s="13" t="s">
        <v>314</v>
      </c>
      <c r="H299" t="str">
        <f>"8827181109162603"</f>
        <v>8827181109162603</v>
      </c>
      <c r="I299" s="15">
        <v>1401600</v>
      </c>
      <c r="J299" s="4"/>
      <c r="K299" s="10">
        <v>3900</v>
      </c>
      <c r="L299" s="11">
        <f t="shared" si="4"/>
        <v>1397700</v>
      </c>
      <c r="M299" s="6"/>
      <c r="N299" s="13" t="str">
        <f>"249170"</f>
        <v>249170</v>
      </c>
    </row>
    <row r="300" spans="1:14" ht="15">
      <c r="A300" s="9">
        <v>293</v>
      </c>
      <c r="B300" s="4" t="s">
        <v>20</v>
      </c>
      <c r="C300" s="5" t="s">
        <v>21</v>
      </c>
      <c r="D300" s="14">
        <v>43451.557835648149</v>
      </c>
      <c r="E300" t="str">
        <f>"15417453903703991347"</f>
        <v>15417453903703991347</v>
      </c>
      <c r="F300" s="4" t="s">
        <v>22</v>
      </c>
      <c r="G300" s="13" t="s">
        <v>315</v>
      </c>
      <c r="H300" t="str">
        <f>"8827181109133603"</f>
        <v>8827181109133603</v>
      </c>
      <c r="I300" s="15">
        <v>1947000</v>
      </c>
      <c r="J300" s="4"/>
      <c r="K300" s="10">
        <v>3900</v>
      </c>
      <c r="L300" s="11">
        <f t="shared" si="4"/>
        <v>1943100</v>
      </c>
      <c r="M300" s="6"/>
      <c r="N300" s="13" t="str">
        <f>"155671"</f>
        <v>155671</v>
      </c>
    </row>
    <row r="301" spans="1:14" ht="15">
      <c r="A301" s="9">
        <v>294</v>
      </c>
      <c r="B301" s="4" t="s">
        <v>20</v>
      </c>
      <c r="C301" s="5" t="s">
        <v>21</v>
      </c>
      <c r="D301" s="14">
        <v>43451.556770833333</v>
      </c>
      <c r="E301" t="str">
        <f>"15415454677707617973"</f>
        <v>15415454677707617973</v>
      </c>
      <c r="F301" s="4" t="s">
        <v>22</v>
      </c>
      <c r="G301" s="13" t="s">
        <v>316</v>
      </c>
      <c r="H301" t="str">
        <f>"8827181107060401"</f>
        <v>8827181107060401</v>
      </c>
      <c r="I301" s="15">
        <v>1752000</v>
      </c>
      <c r="J301" s="4"/>
      <c r="K301" s="10">
        <v>3900</v>
      </c>
      <c r="L301" s="11">
        <f t="shared" si="4"/>
        <v>1748100</v>
      </c>
      <c r="M301" s="6"/>
      <c r="N301" s="13" t="str">
        <f>"124980"</f>
        <v>124980</v>
      </c>
    </row>
    <row r="302" spans="1:14" ht="15">
      <c r="A302" s="9">
        <v>295</v>
      </c>
      <c r="B302" s="4" t="s">
        <v>20</v>
      </c>
      <c r="C302" s="5" t="s">
        <v>21</v>
      </c>
      <c r="D302" s="14">
        <v>43451.555150462962</v>
      </c>
      <c r="E302" t="str">
        <f>"15423548778002029653"</f>
        <v>15423548778002029653</v>
      </c>
      <c r="F302" s="4" t="s">
        <v>22</v>
      </c>
      <c r="G302" s="13" t="s">
        <v>317</v>
      </c>
      <c r="H302" t="str">
        <f>"8827181116145402"</f>
        <v>8827181116145402</v>
      </c>
      <c r="I302" s="15">
        <v>1413600</v>
      </c>
      <c r="J302" s="4"/>
      <c r="K302" s="10">
        <v>3900</v>
      </c>
      <c r="L302" s="11">
        <f t="shared" si="4"/>
        <v>1409700</v>
      </c>
      <c r="M302" s="6"/>
      <c r="N302" s="13" t="str">
        <f>"084563"</f>
        <v>084563</v>
      </c>
    </row>
    <row r="303" spans="1:14" ht="15">
      <c r="A303" s="9">
        <v>296</v>
      </c>
      <c r="B303" s="4" t="s">
        <v>20</v>
      </c>
      <c r="C303" s="5" t="s">
        <v>21</v>
      </c>
      <c r="D303" s="14">
        <v>43451.552523148152</v>
      </c>
      <c r="E303" t="str">
        <f>"15414240191373221494"</f>
        <v>15414240191373221494</v>
      </c>
      <c r="F303" s="4" t="s">
        <v>22</v>
      </c>
      <c r="G303" s="13" t="s">
        <v>318</v>
      </c>
      <c r="H303" t="str">
        <f>"8827181105202001"</f>
        <v>8827181105202001</v>
      </c>
      <c r="I303" s="15">
        <v>27000</v>
      </c>
      <c r="J303" s="4"/>
      <c r="K303" s="10">
        <v>3900</v>
      </c>
      <c r="L303" s="11">
        <f t="shared" si="4"/>
        <v>23100</v>
      </c>
      <c r="M303" s="6"/>
      <c r="N303" s="13" t="str">
        <f>"911270"</f>
        <v>911270</v>
      </c>
    </row>
    <row r="304" spans="1:14" ht="15">
      <c r="A304" s="9">
        <v>297</v>
      </c>
      <c r="B304" s="4" t="s">
        <v>20</v>
      </c>
      <c r="C304" s="5" t="s">
        <v>21</v>
      </c>
      <c r="D304" s="14">
        <v>43451.552337962959</v>
      </c>
      <c r="E304" t="str">
        <f>"15418350665748573278"</f>
        <v>15418350665748573278</v>
      </c>
      <c r="F304" s="4" t="s">
        <v>22</v>
      </c>
      <c r="G304" s="13" t="s">
        <v>319</v>
      </c>
      <c r="H304" t="str">
        <f>"8827181110143102"</f>
        <v>8827181110143102</v>
      </c>
      <c r="I304" s="15">
        <v>1021000</v>
      </c>
      <c r="J304" s="4"/>
      <c r="K304" s="10">
        <v>3900</v>
      </c>
      <c r="L304" s="11">
        <f t="shared" si="4"/>
        <v>1017100</v>
      </c>
      <c r="M304" s="6"/>
      <c r="N304" s="13" t="str">
        <f>"015123"</f>
        <v>015123</v>
      </c>
    </row>
    <row r="305" spans="1:14" ht="15">
      <c r="A305" s="9">
        <v>298</v>
      </c>
      <c r="B305" s="4" t="s">
        <v>20</v>
      </c>
      <c r="C305" s="5" t="s">
        <v>21</v>
      </c>
      <c r="D305" s="14">
        <v>43451.552025462966</v>
      </c>
      <c r="E305" t="str">
        <f>"15414695049599956878"</f>
        <v>15414695049599956878</v>
      </c>
      <c r="F305" s="4" t="s">
        <v>22</v>
      </c>
      <c r="G305" s="13" t="s">
        <v>320</v>
      </c>
      <c r="H305" t="str">
        <f>"8827181106085805"</f>
        <v>8827181106085805</v>
      </c>
      <c r="I305" s="15">
        <v>1767000</v>
      </c>
      <c r="J305" s="4"/>
      <c r="K305" s="10">
        <v>3900</v>
      </c>
      <c r="L305" s="11">
        <f t="shared" si="4"/>
        <v>1763100</v>
      </c>
      <c r="M305" s="6"/>
      <c r="N305" s="13" t="str">
        <f>"007513"</f>
        <v>007513</v>
      </c>
    </row>
    <row r="306" spans="1:14" ht="15">
      <c r="A306" s="9">
        <v>299</v>
      </c>
      <c r="B306" s="4" t="s">
        <v>20</v>
      </c>
      <c r="C306" s="5" t="s">
        <v>21</v>
      </c>
      <c r="D306" s="14">
        <v>43451.551446759258</v>
      </c>
      <c r="E306" t="str">
        <f>"15415046041527165263"</f>
        <v>15415046041527165263</v>
      </c>
      <c r="F306" s="4" t="s">
        <v>22</v>
      </c>
      <c r="G306" s="13" t="s">
        <v>321</v>
      </c>
      <c r="H306" t="str">
        <f>"8827181106184302"</f>
        <v>8827181106184302</v>
      </c>
      <c r="I306" s="15">
        <v>1284800</v>
      </c>
      <c r="J306" s="4"/>
      <c r="K306" s="10">
        <v>3900</v>
      </c>
      <c r="L306" s="11">
        <f t="shared" si="4"/>
        <v>1280900</v>
      </c>
      <c r="M306" s="6"/>
      <c r="N306" s="13" t="str">
        <f>"793045"</f>
        <v>793045</v>
      </c>
    </row>
    <row r="307" spans="1:14" ht="15">
      <c r="A307" s="9">
        <v>300</v>
      </c>
      <c r="B307" s="4" t="s">
        <v>20</v>
      </c>
      <c r="C307" s="5" t="s">
        <v>21</v>
      </c>
      <c r="D307" s="14">
        <v>43451.54855324074</v>
      </c>
      <c r="E307" t="str">
        <f>"15411973604107016314"</f>
        <v>15411973604107016314</v>
      </c>
      <c r="F307" s="4" t="s">
        <v>22</v>
      </c>
      <c r="G307" s="13" t="s">
        <v>322</v>
      </c>
      <c r="H307" t="str">
        <f>"8827181103052202"</f>
        <v>8827181103052202</v>
      </c>
      <c r="I307" s="15">
        <v>1651500</v>
      </c>
      <c r="J307" s="4"/>
      <c r="K307" s="10">
        <v>3900</v>
      </c>
      <c r="L307" s="11">
        <f t="shared" si="4"/>
        <v>1647600</v>
      </c>
      <c r="M307" s="6"/>
      <c r="N307" s="13" t="str">
        <f>"722353"</f>
        <v>722353</v>
      </c>
    </row>
    <row r="308" spans="1:14" ht="15">
      <c r="A308" s="9">
        <v>301</v>
      </c>
      <c r="B308" s="4" t="s">
        <v>20</v>
      </c>
      <c r="C308" s="5" t="s">
        <v>21</v>
      </c>
      <c r="D308" s="14">
        <v>43451.545960648145</v>
      </c>
      <c r="E308" t="str">
        <f>"15413927159229872408"</f>
        <v>15413927159229872408</v>
      </c>
      <c r="F308" s="4" t="s">
        <v>22</v>
      </c>
      <c r="G308" s="13" t="s">
        <v>323</v>
      </c>
      <c r="H308" t="str">
        <f>"8827181105113803"</f>
        <v>8827181105113803</v>
      </c>
      <c r="I308" s="15">
        <v>1812000</v>
      </c>
      <c r="J308" s="4"/>
      <c r="K308" s="10">
        <v>3900</v>
      </c>
      <c r="L308" s="11">
        <f t="shared" si="4"/>
        <v>1808100</v>
      </c>
      <c r="M308" s="6"/>
      <c r="N308" s="13" t="str">
        <f>"906044"</f>
        <v>906044</v>
      </c>
    </row>
    <row r="309" spans="1:14" ht="15">
      <c r="A309" s="9">
        <v>302</v>
      </c>
      <c r="B309" s="4" t="s">
        <v>20</v>
      </c>
      <c r="C309" s="5" t="s">
        <v>21</v>
      </c>
      <c r="D309" s="14">
        <v>43451.545324074075</v>
      </c>
      <c r="E309" t="str">
        <f>"15414240191373221494"</f>
        <v>15414240191373221494</v>
      </c>
      <c r="F309" s="4" t="s">
        <v>22</v>
      </c>
      <c r="G309" s="13" t="s">
        <v>318</v>
      </c>
      <c r="H309" t="str">
        <f>"8827181105202001"</f>
        <v>8827181105202001</v>
      </c>
      <c r="I309" s="15">
        <v>1725000</v>
      </c>
      <c r="J309" s="4"/>
      <c r="K309" s="10">
        <v>3900</v>
      </c>
      <c r="L309" s="11">
        <f t="shared" si="4"/>
        <v>1721100</v>
      </c>
      <c r="M309" s="6"/>
      <c r="N309" s="13" t="str">
        <f>"905560"</f>
        <v>905560</v>
      </c>
    </row>
    <row r="310" spans="1:14" ht="15">
      <c r="A310" s="9">
        <v>303</v>
      </c>
      <c r="B310" s="4" t="s">
        <v>20</v>
      </c>
      <c r="C310" s="5" t="s">
        <v>21</v>
      </c>
      <c r="D310" s="14">
        <v>43451.543969907405</v>
      </c>
      <c r="E310" t="str">
        <f>"15409787619495677659"</f>
        <v>15409787619495677659</v>
      </c>
      <c r="F310" s="4" t="s">
        <v>22</v>
      </c>
      <c r="G310" s="13" t="s">
        <v>324</v>
      </c>
      <c r="H310" t="str">
        <f>"8827181031163901"</f>
        <v>8827181031163901</v>
      </c>
      <c r="I310" s="15">
        <v>1527400</v>
      </c>
      <c r="J310" s="4"/>
      <c r="K310" s="10">
        <v>3900</v>
      </c>
      <c r="L310" s="11">
        <f t="shared" si="4"/>
        <v>1523500</v>
      </c>
      <c r="M310" s="6"/>
      <c r="N310" s="13" t="str">
        <f>"614389"</f>
        <v>614389</v>
      </c>
    </row>
    <row r="311" spans="1:14" ht="15">
      <c r="A311" s="9">
        <v>304</v>
      </c>
      <c r="B311" s="4" t="s">
        <v>20</v>
      </c>
      <c r="C311" s="5" t="s">
        <v>21</v>
      </c>
      <c r="D311" s="14">
        <v>43451.543657407405</v>
      </c>
      <c r="E311" t="str">
        <f>"15439156425346114490"</f>
        <v>15439156425346114490</v>
      </c>
      <c r="F311" s="4" t="s">
        <v>22</v>
      </c>
      <c r="G311" s="13" t="s">
        <v>325</v>
      </c>
      <c r="H311" t="str">
        <f>"8827181204162701"</f>
        <v>8827181204162701</v>
      </c>
      <c r="I311" s="15">
        <v>1263700</v>
      </c>
      <c r="J311" s="4"/>
      <c r="K311" s="10">
        <v>3900</v>
      </c>
      <c r="L311" s="11">
        <f t="shared" si="4"/>
        <v>1259800</v>
      </c>
      <c r="M311" s="6"/>
      <c r="N311" s="13" t="str">
        <f>"606999"</f>
        <v>606999</v>
      </c>
    </row>
    <row r="312" spans="1:14" ht="15">
      <c r="A312" s="9">
        <v>305</v>
      </c>
      <c r="B312" s="4" t="s">
        <v>20</v>
      </c>
      <c r="C312" s="5" t="s">
        <v>21</v>
      </c>
      <c r="D312" s="14">
        <v>43451.541377314818</v>
      </c>
      <c r="E312" t="str">
        <f>"15413927863524700668"</f>
        <v>15413927863524700668</v>
      </c>
      <c r="F312" s="4" t="s">
        <v>22</v>
      </c>
      <c r="G312" s="13" t="s">
        <v>326</v>
      </c>
      <c r="H312" t="str">
        <f>"8827181105113906"</f>
        <v>8827181105113906</v>
      </c>
      <c r="I312" s="15">
        <v>1740000</v>
      </c>
      <c r="J312" s="4"/>
      <c r="K312" s="10">
        <v>3900</v>
      </c>
      <c r="L312" s="11">
        <f t="shared" si="4"/>
        <v>1736100</v>
      </c>
      <c r="M312" s="6"/>
      <c r="N312" s="13" t="str">
        <f>"555981"</f>
        <v>555981</v>
      </c>
    </row>
    <row r="313" spans="1:14" ht="15">
      <c r="A313" s="9">
        <v>306</v>
      </c>
      <c r="B313" s="4" t="s">
        <v>20</v>
      </c>
      <c r="C313" s="5" t="s">
        <v>21</v>
      </c>
      <c r="D313" s="14">
        <v>43451.541018518517</v>
      </c>
      <c r="E313" t="str">
        <f>"15408748748245538657"</f>
        <v>15408748748245538657</v>
      </c>
      <c r="F313" s="4" t="s">
        <v>22</v>
      </c>
      <c r="G313" s="13" t="s">
        <v>327</v>
      </c>
      <c r="H313" t="str">
        <f>"8827181030114706"</f>
        <v>8827181030114706</v>
      </c>
      <c r="I313" s="15">
        <v>1588500</v>
      </c>
      <c r="J313" s="4"/>
      <c r="K313" s="10">
        <v>3900</v>
      </c>
      <c r="L313" s="11">
        <f t="shared" si="4"/>
        <v>1584600</v>
      </c>
      <c r="M313" s="6"/>
      <c r="N313" s="13" t="str">
        <f>"548798"</f>
        <v>548798</v>
      </c>
    </row>
    <row r="314" spans="1:14" ht="15">
      <c r="A314" s="9">
        <v>307</v>
      </c>
      <c r="B314" s="4" t="s">
        <v>20</v>
      </c>
      <c r="C314" s="5" t="s">
        <v>21</v>
      </c>
      <c r="D314" s="14">
        <v>43451.539259259262</v>
      </c>
      <c r="E314" t="str">
        <f>"15408902905684144696"</f>
        <v>15408902905684144696</v>
      </c>
      <c r="F314" s="4" t="s">
        <v>22</v>
      </c>
      <c r="G314" s="13" t="s">
        <v>328</v>
      </c>
      <c r="H314" t="str">
        <f>"8827181030160406"</f>
        <v>8827181030160406</v>
      </c>
      <c r="I314" s="15">
        <v>1194900</v>
      </c>
      <c r="J314" s="4"/>
      <c r="K314" s="10">
        <v>3900</v>
      </c>
      <c r="L314" s="11">
        <f t="shared" si="4"/>
        <v>1191000</v>
      </c>
      <c r="M314" s="6"/>
      <c r="N314" s="13" t="str">
        <f>"512467"</f>
        <v>512467</v>
      </c>
    </row>
    <row r="315" spans="1:14" ht="15">
      <c r="A315" s="9">
        <v>308</v>
      </c>
      <c r="B315" s="4" t="s">
        <v>20</v>
      </c>
      <c r="C315" s="5" t="s">
        <v>21</v>
      </c>
      <c r="D315" s="14">
        <v>43451.538090277776</v>
      </c>
      <c r="E315" t="str">
        <f>"15421678580237877012"</f>
        <v>15421678580237877012</v>
      </c>
      <c r="F315" s="4" t="s">
        <v>22</v>
      </c>
      <c r="G315" s="13" t="s">
        <v>329</v>
      </c>
      <c r="H315" t="str">
        <f>"8827181114105703"</f>
        <v>8827181114105703</v>
      </c>
      <c r="I315" s="15">
        <v>1401600</v>
      </c>
      <c r="J315" s="4"/>
      <c r="K315" s="10">
        <v>3900</v>
      </c>
      <c r="L315" s="11">
        <f t="shared" si="4"/>
        <v>1397700</v>
      </c>
      <c r="M315" s="6"/>
      <c r="N315" s="13" t="str">
        <f>"483555"</f>
        <v>483555</v>
      </c>
    </row>
    <row r="316" spans="1:14" ht="15">
      <c r="A316" s="9">
        <v>309</v>
      </c>
      <c r="B316" s="4" t="s">
        <v>20</v>
      </c>
      <c r="C316" s="5" t="s">
        <v>21</v>
      </c>
      <c r="D316" s="14">
        <v>43451.537962962961</v>
      </c>
      <c r="E316" t="str">
        <f>"15415623030885003422"</f>
        <v>15415623030885003422</v>
      </c>
      <c r="F316" s="4" t="s">
        <v>22</v>
      </c>
      <c r="G316" s="13" t="s">
        <v>330</v>
      </c>
      <c r="H316" t="str">
        <f>"8827181107104501"</f>
        <v>8827181107104501</v>
      </c>
      <c r="I316" s="15">
        <v>1752000</v>
      </c>
      <c r="J316" s="4"/>
      <c r="K316" s="10">
        <v>3900</v>
      </c>
      <c r="L316" s="11">
        <f t="shared" si="4"/>
        <v>1748100</v>
      </c>
      <c r="M316" s="6"/>
      <c r="N316" s="13" t="str">
        <f>"481137"</f>
        <v>481137</v>
      </c>
    </row>
    <row r="317" spans="1:14" ht="15">
      <c r="A317" s="9">
        <v>310</v>
      </c>
      <c r="B317" s="4" t="s">
        <v>20</v>
      </c>
      <c r="C317" s="5" t="s">
        <v>21</v>
      </c>
      <c r="D317" s="14">
        <v>43451.536099537036</v>
      </c>
      <c r="E317" t="str">
        <f>"15426269996207019983"</f>
        <v>15426269996207019983</v>
      </c>
      <c r="F317" s="4" t="s">
        <v>22</v>
      </c>
      <c r="G317" s="13" t="s">
        <v>331</v>
      </c>
      <c r="H317" t="str">
        <f>"8827181119182901"</f>
        <v>8827181119182901</v>
      </c>
      <c r="I317" s="15">
        <v>1605000</v>
      </c>
      <c r="J317" s="4"/>
      <c r="K317" s="10">
        <v>3900</v>
      </c>
      <c r="L317" s="11">
        <f t="shared" si="4"/>
        <v>1601100</v>
      </c>
      <c r="M317" s="6"/>
      <c r="N317" s="13" t="str">
        <f>"444788"</f>
        <v>444788</v>
      </c>
    </row>
    <row r="318" spans="1:14" ht="15">
      <c r="A318" s="9">
        <v>311</v>
      </c>
      <c r="B318" s="4" t="s">
        <v>20</v>
      </c>
      <c r="C318" s="5" t="s">
        <v>21</v>
      </c>
      <c r="D318" s="14">
        <v>43451.534560185188</v>
      </c>
      <c r="E318" t="str">
        <f>"15413746107258754697"</f>
        <v>15413746107258754697</v>
      </c>
      <c r="F318" s="4" t="s">
        <v>22</v>
      </c>
      <c r="G318" s="13" t="s">
        <v>332</v>
      </c>
      <c r="H318" t="str">
        <f>"8827181105063603"</f>
        <v>8827181105063603</v>
      </c>
      <c r="I318" s="15">
        <v>1752000</v>
      </c>
      <c r="J318" s="4"/>
      <c r="K318" s="10">
        <v>3900</v>
      </c>
      <c r="L318" s="11">
        <f t="shared" si="4"/>
        <v>1748100</v>
      </c>
      <c r="M318" s="6"/>
      <c r="N318" s="13" t="str">
        <f>"414917"</f>
        <v>414917</v>
      </c>
    </row>
    <row r="319" spans="1:14" ht="15">
      <c r="A319" s="9">
        <v>312</v>
      </c>
      <c r="B319" s="4" t="s">
        <v>20</v>
      </c>
      <c r="C319" s="5" t="s">
        <v>21</v>
      </c>
      <c r="D319" s="14">
        <v>43451.533900462964</v>
      </c>
      <c r="E319" t="str">
        <f>"15416513159005601978"</f>
        <v>15416513159005601978</v>
      </c>
      <c r="F319" s="4" t="s">
        <v>22</v>
      </c>
      <c r="G319" s="13" t="s">
        <v>333</v>
      </c>
      <c r="H319" t="str">
        <f>"8827181108112807"</f>
        <v>8827181108112807</v>
      </c>
      <c r="I319" s="15">
        <v>1238550</v>
      </c>
      <c r="J319" s="4"/>
      <c r="K319" s="10">
        <v>3900</v>
      </c>
      <c r="L319" s="11">
        <f t="shared" si="4"/>
        <v>1234650</v>
      </c>
      <c r="M319" s="6"/>
      <c r="N319" s="13" t="str">
        <f>"401765"</f>
        <v>401765</v>
      </c>
    </row>
    <row r="320" spans="1:14" ht="15">
      <c r="A320" s="9">
        <v>313</v>
      </c>
      <c r="B320" s="4" t="s">
        <v>20</v>
      </c>
      <c r="C320" s="5" t="s">
        <v>21</v>
      </c>
      <c r="D320" s="14">
        <v>43451.531504629631</v>
      </c>
      <c r="E320" t="str">
        <f>"15409702500013360438"</f>
        <v>15409702500013360438</v>
      </c>
      <c r="F320" s="4" t="s">
        <v>22</v>
      </c>
      <c r="G320" s="13" t="s">
        <v>334</v>
      </c>
      <c r="H320" t="str">
        <f>"8827181031141706"</f>
        <v>8827181031141706</v>
      </c>
      <c r="I320" s="15">
        <v>1765500</v>
      </c>
      <c r="J320" s="4"/>
      <c r="K320" s="10">
        <v>3900</v>
      </c>
      <c r="L320" s="11">
        <f t="shared" si="4"/>
        <v>1761600</v>
      </c>
      <c r="M320" s="6"/>
      <c r="N320" s="13" t="str">
        <f>"354673"</f>
        <v>354673</v>
      </c>
    </row>
    <row r="321" spans="1:14" ht="15">
      <c r="A321" s="9">
        <v>314</v>
      </c>
      <c r="B321" s="4" t="s">
        <v>20</v>
      </c>
      <c r="C321" s="5" t="s">
        <v>21</v>
      </c>
      <c r="D321" s="14">
        <v>43451.527824074074</v>
      </c>
      <c r="E321" t="str">
        <f>"15427592442806789664"</f>
        <v>15427592442806789664</v>
      </c>
      <c r="F321" s="4" t="s">
        <v>22</v>
      </c>
      <c r="G321" s="13" t="s">
        <v>335</v>
      </c>
      <c r="H321" t="str">
        <f>"8827181121071401"</f>
        <v>8827181121071401</v>
      </c>
      <c r="I321" s="15">
        <v>1827000</v>
      </c>
      <c r="J321" s="4"/>
      <c r="K321" s="10">
        <v>3900</v>
      </c>
      <c r="L321" s="11">
        <f t="shared" si="4"/>
        <v>1823100</v>
      </c>
      <c r="M321" s="6"/>
      <c r="N321" s="13" t="str">
        <f>"281483"</f>
        <v>281483</v>
      </c>
    </row>
    <row r="322" spans="1:14" ht="15">
      <c r="A322" s="9">
        <v>315</v>
      </c>
      <c r="B322" s="4" t="s">
        <v>20</v>
      </c>
      <c r="C322" s="5" t="s">
        <v>21</v>
      </c>
      <c r="D322" s="14">
        <v>43451.527673611112</v>
      </c>
      <c r="E322" t="str">
        <f>"15419853173711746114"</f>
        <v>15419853173711746114</v>
      </c>
      <c r="F322" s="4" t="s">
        <v>22</v>
      </c>
      <c r="G322" s="13" t="s">
        <v>336</v>
      </c>
      <c r="H322" t="str">
        <f>"8827181112081502"</f>
        <v>8827181112081502</v>
      </c>
      <c r="I322" s="15">
        <v>800000</v>
      </c>
      <c r="J322" s="4"/>
      <c r="K322" s="10">
        <v>3900</v>
      </c>
      <c r="L322" s="11">
        <f t="shared" si="4"/>
        <v>796100</v>
      </c>
      <c r="M322" s="6"/>
      <c r="N322" s="13" t="str">
        <f>"277401"</f>
        <v>277401</v>
      </c>
    </row>
    <row r="323" spans="1:14" ht="15">
      <c r="A323" s="9">
        <v>316</v>
      </c>
      <c r="B323" s="4" t="s">
        <v>20</v>
      </c>
      <c r="C323" s="5" t="s">
        <v>21</v>
      </c>
      <c r="D323" s="14">
        <v>43451.522372685184</v>
      </c>
      <c r="E323" t="str">
        <f>"15433793036043322365"</f>
        <v>15433793036043322365</v>
      </c>
      <c r="F323" s="4" t="s">
        <v>22</v>
      </c>
      <c r="G323" s="13" t="s">
        <v>337</v>
      </c>
      <c r="H323" t="str">
        <f>"8827181128112801"</f>
        <v>8827181128112801</v>
      </c>
      <c r="I323" s="15">
        <v>1833000</v>
      </c>
      <c r="J323" s="4"/>
      <c r="K323" s="10">
        <v>3900</v>
      </c>
      <c r="L323" s="11">
        <f t="shared" si="4"/>
        <v>1829100</v>
      </c>
      <c r="M323" s="6"/>
      <c r="N323" s="13" t="str">
        <f>"161146"</f>
        <v>161146</v>
      </c>
    </row>
    <row r="324" spans="1:14" ht="15">
      <c r="A324" s="9">
        <v>317</v>
      </c>
      <c r="B324" s="4" t="s">
        <v>20</v>
      </c>
      <c r="C324" s="5" t="s">
        <v>21</v>
      </c>
      <c r="D324" s="14">
        <v>43451.520162037035</v>
      </c>
      <c r="E324" t="str">
        <f>"15414126912815900352"</f>
        <v>15414126912815900352</v>
      </c>
      <c r="F324" s="4" t="s">
        <v>22</v>
      </c>
      <c r="G324" s="13" t="s">
        <v>338</v>
      </c>
      <c r="H324" t="str">
        <f>"8827181105171101"</f>
        <v>8827181105171101</v>
      </c>
      <c r="I324" s="15">
        <v>1294700</v>
      </c>
      <c r="J324" s="4"/>
      <c r="K324" s="10">
        <v>3900</v>
      </c>
      <c r="L324" s="11">
        <f t="shared" si="4"/>
        <v>1290800</v>
      </c>
      <c r="M324" s="6"/>
      <c r="N324" s="13" t="str">
        <f>"116960"</f>
        <v>116960</v>
      </c>
    </row>
    <row r="325" spans="1:14" ht="15">
      <c r="A325" s="9">
        <v>318</v>
      </c>
      <c r="B325" s="4" t="s">
        <v>20</v>
      </c>
      <c r="C325" s="5" t="s">
        <v>21</v>
      </c>
      <c r="D325" s="14">
        <v>43451.520046296297</v>
      </c>
      <c r="E325" t="str">
        <f>"15428016615928696965"</f>
        <v>15428016615928696965</v>
      </c>
      <c r="F325" s="4" t="s">
        <v>22</v>
      </c>
      <c r="G325" s="13" t="s">
        <v>339</v>
      </c>
      <c r="H325" t="str">
        <f>"8827181121190101"</f>
        <v>8827181121190101</v>
      </c>
      <c r="I325" s="15">
        <v>1902000</v>
      </c>
      <c r="J325" s="4"/>
      <c r="K325" s="10">
        <v>3900</v>
      </c>
      <c r="L325" s="11">
        <f t="shared" si="4"/>
        <v>1898100</v>
      </c>
      <c r="M325" s="6"/>
      <c r="N325" s="13" t="str">
        <f>"114874"</f>
        <v>114874</v>
      </c>
    </row>
    <row r="326" spans="1:14" ht="15">
      <c r="A326" s="9">
        <v>319</v>
      </c>
      <c r="B326" s="4" t="s">
        <v>20</v>
      </c>
      <c r="C326" s="5" t="s">
        <v>21</v>
      </c>
      <c r="D326" s="14">
        <v>43451.519988425927</v>
      </c>
      <c r="E326" t="str">
        <f>"15423282699551180183"</f>
        <v>15423282699551180183</v>
      </c>
      <c r="F326" s="4" t="s">
        <v>22</v>
      </c>
      <c r="G326" s="13" t="s">
        <v>340</v>
      </c>
      <c r="H326" t="str">
        <f>"8827181116073101"</f>
        <v>8827181116073101</v>
      </c>
      <c r="I326" s="15">
        <v>2014500</v>
      </c>
      <c r="J326" s="4"/>
      <c r="K326" s="10">
        <v>3900</v>
      </c>
      <c r="L326" s="11">
        <f t="shared" si="4"/>
        <v>2010600</v>
      </c>
      <c r="M326" s="6"/>
      <c r="N326" s="13" t="str">
        <f>"113845"</f>
        <v>113845</v>
      </c>
    </row>
    <row r="327" spans="1:14" ht="15">
      <c r="A327" s="9">
        <v>320</v>
      </c>
      <c r="B327" s="4" t="s">
        <v>20</v>
      </c>
      <c r="C327" s="5" t="s">
        <v>21</v>
      </c>
      <c r="D327" s="14">
        <v>43451.518587962964</v>
      </c>
      <c r="E327" t="str">
        <f>"15429618610633786621"</f>
        <v>15429618610633786621</v>
      </c>
      <c r="F327" s="4" t="s">
        <v>22</v>
      </c>
      <c r="G327" s="13" t="s">
        <v>341</v>
      </c>
      <c r="H327" t="str">
        <f>"8827181123153101"</f>
        <v>8827181123153101</v>
      </c>
      <c r="I327" s="15">
        <v>1098000</v>
      </c>
      <c r="J327" s="4"/>
      <c r="K327" s="10">
        <v>3900</v>
      </c>
      <c r="L327" s="11">
        <f t="shared" si="4"/>
        <v>1094100</v>
      </c>
      <c r="M327" s="6"/>
      <c r="N327" s="13" t="str">
        <f>"985532"</f>
        <v>985532</v>
      </c>
    </row>
    <row r="328" spans="1:14" ht="15">
      <c r="A328" s="9">
        <v>321</v>
      </c>
      <c r="B328" s="4" t="s">
        <v>20</v>
      </c>
      <c r="C328" s="5" t="s">
        <v>21</v>
      </c>
      <c r="D328" s="14">
        <v>43451.518472222226</v>
      </c>
      <c r="E328" t="str">
        <f>"15420791512235938827"</f>
        <v>15420791512235938827</v>
      </c>
      <c r="F328" s="4" t="s">
        <v>22</v>
      </c>
      <c r="G328" s="13" t="s">
        <v>342</v>
      </c>
      <c r="H328" t="str">
        <f>"8827181113101901"</f>
        <v>8827181113101901</v>
      </c>
      <c r="I328" s="15">
        <v>1168000</v>
      </c>
      <c r="J328" s="4"/>
      <c r="K328" s="10">
        <v>3900</v>
      </c>
      <c r="L328" s="11">
        <f t="shared" si="4"/>
        <v>1164100</v>
      </c>
      <c r="M328" s="6"/>
      <c r="N328" s="13" t="str">
        <f>"083740"</f>
        <v>083740</v>
      </c>
    </row>
    <row r="329" spans="1:14" ht="15">
      <c r="A329" s="9">
        <v>322</v>
      </c>
      <c r="B329" s="4" t="s">
        <v>20</v>
      </c>
      <c r="C329" s="5" t="s">
        <v>21</v>
      </c>
      <c r="D329" s="14">
        <v>43451.515694444446</v>
      </c>
      <c r="E329" t="str">
        <f>"15414844239829712246"</f>
        <v>15414844239829712246</v>
      </c>
      <c r="F329" s="4" t="s">
        <v>22</v>
      </c>
      <c r="G329" s="13" t="s">
        <v>343</v>
      </c>
      <c r="H329" t="str">
        <f>"8827181106130702"</f>
        <v>8827181106130702</v>
      </c>
      <c r="I329" s="15">
        <v>1573500</v>
      </c>
      <c r="J329" s="4"/>
      <c r="K329" s="10">
        <v>3900</v>
      </c>
      <c r="L329" s="11">
        <f t="shared" ref="L329:L392" si="5">(I329-K329)</f>
        <v>1569600</v>
      </c>
      <c r="M329" s="6"/>
      <c r="N329" s="13" t="str">
        <f>"983273"</f>
        <v>983273</v>
      </c>
    </row>
    <row r="330" spans="1:14" ht="15">
      <c r="A330" s="9">
        <v>323</v>
      </c>
      <c r="B330" s="4" t="s">
        <v>20</v>
      </c>
      <c r="C330" s="5" t="s">
        <v>21</v>
      </c>
      <c r="D330" s="14">
        <v>43451.515011574076</v>
      </c>
      <c r="E330" t="str">
        <f>"15414908810547016023"</f>
        <v>15414908810547016023</v>
      </c>
      <c r="F330" s="4" t="s">
        <v>22</v>
      </c>
      <c r="G330" s="13" t="s">
        <v>344</v>
      </c>
      <c r="H330" t="str">
        <f>"8827181106145402"</f>
        <v>8827181106145402</v>
      </c>
      <c r="I330" s="15">
        <v>1518400</v>
      </c>
      <c r="J330" s="4"/>
      <c r="K330" s="10">
        <v>3900</v>
      </c>
      <c r="L330" s="11">
        <f t="shared" si="5"/>
        <v>1514500</v>
      </c>
      <c r="M330" s="6"/>
      <c r="N330" s="13" t="str">
        <f>"012449"</f>
        <v>012449</v>
      </c>
    </row>
    <row r="331" spans="1:14" ht="15">
      <c r="A331" s="9">
        <v>324</v>
      </c>
      <c r="B331" s="4" t="s">
        <v>20</v>
      </c>
      <c r="C331" s="5" t="s">
        <v>21</v>
      </c>
      <c r="D331" s="14">
        <v>43451.514594907407</v>
      </c>
      <c r="E331" t="str">
        <f>"15449538876356154695"</f>
        <v>15449538876356154695</v>
      </c>
      <c r="F331" s="4" t="s">
        <v>22</v>
      </c>
      <c r="G331" s="13" t="s">
        <v>345</v>
      </c>
      <c r="H331" t="str">
        <f>"8827181216165102"</f>
        <v>8827181216165102</v>
      </c>
      <c r="I331" s="15">
        <v>608400</v>
      </c>
      <c r="J331" s="4"/>
      <c r="K331" s="10">
        <v>3900</v>
      </c>
      <c r="L331" s="11">
        <f t="shared" si="5"/>
        <v>604500</v>
      </c>
      <c r="M331" s="6"/>
      <c r="N331" s="13" t="str">
        <f>"004063"</f>
        <v>004063</v>
      </c>
    </row>
    <row r="332" spans="1:14" ht="15">
      <c r="A332" s="9">
        <v>325</v>
      </c>
      <c r="B332" s="4" t="s">
        <v>20</v>
      </c>
      <c r="C332" s="5" t="s">
        <v>21</v>
      </c>
      <c r="D332" s="14">
        <v>43451.513692129629</v>
      </c>
      <c r="E332" t="str">
        <f>"15410716832839286556"</f>
        <v>15410716832839286556</v>
      </c>
      <c r="F332" s="4" t="s">
        <v>22</v>
      </c>
      <c r="G332" s="13" t="s">
        <v>346</v>
      </c>
      <c r="H332" t="str">
        <f>"8827181101182801"</f>
        <v>8827181101182801</v>
      </c>
      <c r="I332" s="15">
        <v>1767000</v>
      </c>
      <c r="J332" s="4"/>
      <c r="K332" s="10">
        <v>3900</v>
      </c>
      <c r="L332" s="11">
        <f t="shared" si="5"/>
        <v>1763100</v>
      </c>
      <c r="M332" s="6"/>
      <c r="N332" s="13" t="str">
        <f>"785806"</f>
        <v>785806</v>
      </c>
    </row>
    <row r="333" spans="1:14" ht="15">
      <c r="A333" s="9">
        <v>326</v>
      </c>
      <c r="B333" s="4" t="s">
        <v>20</v>
      </c>
      <c r="C333" s="5" t="s">
        <v>21</v>
      </c>
      <c r="D333" s="14">
        <v>43451.513449074075</v>
      </c>
      <c r="E333" t="str">
        <f>"15413065458336867648"</f>
        <v>15413065458336867648</v>
      </c>
      <c r="F333" s="4" t="s">
        <v>22</v>
      </c>
      <c r="G333" s="13" t="s">
        <v>347</v>
      </c>
      <c r="H333" t="str">
        <f>"8827181104114201"</f>
        <v>8827181104114201</v>
      </c>
      <c r="I333" s="15">
        <v>1752000</v>
      </c>
      <c r="J333" s="4"/>
      <c r="K333" s="10">
        <v>3900</v>
      </c>
      <c r="L333" s="11">
        <f t="shared" si="5"/>
        <v>1748100</v>
      </c>
      <c r="M333" s="6"/>
      <c r="N333" s="13" t="str">
        <f>"780920"</f>
        <v>780920</v>
      </c>
    </row>
    <row r="334" spans="1:14" ht="15">
      <c r="A334" s="9">
        <v>327</v>
      </c>
      <c r="B334" s="4" t="s">
        <v>20</v>
      </c>
      <c r="C334" s="5" t="s">
        <v>21</v>
      </c>
      <c r="D334" s="14">
        <v>43451.511631944442</v>
      </c>
      <c r="E334" t="str">
        <f>"15415892498033971126"</f>
        <v>15415892498033971126</v>
      </c>
      <c r="F334" s="4" t="s">
        <v>22</v>
      </c>
      <c r="G334" s="13" t="s">
        <v>348</v>
      </c>
      <c r="H334" t="str">
        <f>"8827181107181401"</f>
        <v>8827181107181401</v>
      </c>
      <c r="I334" s="15">
        <v>1662000</v>
      </c>
      <c r="J334" s="4"/>
      <c r="K334" s="10">
        <v>3900</v>
      </c>
      <c r="L334" s="11">
        <f t="shared" si="5"/>
        <v>1658100</v>
      </c>
      <c r="M334" s="6"/>
      <c r="N334" s="13" t="str">
        <f>"979853"</f>
        <v>979853</v>
      </c>
    </row>
    <row r="335" spans="1:14" ht="15">
      <c r="A335" s="9">
        <v>328</v>
      </c>
      <c r="B335" s="4" t="s">
        <v>20</v>
      </c>
      <c r="C335" s="5" t="s">
        <v>21</v>
      </c>
      <c r="D335" s="14">
        <v>43451.509710648148</v>
      </c>
      <c r="E335" t="str">
        <f>"15425962673617959282"</f>
        <v>15425962673617959282</v>
      </c>
      <c r="F335" s="4" t="s">
        <v>22</v>
      </c>
      <c r="G335" s="13" t="s">
        <v>349</v>
      </c>
      <c r="H335" t="str">
        <f>"8827181119095702"</f>
        <v>8827181119095702</v>
      </c>
      <c r="I335" s="15">
        <v>1218800</v>
      </c>
      <c r="J335" s="4"/>
      <c r="K335" s="10">
        <v>3900</v>
      </c>
      <c r="L335" s="11">
        <f t="shared" si="5"/>
        <v>1214900</v>
      </c>
      <c r="M335" s="6"/>
      <c r="N335" s="13" t="str">
        <f>"686471"</f>
        <v>686471</v>
      </c>
    </row>
    <row r="336" spans="1:14" ht="15">
      <c r="A336" s="9">
        <v>329</v>
      </c>
      <c r="B336" s="4" t="s">
        <v>20</v>
      </c>
      <c r="C336" s="5" t="s">
        <v>21</v>
      </c>
      <c r="D336" s="14">
        <v>43451.506319444445</v>
      </c>
      <c r="E336" t="str">
        <f>"15439059313279928292"</f>
        <v>15439059313279928292</v>
      </c>
      <c r="F336" s="4" t="s">
        <v>22</v>
      </c>
      <c r="G336" s="13" t="s">
        <v>350</v>
      </c>
      <c r="H336" t="str">
        <f>"8827181204134501"</f>
        <v>8827181204134501</v>
      </c>
      <c r="I336" s="15">
        <v>768600</v>
      </c>
      <c r="J336" s="4"/>
      <c r="K336" s="10">
        <v>3900</v>
      </c>
      <c r="L336" s="11">
        <f t="shared" si="5"/>
        <v>764700</v>
      </c>
      <c r="M336" s="6"/>
      <c r="N336" s="13" t="str">
        <f>"610355"</f>
        <v>610355</v>
      </c>
    </row>
    <row r="337" spans="1:14" ht="15">
      <c r="A337" s="9">
        <v>330</v>
      </c>
      <c r="B337" s="4" t="s">
        <v>20</v>
      </c>
      <c r="C337" s="5" t="s">
        <v>21</v>
      </c>
      <c r="D337" s="14">
        <v>43451.504444444443</v>
      </c>
      <c r="E337" t="str">
        <f>"15406468703541361079"</f>
        <v>15406468703541361079</v>
      </c>
      <c r="F337" s="4" t="s">
        <v>22</v>
      </c>
      <c r="G337" s="13" t="s">
        <v>351</v>
      </c>
      <c r="H337" t="str">
        <f>"8827181027202704"</f>
        <v>8827181027202704</v>
      </c>
      <c r="I337" s="15">
        <v>2014500</v>
      </c>
      <c r="J337" s="4"/>
      <c r="K337" s="10">
        <v>3900</v>
      </c>
      <c r="L337" s="11">
        <f t="shared" si="5"/>
        <v>2010600</v>
      </c>
      <c r="M337" s="6"/>
      <c r="N337" s="13" t="str">
        <f>"974028"</f>
        <v>974028</v>
      </c>
    </row>
    <row r="338" spans="1:14" ht="15">
      <c r="A338" s="9">
        <v>331</v>
      </c>
      <c r="B338" s="4" t="s">
        <v>20</v>
      </c>
      <c r="C338" s="5" t="s">
        <v>21</v>
      </c>
      <c r="D338" s="14">
        <v>43451.50408564815</v>
      </c>
      <c r="E338" t="str">
        <f>"15410821412436455141"</f>
        <v>15410821412436455141</v>
      </c>
      <c r="F338" s="4" t="s">
        <v>22</v>
      </c>
      <c r="G338" s="13" t="s">
        <v>352</v>
      </c>
      <c r="H338" t="str">
        <f>"8827181101212201"</f>
        <v>8827181101212201</v>
      </c>
      <c r="I338" s="15">
        <v>1752000</v>
      </c>
      <c r="J338" s="4"/>
      <c r="K338" s="10">
        <v>3900</v>
      </c>
      <c r="L338" s="11">
        <f t="shared" si="5"/>
        <v>1748100</v>
      </c>
      <c r="M338" s="6"/>
      <c r="N338" s="13" t="str">
        <f>"563072"</f>
        <v>563072</v>
      </c>
    </row>
    <row r="339" spans="1:14" ht="15">
      <c r="A339" s="9">
        <v>332</v>
      </c>
      <c r="B339" s="4" t="s">
        <v>20</v>
      </c>
      <c r="C339" s="5" t="s">
        <v>21</v>
      </c>
      <c r="D339" s="14">
        <v>43451.503761574073</v>
      </c>
      <c r="E339" t="str">
        <f>"15422641986407859377"</f>
        <v>15422641986407859377</v>
      </c>
      <c r="F339" s="4" t="s">
        <v>22</v>
      </c>
      <c r="G339" s="13" t="s">
        <v>353</v>
      </c>
      <c r="H339" t="str">
        <f>"8827181115134302"</f>
        <v>8827181115134302</v>
      </c>
      <c r="I339" s="15">
        <v>1635200</v>
      </c>
      <c r="J339" s="4"/>
      <c r="K339" s="10">
        <v>3900</v>
      </c>
      <c r="L339" s="11">
        <f t="shared" si="5"/>
        <v>1631300</v>
      </c>
      <c r="M339" s="6"/>
      <c r="N339" s="13" t="str">
        <f>"555660"</f>
        <v>555660</v>
      </c>
    </row>
    <row r="340" spans="1:14" ht="15">
      <c r="A340" s="9">
        <v>333</v>
      </c>
      <c r="B340" s="4" t="s">
        <v>20</v>
      </c>
      <c r="C340" s="5" t="s">
        <v>21</v>
      </c>
      <c r="D340" s="14">
        <v>43451.503240740742</v>
      </c>
      <c r="E340" t="str">
        <f>"15410464424585791073"</f>
        <v>15410464424585791073</v>
      </c>
      <c r="F340" s="4" t="s">
        <v>22</v>
      </c>
      <c r="G340" s="13" t="s">
        <v>354</v>
      </c>
      <c r="H340" t="str">
        <f>"8827181101112703"</f>
        <v>8827181101112703</v>
      </c>
      <c r="I340" s="15">
        <v>1584700</v>
      </c>
      <c r="J340" s="4"/>
      <c r="K340" s="10">
        <v>3900</v>
      </c>
      <c r="L340" s="11">
        <f t="shared" si="5"/>
        <v>1580800</v>
      </c>
      <c r="M340" s="6"/>
      <c r="N340" s="13" t="str">
        <f>"544439"</f>
        <v>544439</v>
      </c>
    </row>
    <row r="341" spans="1:14" ht="15">
      <c r="A341" s="9">
        <v>334</v>
      </c>
      <c r="B341" s="4" t="s">
        <v>20</v>
      </c>
      <c r="C341" s="5" t="s">
        <v>21</v>
      </c>
      <c r="D341" s="14">
        <v>43451.502581018518</v>
      </c>
      <c r="E341" t="str">
        <f>"15416488314773211253"</f>
        <v>15416488314773211253</v>
      </c>
      <c r="F341" s="4" t="s">
        <v>22</v>
      </c>
      <c r="G341" s="13" t="s">
        <v>355</v>
      </c>
      <c r="H341" t="str">
        <f>"8827181108104702"</f>
        <v>8827181108104702</v>
      </c>
      <c r="I341" s="15">
        <v>1647000</v>
      </c>
      <c r="J341" s="4"/>
      <c r="K341" s="10">
        <v>3900</v>
      </c>
      <c r="L341" s="11">
        <f t="shared" si="5"/>
        <v>1643100</v>
      </c>
      <c r="M341" s="6"/>
      <c r="N341" s="13" t="str">
        <f>"530112"</f>
        <v>530112</v>
      </c>
    </row>
    <row r="342" spans="1:14" ht="15">
      <c r="A342" s="9">
        <v>335</v>
      </c>
      <c r="B342" s="4" t="s">
        <v>20</v>
      </c>
      <c r="C342" s="5" t="s">
        <v>21</v>
      </c>
      <c r="D342" s="14">
        <v>43451.495844907404</v>
      </c>
      <c r="E342" t="str">
        <f>"15415715681069095727"</f>
        <v>15415715681069095727</v>
      </c>
      <c r="F342" s="4" t="s">
        <v>22</v>
      </c>
      <c r="G342" s="13" t="s">
        <v>356</v>
      </c>
      <c r="H342" t="str">
        <f>"8827181107131902"</f>
        <v>8827181107131902</v>
      </c>
      <c r="I342" s="15">
        <v>1618500</v>
      </c>
      <c r="J342" s="4"/>
      <c r="K342" s="10">
        <v>3900</v>
      </c>
      <c r="L342" s="11">
        <f t="shared" si="5"/>
        <v>1614600</v>
      </c>
      <c r="M342" s="6"/>
      <c r="N342" s="13" t="str">
        <f>"382426"</f>
        <v>382426</v>
      </c>
    </row>
    <row r="343" spans="1:14" ht="15">
      <c r="A343" s="9">
        <v>336</v>
      </c>
      <c r="B343" s="4" t="s">
        <v>20</v>
      </c>
      <c r="C343" s="5" t="s">
        <v>21</v>
      </c>
      <c r="D343" s="14">
        <v>43451.495787037034</v>
      </c>
      <c r="E343" t="str">
        <f>"15420627909606072359"</f>
        <v>15420627909606072359</v>
      </c>
      <c r="F343" s="4" t="s">
        <v>22</v>
      </c>
      <c r="G343" s="13" t="s">
        <v>357</v>
      </c>
      <c r="H343" t="str">
        <f>"8827181113054601"</f>
        <v>8827181113054601</v>
      </c>
      <c r="I343" s="15">
        <v>1636500</v>
      </c>
      <c r="J343" s="4"/>
      <c r="K343" s="10">
        <v>3900</v>
      </c>
      <c r="L343" s="11">
        <f t="shared" si="5"/>
        <v>1632600</v>
      </c>
      <c r="M343" s="6"/>
      <c r="N343" s="13" t="str">
        <f>"380976"</f>
        <v>380976</v>
      </c>
    </row>
    <row r="344" spans="1:14" ht="15">
      <c r="A344" s="9">
        <v>337</v>
      </c>
      <c r="B344" s="4" t="s">
        <v>20</v>
      </c>
      <c r="C344" s="5" t="s">
        <v>21</v>
      </c>
      <c r="D344" s="14">
        <v>43451.49560185185</v>
      </c>
      <c r="E344" t="str">
        <f>"15434569489292660614"</f>
        <v>15434569489292660614</v>
      </c>
      <c r="F344" s="4" t="s">
        <v>22</v>
      </c>
      <c r="G344" s="13" t="s">
        <v>358</v>
      </c>
      <c r="H344" t="str">
        <f>"8827181129090202"</f>
        <v>8827181129090202</v>
      </c>
      <c r="I344" s="15">
        <v>1435000</v>
      </c>
      <c r="J344" s="4"/>
      <c r="K344" s="10">
        <v>3900</v>
      </c>
      <c r="L344" s="11">
        <f t="shared" si="5"/>
        <v>1431100</v>
      </c>
      <c r="M344" s="6"/>
      <c r="N344" s="13" t="str">
        <f>"967641"</f>
        <v>967641</v>
      </c>
    </row>
    <row r="345" spans="1:14" ht="15">
      <c r="A345" s="9">
        <v>338</v>
      </c>
      <c r="B345" s="4" t="s">
        <v>20</v>
      </c>
      <c r="C345" s="5" t="s">
        <v>21</v>
      </c>
      <c r="D345" s="14">
        <v>43451.492303240739</v>
      </c>
      <c r="E345" t="str">
        <f>"15411178505452760566"</f>
        <v>15411178505452760566</v>
      </c>
      <c r="F345" s="4" t="s">
        <v>22</v>
      </c>
      <c r="G345" s="13" t="s">
        <v>359</v>
      </c>
      <c r="H345" t="str">
        <f>"8827181102071703"</f>
        <v>8827181102071703</v>
      </c>
      <c r="I345" s="15">
        <v>1207800</v>
      </c>
      <c r="J345" s="4"/>
      <c r="K345" s="10">
        <v>3900</v>
      </c>
      <c r="L345" s="11">
        <f t="shared" si="5"/>
        <v>1203900</v>
      </c>
      <c r="M345" s="6"/>
      <c r="N345" s="13" t="str">
        <f>"289929"</f>
        <v>289929</v>
      </c>
    </row>
    <row r="346" spans="1:14" ht="15">
      <c r="A346" s="9">
        <v>339</v>
      </c>
      <c r="B346" s="4" t="s">
        <v>20</v>
      </c>
      <c r="C346" s="5" t="s">
        <v>21</v>
      </c>
      <c r="D346" s="14">
        <v>43451.491249999999</v>
      </c>
      <c r="E346" t="str">
        <f>"15432192194308117278"</f>
        <v>15432192194308117278</v>
      </c>
      <c r="F346" s="4" t="s">
        <v>22</v>
      </c>
      <c r="G346" s="13" t="s">
        <v>360</v>
      </c>
      <c r="H346" t="str">
        <f>"8827181126150002"</f>
        <v>8827181126150002</v>
      </c>
      <c r="I346" s="15">
        <v>529500</v>
      </c>
      <c r="J346" s="4"/>
      <c r="K346" s="10">
        <v>3900</v>
      </c>
      <c r="L346" s="11">
        <f t="shared" si="5"/>
        <v>525600</v>
      </c>
      <c r="M346" s="6"/>
      <c r="N346" s="13" t="str">
        <f>"264528"</f>
        <v>264528</v>
      </c>
    </row>
    <row r="347" spans="1:14" ht="15">
      <c r="A347" s="9">
        <v>340</v>
      </c>
      <c r="B347" s="4" t="s">
        <v>20</v>
      </c>
      <c r="C347" s="5" t="s">
        <v>21</v>
      </c>
      <c r="D347" s="14">
        <v>43451.48704861111</v>
      </c>
      <c r="E347" t="str">
        <f>"15407924156558221793"</f>
        <v>15407924156558221793</v>
      </c>
      <c r="F347" s="4" t="s">
        <v>22</v>
      </c>
      <c r="G347" s="13" t="s">
        <v>361</v>
      </c>
      <c r="H347" t="str">
        <f>"8827181029125305"</f>
        <v>8827181029125305</v>
      </c>
      <c r="I347" s="15">
        <v>1539600</v>
      </c>
      <c r="J347" s="4"/>
      <c r="K347" s="10">
        <v>3900</v>
      </c>
      <c r="L347" s="11">
        <f t="shared" si="5"/>
        <v>1535700</v>
      </c>
      <c r="M347" s="6"/>
      <c r="N347" s="13" t="str">
        <f>"160870"</f>
        <v>160870</v>
      </c>
    </row>
    <row r="348" spans="1:14" ht="15">
      <c r="A348" s="9">
        <v>341</v>
      </c>
      <c r="B348" s="4" t="s">
        <v>20</v>
      </c>
      <c r="C348" s="5" t="s">
        <v>21</v>
      </c>
      <c r="D348" s="14">
        <v>43451.486539351848</v>
      </c>
      <c r="E348" t="str">
        <f>"15428509052055589376"</f>
        <v>15428509052055589376</v>
      </c>
      <c r="F348" s="4" t="s">
        <v>22</v>
      </c>
      <c r="G348" s="13" t="s">
        <v>362</v>
      </c>
      <c r="H348" t="str">
        <f>"8827181122084102"</f>
        <v>8827181122084102</v>
      </c>
      <c r="I348" s="15">
        <v>1827000</v>
      </c>
      <c r="J348" s="4"/>
      <c r="K348" s="10">
        <v>3900</v>
      </c>
      <c r="L348" s="11">
        <f t="shared" si="5"/>
        <v>1823100</v>
      </c>
      <c r="M348" s="6"/>
      <c r="N348" s="13" t="str">
        <f>"147232"</f>
        <v>147232</v>
      </c>
    </row>
    <row r="349" spans="1:14" ht="15">
      <c r="A349" s="9">
        <v>342</v>
      </c>
      <c r="B349" s="4" t="s">
        <v>20</v>
      </c>
      <c r="C349" s="5" t="s">
        <v>21</v>
      </c>
      <c r="D349" s="14">
        <v>43451.484074074076</v>
      </c>
      <c r="E349" t="str">
        <f>"15409928138011032185"</f>
        <v>15409928138011032185</v>
      </c>
      <c r="F349" s="4" t="s">
        <v>22</v>
      </c>
      <c r="G349" s="13" t="s">
        <v>363</v>
      </c>
      <c r="H349" t="str">
        <f>"8827181031203303"</f>
        <v>8827181031203303</v>
      </c>
      <c r="I349" s="15">
        <v>1716000</v>
      </c>
      <c r="J349" s="4"/>
      <c r="K349" s="10">
        <v>3900</v>
      </c>
      <c r="L349" s="11">
        <f t="shared" si="5"/>
        <v>1712100</v>
      </c>
      <c r="M349" s="6"/>
      <c r="N349" s="13" t="str">
        <f>"085619"</f>
        <v>085619</v>
      </c>
    </row>
    <row r="350" spans="1:14" ht="15">
      <c r="A350" s="9">
        <v>343</v>
      </c>
      <c r="B350" s="4" t="s">
        <v>20</v>
      </c>
      <c r="C350" s="5" t="s">
        <v>21</v>
      </c>
      <c r="D350" s="14">
        <v>43451.482141203705</v>
      </c>
      <c r="E350" t="str">
        <f>"15426842848946969051"</f>
        <v>15426842848946969051</v>
      </c>
      <c r="F350" s="4" t="s">
        <v>22</v>
      </c>
      <c r="G350" s="13" t="s">
        <v>364</v>
      </c>
      <c r="H350" t="str">
        <f>"8827181120102404"</f>
        <v>8827181120102404</v>
      </c>
      <c r="I350" s="15">
        <v>1924500</v>
      </c>
      <c r="J350" s="4"/>
      <c r="K350" s="10">
        <v>3900</v>
      </c>
      <c r="L350" s="11">
        <f t="shared" si="5"/>
        <v>1920600</v>
      </c>
      <c r="M350" s="6"/>
      <c r="N350" s="13" t="str">
        <f>"034415"</f>
        <v>034415</v>
      </c>
    </row>
    <row r="351" spans="1:14" ht="15">
      <c r="A351" s="9">
        <v>344</v>
      </c>
      <c r="B351" s="4" t="s">
        <v>20</v>
      </c>
      <c r="C351" s="5" t="s">
        <v>21</v>
      </c>
      <c r="D351" s="14">
        <v>43451.481030092589</v>
      </c>
      <c r="E351" t="str">
        <f>"15425361152082960856"</f>
        <v>15425361152082960856</v>
      </c>
      <c r="F351" s="4" t="s">
        <v>22</v>
      </c>
      <c r="G351" s="13" t="s">
        <v>365</v>
      </c>
      <c r="H351" t="str">
        <f>"8827181118171501"</f>
        <v>8827181118171501</v>
      </c>
      <c r="I351" s="15">
        <v>807750</v>
      </c>
      <c r="J351" s="4"/>
      <c r="K351" s="10">
        <v>3900</v>
      </c>
      <c r="L351" s="11">
        <f t="shared" si="5"/>
        <v>803850</v>
      </c>
      <c r="M351" s="6"/>
      <c r="N351" s="13" t="str">
        <f>"006722"</f>
        <v>006722</v>
      </c>
    </row>
    <row r="352" spans="1:14" ht="15">
      <c r="A352" s="9">
        <v>345</v>
      </c>
      <c r="B352" s="4" t="s">
        <v>20</v>
      </c>
      <c r="C352" s="5" t="s">
        <v>21</v>
      </c>
      <c r="D352" s="14">
        <v>43451.480925925927</v>
      </c>
      <c r="E352" t="str">
        <f>"15419455739846326043"</f>
        <v>15419455739846326043</v>
      </c>
      <c r="F352" s="4" t="s">
        <v>22</v>
      </c>
      <c r="G352" s="13" t="s">
        <v>366</v>
      </c>
      <c r="H352" t="str">
        <f>"8827181111211203"</f>
        <v>8827181111211203</v>
      </c>
      <c r="I352" s="15">
        <v>1701600</v>
      </c>
      <c r="J352" s="4"/>
      <c r="K352" s="10">
        <v>3900</v>
      </c>
      <c r="L352" s="11">
        <f t="shared" si="5"/>
        <v>1697700</v>
      </c>
      <c r="M352" s="6"/>
      <c r="N352" s="13" t="str">
        <f>"004366"</f>
        <v>004366</v>
      </c>
    </row>
    <row r="353" spans="1:14" ht="15">
      <c r="A353" s="9">
        <v>346</v>
      </c>
      <c r="B353" s="4" t="s">
        <v>20</v>
      </c>
      <c r="C353" s="5" t="s">
        <v>21</v>
      </c>
      <c r="D353" s="14">
        <v>43451.480555555558</v>
      </c>
      <c r="E353" t="str">
        <f>"15414134393219245786"</f>
        <v>15414134393219245786</v>
      </c>
      <c r="F353" s="4" t="s">
        <v>22</v>
      </c>
      <c r="G353" s="13" t="s">
        <v>367</v>
      </c>
      <c r="H353" t="str">
        <f>"8827181105172303"</f>
        <v>8827181105172303</v>
      </c>
      <c r="I353" s="15">
        <v>1767000</v>
      </c>
      <c r="J353" s="4"/>
      <c r="K353" s="10">
        <v>3900</v>
      </c>
      <c r="L353" s="11">
        <f t="shared" si="5"/>
        <v>1763100</v>
      </c>
      <c r="M353" s="6"/>
      <c r="N353" s="13" t="str">
        <f>"793353"</f>
        <v>793353</v>
      </c>
    </row>
    <row r="354" spans="1:14" ht="15">
      <c r="A354" s="9">
        <v>347</v>
      </c>
      <c r="B354" s="4" t="s">
        <v>20</v>
      </c>
      <c r="C354" s="5" t="s">
        <v>21</v>
      </c>
      <c r="D354" s="14">
        <v>43451.478993055556</v>
      </c>
      <c r="E354" t="str">
        <f>"15432047775051891268"</f>
        <v>15432047775051891268</v>
      </c>
      <c r="F354" s="4" t="s">
        <v>22</v>
      </c>
      <c r="G354" s="13" t="s">
        <v>368</v>
      </c>
      <c r="H354" t="str">
        <f>"8827181126105902"</f>
        <v>8827181126105902</v>
      </c>
      <c r="I354" s="15">
        <v>1767000</v>
      </c>
      <c r="J354" s="4"/>
      <c r="K354" s="10">
        <v>3900</v>
      </c>
      <c r="L354" s="11">
        <f t="shared" si="5"/>
        <v>1763100</v>
      </c>
      <c r="M354" s="6"/>
      <c r="N354" s="13" t="str">
        <f>"748709"</f>
        <v>748709</v>
      </c>
    </row>
    <row r="355" spans="1:14" ht="15">
      <c r="A355" s="9">
        <v>348</v>
      </c>
      <c r="B355" s="4" t="s">
        <v>20</v>
      </c>
      <c r="C355" s="5" t="s">
        <v>21</v>
      </c>
      <c r="D355" s="14">
        <v>43451.477546296293</v>
      </c>
      <c r="E355" t="str">
        <f>"15415176548141567468"</f>
        <v>15415176548141567468</v>
      </c>
      <c r="F355" s="4" t="s">
        <v>22</v>
      </c>
      <c r="G355" s="13" t="s">
        <v>369</v>
      </c>
      <c r="H355" t="str">
        <f>"8827181106222001"</f>
        <v>8827181106222001</v>
      </c>
      <c r="I355" s="15">
        <v>1752000</v>
      </c>
      <c r="J355" s="4"/>
      <c r="K355" s="10">
        <v>3900</v>
      </c>
      <c r="L355" s="11">
        <f t="shared" si="5"/>
        <v>1748100</v>
      </c>
      <c r="M355" s="6"/>
      <c r="N355" s="13" t="str">
        <f>"708519"</f>
        <v>708519</v>
      </c>
    </row>
    <row r="356" spans="1:14" ht="15">
      <c r="A356" s="9">
        <v>349</v>
      </c>
      <c r="B356" s="4" t="s">
        <v>20</v>
      </c>
      <c r="C356" s="5" t="s">
        <v>21</v>
      </c>
      <c r="D356" s="14">
        <v>43451.475127314814</v>
      </c>
      <c r="E356" t="str">
        <f>"15433887662898441889"</f>
        <v>15433887662898441889</v>
      </c>
      <c r="F356" s="4" t="s">
        <v>22</v>
      </c>
      <c r="G356" s="13" t="s">
        <v>370</v>
      </c>
      <c r="H356" t="str">
        <f>"8827181128140601"</f>
        <v>8827181128140601</v>
      </c>
      <c r="I356" s="15">
        <v>1164900</v>
      </c>
      <c r="J356" s="4"/>
      <c r="K356" s="10">
        <v>3900</v>
      </c>
      <c r="L356" s="11">
        <f t="shared" si="5"/>
        <v>1161000</v>
      </c>
      <c r="M356" s="6"/>
      <c r="N356" s="13" t="str">
        <f>"951101"</f>
        <v>951101</v>
      </c>
    </row>
    <row r="357" spans="1:14" ht="15">
      <c r="A357" s="9">
        <v>350</v>
      </c>
      <c r="B357" s="4" t="s">
        <v>20</v>
      </c>
      <c r="C357" s="5" t="s">
        <v>21</v>
      </c>
      <c r="D357" s="14">
        <v>43451.472175925926</v>
      </c>
      <c r="E357" t="str">
        <f>"15414134626779643412"</f>
        <v>15414134626779643412</v>
      </c>
      <c r="F357" s="4" t="s">
        <v>22</v>
      </c>
      <c r="G357" s="13" t="s">
        <v>371</v>
      </c>
      <c r="H357" t="str">
        <f>"8827181105172403"</f>
        <v>8827181105172403</v>
      </c>
      <c r="I357" s="15">
        <v>1292400</v>
      </c>
      <c r="J357" s="4"/>
      <c r="K357" s="10">
        <v>3900</v>
      </c>
      <c r="L357" s="11">
        <f t="shared" si="5"/>
        <v>1288500</v>
      </c>
      <c r="M357" s="6"/>
      <c r="N357" s="13" t="str">
        <f>"554674"</f>
        <v>554674</v>
      </c>
    </row>
    <row r="358" spans="1:14" ht="15">
      <c r="A358" s="9">
        <v>351</v>
      </c>
      <c r="B358" s="4" t="s">
        <v>20</v>
      </c>
      <c r="C358" s="5" t="s">
        <v>21</v>
      </c>
      <c r="D358" s="14">
        <v>43451.471678240741</v>
      </c>
      <c r="E358" t="str">
        <f>"15415742503798228221"</f>
        <v>15415742503798228221</v>
      </c>
      <c r="F358" s="4" t="s">
        <v>22</v>
      </c>
      <c r="G358" s="13" t="s">
        <v>372</v>
      </c>
      <c r="H358" t="str">
        <f>"8827181107140401"</f>
        <v>8827181107140401</v>
      </c>
      <c r="I358" s="15">
        <v>1752000</v>
      </c>
      <c r="J358" s="4"/>
      <c r="K358" s="10">
        <v>3900</v>
      </c>
      <c r="L358" s="11">
        <f t="shared" si="5"/>
        <v>1748100</v>
      </c>
      <c r="M358" s="6"/>
      <c r="N358" s="13" t="str">
        <f>"542119"</f>
        <v>542119</v>
      </c>
    </row>
    <row r="359" spans="1:14" ht="15">
      <c r="A359" s="9">
        <v>352</v>
      </c>
      <c r="B359" s="4" t="s">
        <v>20</v>
      </c>
      <c r="C359" s="5" t="s">
        <v>21</v>
      </c>
      <c r="D359" s="14">
        <v>43451.471620370372</v>
      </c>
      <c r="E359" t="str">
        <f>"15419234439304236382"</f>
        <v>15419234439304236382</v>
      </c>
      <c r="F359" s="4" t="s">
        <v>22</v>
      </c>
      <c r="G359" s="13" t="s">
        <v>373</v>
      </c>
      <c r="H359" t="str">
        <f>"8827181111150401"</f>
        <v>8827181111150401</v>
      </c>
      <c r="I359" s="15">
        <v>1615500</v>
      </c>
      <c r="J359" s="4"/>
      <c r="K359" s="10">
        <v>3900</v>
      </c>
      <c r="L359" s="11">
        <f t="shared" si="5"/>
        <v>1611600</v>
      </c>
      <c r="M359" s="6"/>
      <c r="N359" s="13" t="str">
        <f>"540636"</f>
        <v>540636</v>
      </c>
    </row>
    <row r="360" spans="1:14" ht="15">
      <c r="A360" s="9">
        <v>353</v>
      </c>
      <c r="B360" s="4" t="s">
        <v>20</v>
      </c>
      <c r="C360" s="5" t="s">
        <v>21</v>
      </c>
      <c r="D360" s="14">
        <v>43451.471412037034</v>
      </c>
      <c r="E360" t="str">
        <f>"15412221931278498203"</f>
        <v>15412221931278498203</v>
      </c>
      <c r="F360" s="4" t="s">
        <v>22</v>
      </c>
      <c r="G360" s="13" t="s">
        <v>374</v>
      </c>
      <c r="H360" t="str">
        <f>"8827181103121605"</f>
        <v>8827181103121605</v>
      </c>
      <c r="I360" s="15">
        <v>1544400</v>
      </c>
      <c r="J360" s="4"/>
      <c r="K360" s="10">
        <v>3900</v>
      </c>
      <c r="L360" s="11">
        <f t="shared" si="5"/>
        <v>1540500</v>
      </c>
      <c r="M360" s="6"/>
      <c r="N360" s="13" t="str">
        <f>"535201"</f>
        <v>535201</v>
      </c>
    </row>
    <row r="361" spans="1:14" ht="15">
      <c r="A361" s="9">
        <v>354</v>
      </c>
      <c r="B361" s="4" t="s">
        <v>20</v>
      </c>
      <c r="C361" s="5" t="s">
        <v>21</v>
      </c>
      <c r="D361" s="14">
        <v>43451.469317129631</v>
      </c>
      <c r="E361" t="str">
        <f>"15410399267019379984"</f>
        <v>15410399267019379984</v>
      </c>
      <c r="F361" s="4" t="s">
        <v>22</v>
      </c>
      <c r="G361" s="13" t="s">
        <v>375</v>
      </c>
      <c r="H361" t="str">
        <f>"8827181101093811"</f>
        <v>8827181101093811</v>
      </c>
      <c r="I361" s="15">
        <v>112000</v>
      </c>
      <c r="J361" s="4"/>
      <c r="K361" s="10">
        <v>3900</v>
      </c>
      <c r="L361" s="11">
        <f t="shared" si="5"/>
        <v>108100</v>
      </c>
      <c r="M361" s="6"/>
      <c r="N361" s="13" t="str">
        <f>"482915"</f>
        <v>482915</v>
      </c>
    </row>
    <row r="362" spans="1:14" ht="15">
      <c r="A362" s="9">
        <v>355</v>
      </c>
      <c r="B362" s="4" t="s">
        <v>20</v>
      </c>
      <c r="C362" s="5" t="s">
        <v>21</v>
      </c>
      <c r="D362" s="14">
        <v>43451.4687962963</v>
      </c>
      <c r="E362" t="str">
        <f>"15407274607068152073"</f>
        <v>15407274607068152073</v>
      </c>
      <c r="F362" s="4" t="s">
        <v>22</v>
      </c>
      <c r="G362" s="13" t="s">
        <v>376</v>
      </c>
      <c r="H362" t="str">
        <f>"8827181028185101"</f>
        <v>8827181028185101</v>
      </c>
      <c r="I362" s="15">
        <v>1213000</v>
      </c>
      <c r="J362" s="4"/>
      <c r="K362" s="10">
        <v>3900</v>
      </c>
      <c r="L362" s="11">
        <f t="shared" si="5"/>
        <v>1209100</v>
      </c>
      <c r="M362" s="6"/>
      <c r="N362" s="13" t="str">
        <f>"470922"</f>
        <v>470922</v>
      </c>
    </row>
    <row r="363" spans="1:14" ht="15">
      <c r="A363" s="9">
        <v>356</v>
      </c>
      <c r="B363" s="4" t="s">
        <v>20</v>
      </c>
      <c r="C363" s="5" t="s">
        <v>21</v>
      </c>
      <c r="D363" s="14">
        <v>43451.467511574076</v>
      </c>
      <c r="E363" t="str">
        <f>"15427579086992018179"</f>
        <v>15427579086992018179</v>
      </c>
      <c r="F363" s="4" t="s">
        <v>22</v>
      </c>
      <c r="G363" s="13" t="s">
        <v>377</v>
      </c>
      <c r="H363" t="str">
        <f>"8827181121065102"</f>
        <v>8827181121065102</v>
      </c>
      <c r="I363" s="15">
        <v>1458200</v>
      </c>
      <c r="J363" s="4"/>
      <c r="K363" s="10">
        <v>3900</v>
      </c>
      <c r="L363" s="11">
        <f t="shared" si="5"/>
        <v>1454300</v>
      </c>
      <c r="M363" s="6"/>
      <c r="N363" s="13" t="str">
        <f>"441416"</f>
        <v>441416</v>
      </c>
    </row>
    <row r="364" spans="1:14" ht="15">
      <c r="A364" s="9">
        <v>357</v>
      </c>
      <c r="B364" s="4" t="s">
        <v>20</v>
      </c>
      <c r="C364" s="5" t="s">
        <v>21</v>
      </c>
      <c r="D364" s="14">
        <v>43451.461435185185</v>
      </c>
      <c r="E364" t="str">
        <f>"15423561216729170445"</f>
        <v>15423561216729170445</v>
      </c>
      <c r="F364" s="4" t="s">
        <v>22</v>
      </c>
      <c r="G364" s="13" t="s">
        <v>378</v>
      </c>
      <c r="H364" t="str">
        <f>"8827181116151501"</f>
        <v>8827181116151501</v>
      </c>
      <c r="I364" s="15">
        <v>1400100</v>
      </c>
      <c r="J364" s="4"/>
      <c r="K364" s="10">
        <v>3900</v>
      </c>
      <c r="L364" s="11">
        <f t="shared" si="5"/>
        <v>1396200</v>
      </c>
      <c r="M364" s="6"/>
      <c r="N364" s="13" t="str">
        <f>"268472"</f>
        <v>268472</v>
      </c>
    </row>
    <row r="365" spans="1:14" ht="15">
      <c r="A365" s="9">
        <v>358</v>
      </c>
      <c r="B365" s="4" t="s">
        <v>20</v>
      </c>
      <c r="C365" s="5" t="s">
        <v>21</v>
      </c>
      <c r="D365" s="14">
        <v>43451.461053240739</v>
      </c>
      <c r="E365" t="str">
        <f>"15415103532391364227"</f>
        <v>15415103532391364227</v>
      </c>
      <c r="F365" s="4" t="s">
        <v>22</v>
      </c>
      <c r="G365" s="13" t="s">
        <v>379</v>
      </c>
      <c r="H365" t="str">
        <f>"8827181106201901"</f>
        <v>8827181106201901</v>
      </c>
      <c r="I365" s="15">
        <v>1518400</v>
      </c>
      <c r="J365" s="4"/>
      <c r="K365" s="10">
        <v>3900</v>
      </c>
      <c r="L365" s="11">
        <f t="shared" si="5"/>
        <v>1514500</v>
      </c>
      <c r="M365" s="6"/>
      <c r="N365" s="13" t="str">
        <f>"258833"</f>
        <v>258833</v>
      </c>
    </row>
    <row r="366" spans="1:14" ht="15">
      <c r="A366" s="9">
        <v>359</v>
      </c>
      <c r="B366" s="4" t="s">
        <v>20</v>
      </c>
      <c r="C366" s="5" t="s">
        <v>21</v>
      </c>
      <c r="D366" s="14">
        <v>43451.456701388888</v>
      </c>
      <c r="E366" t="str">
        <f>"15419045975882990579"</f>
        <v>15419045975882990579</v>
      </c>
      <c r="F366" s="4" t="s">
        <v>22</v>
      </c>
      <c r="G366" s="13" t="s">
        <v>380</v>
      </c>
      <c r="H366" t="str">
        <f>"8827181111094902"</f>
        <v>8827181111094902</v>
      </c>
      <c r="I366" s="15">
        <v>1226400</v>
      </c>
      <c r="J366" s="4"/>
      <c r="K366" s="10">
        <v>3900</v>
      </c>
      <c r="L366" s="11">
        <f t="shared" si="5"/>
        <v>1222500</v>
      </c>
      <c r="M366" s="6"/>
      <c r="N366" s="13" t="str">
        <f>"936601"</f>
        <v>936601</v>
      </c>
    </row>
    <row r="367" spans="1:14" ht="15">
      <c r="A367" s="9">
        <v>360</v>
      </c>
      <c r="B367" s="4" t="s">
        <v>20</v>
      </c>
      <c r="C367" s="5" t="s">
        <v>21</v>
      </c>
      <c r="D367" s="14">
        <v>43451.451886574076</v>
      </c>
      <c r="E367" t="str">
        <f>"15411344401144540507"</f>
        <v>15411344401144540507</v>
      </c>
      <c r="F367" s="4" t="s">
        <v>22</v>
      </c>
      <c r="G367" s="13" t="s">
        <v>381</v>
      </c>
      <c r="H367" t="str">
        <f>"8827181102115401"</f>
        <v>8827181102115401</v>
      </c>
      <c r="I367" s="15">
        <v>1797000</v>
      </c>
      <c r="J367" s="4"/>
      <c r="K367" s="10">
        <v>3900</v>
      </c>
      <c r="L367" s="11">
        <f t="shared" si="5"/>
        <v>1793100</v>
      </c>
      <c r="M367" s="6"/>
      <c r="N367" s="13" t="str">
        <f>"932948"</f>
        <v>932948</v>
      </c>
    </row>
    <row r="368" spans="1:14" ht="15">
      <c r="A368" s="9">
        <v>361</v>
      </c>
      <c r="B368" s="4" t="s">
        <v>20</v>
      </c>
      <c r="C368" s="5" t="s">
        <v>21</v>
      </c>
      <c r="D368" s="14">
        <v>43451.450104166666</v>
      </c>
      <c r="E368" t="str">
        <f>"15432911491022973491"</f>
        <v>15432911491022973491</v>
      </c>
      <c r="F368" s="4" t="s">
        <v>22</v>
      </c>
      <c r="G368" s="13" t="s">
        <v>382</v>
      </c>
      <c r="H368" t="str">
        <f>"8827181127105902"</f>
        <v>8827181127105902</v>
      </c>
      <c r="I368" s="15">
        <v>1284800</v>
      </c>
      <c r="J368" s="4"/>
      <c r="K368" s="10">
        <v>3900</v>
      </c>
      <c r="L368" s="11">
        <f t="shared" si="5"/>
        <v>1280900</v>
      </c>
      <c r="M368" s="6"/>
      <c r="N368" s="13" t="str">
        <f>"785198"</f>
        <v>785198</v>
      </c>
    </row>
    <row r="369" spans="1:14" ht="15">
      <c r="A369" s="9">
        <v>362</v>
      </c>
      <c r="B369" s="4" t="s">
        <v>20</v>
      </c>
      <c r="C369" s="5" t="s">
        <v>21</v>
      </c>
      <c r="D369" s="14">
        <v>43451.44871527778</v>
      </c>
      <c r="E369" t="str">
        <f>"15433809087609676764"</f>
        <v>15433809087609676764</v>
      </c>
      <c r="F369" s="4" t="s">
        <v>22</v>
      </c>
      <c r="G369" s="13" t="s">
        <v>383</v>
      </c>
      <c r="H369" t="str">
        <f>"8827181128115502"</f>
        <v>8827181128115502</v>
      </c>
      <c r="I369" s="15">
        <v>797250</v>
      </c>
      <c r="J369" s="4"/>
      <c r="K369" s="10">
        <v>3900</v>
      </c>
      <c r="L369" s="11">
        <f t="shared" si="5"/>
        <v>793350</v>
      </c>
      <c r="M369" s="6"/>
      <c r="N369" s="13" t="str">
        <f>"750606"</f>
        <v>750606</v>
      </c>
    </row>
    <row r="370" spans="1:14" ht="15">
      <c r="A370" s="9">
        <v>363</v>
      </c>
      <c r="B370" s="4" t="s">
        <v>20</v>
      </c>
      <c r="C370" s="5" t="s">
        <v>21</v>
      </c>
      <c r="D370" s="14">
        <v>43451.446631944447</v>
      </c>
      <c r="E370" t="str">
        <f>"15412087505061407322"</f>
        <v>15412087505061407322</v>
      </c>
      <c r="F370" s="4" t="s">
        <v>22</v>
      </c>
      <c r="G370" s="13" t="s">
        <v>384</v>
      </c>
      <c r="H370" t="str">
        <f>"8827181103083203"</f>
        <v>8827181103083203</v>
      </c>
      <c r="I370" s="15">
        <v>1812000</v>
      </c>
      <c r="J370" s="4"/>
      <c r="K370" s="10">
        <v>3900</v>
      </c>
      <c r="L370" s="11">
        <f t="shared" si="5"/>
        <v>1808100</v>
      </c>
      <c r="M370" s="6"/>
      <c r="N370" s="13" t="str">
        <f>"695982"</f>
        <v>695982</v>
      </c>
    </row>
    <row r="371" spans="1:14" ht="15">
      <c r="A371" s="9">
        <v>364</v>
      </c>
      <c r="B371" s="4" t="s">
        <v>20</v>
      </c>
      <c r="C371" s="5" t="s">
        <v>21</v>
      </c>
      <c r="D371" s="14">
        <v>43451.444965277777</v>
      </c>
      <c r="E371" t="str">
        <f>"15425985248851235429"</f>
        <v>15425985248851235429</v>
      </c>
      <c r="F371" s="4" t="s">
        <v>22</v>
      </c>
      <c r="G371" s="13" t="s">
        <v>385</v>
      </c>
      <c r="H371" t="str">
        <f>"8827181119103506"</f>
        <v>8827181119103506</v>
      </c>
      <c r="I371" s="15">
        <v>1427800</v>
      </c>
      <c r="J371" s="4"/>
      <c r="K371" s="10">
        <v>3900</v>
      </c>
      <c r="L371" s="11">
        <f t="shared" si="5"/>
        <v>1423900</v>
      </c>
      <c r="M371" s="6"/>
      <c r="N371" s="13" t="str">
        <f>"656402"</f>
        <v>656402</v>
      </c>
    </row>
    <row r="372" spans="1:14" ht="15">
      <c r="A372" s="9">
        <v>365</v>
      </c>
      <c r="B372" s="4" t="s">
        <v>20</v>
      </c>
      <c r="C372" s="5" t="s">
        <v>21</v>
      </c>
      <c r="D372" s="14">
        <v>43451.443831018521</v>
      </c>
      <c r="E372" t="str">
        <f>"15416984291716332070"</f>
        <v>15416984291716332070</v>
      </c>
      <c r="F372" s="4" t="s">
        <v>22</v>
      </c>
      <c r="G372" s="13" t="s">
        <v>386</v>
      </c>
      <c r="H372" t="str">
        <f>"8827181109003302"</f>
        <v>8827181109003302</v>
      </c>
      <c r="I372" s="15">
        <v>1382400</v>
      </c>
      <c r="J372" s="4"/>
      <c r="K372" s="10">
        <v>3900</v>
      </c>
      <c r="L372" s="11">
        <f t="shared" si="5"/>
        <v>1378500</v>
      </c>
      <c r="M372" s="6"/>
      <c r="N372" s="13" t="str">
        <f>"628854"</f>
        <v>628854</v>
      </c>
    </row>
    <row r="373" spans="1:14" ht="15">
      <c r="A373" s="9">
        <v>366</v>
      </c>
      <c r="B373" s="4" t="s">
        <v>20</v>
      </c>
      <c r="C373" s="5" t="s">
        <v>21</v>
      </c>
      <c r="D373" s="14">
        <v>43451.44326388889</v>
      </c>
      <c r="E373" t="str">
        <f>"15420070987512243843"</f>
        <v>15420070987512243843</v>
      </c>
      <c r="F373" s="4" t="s">
        <v>22</v>
      </c>
      <c r="G373" s="13" t="s">
        <v>387</v>
      </c>
      <c r="H373" t="str">
        <f>"8827181112141810"</f>
        <v>8827181112141810</v>
      </c>
      <c r="I373" s="15">
        <v>1152000</v>
      </c>
      <c r="J373" s="4"/>
      <c r="K373" s="10">
        <v>3900</v>
      </c>
      <c r="L373" s="11">
        <f t="shared" si="5"/>
        <v>1148100</v>
      </c>
      <c r="M373" s="6"/>
      <c r="N373" s="13" t="str">
        <f>"611403"</f>
        <v>611403</v>
      </c>
    </row>
    <row r="374" spans="1:14" ht="15">
      <c r="A374" s="9">
        <v>367</v>
      </c>
      <c r="B374" s="4" t="s">
        <v>20</v>
      </c>
      <c r="C374" s="5" t="s">
        <v>21</v>
      </c>
      <c r="D374" s="14">
        <v>43451.442812499998</v>
      </c>
      <c r="E374" t="str">
        <f>"15407274391181053378"</f>
        <v>15407274391181053378</v>
      </c>
      <c r="F374" s="4" t="s">
        <v>22</v>
      </c>
      <c r="G374" s="13" t="s">
        <v>388</v>
      </c>
      <c r="H374" t="str">
        <f>"8827181028185004"</f>
        <v>8827181028185004</v>
      </c>
      <c r="I374" s="15">
        <v>1560000</v>
      </c>
      <c r="J374" s="4"/>
      <c r="K374" s="10">
        <v>3900</v>
      </c>
      <c r="L374" s="11">
        <f t="shared" si="5"/>
        <v>1556100</v>
      </c>
      <c r="M374" s="6"/>
      <c r="N374" s="13" t="str">
        <f>"925514"</f>
        <v>925514</v>
      </c>
    </row>
    <row r="375" spans="1:14" ht="15">
      <c r="A375" s="9">
        <v>368</v>
      </c>
      <c r="B375" s="4" t="s">
        <v>20</v>
      </c>
      <c r="C375" s="5" t="s">
        <v>21</v>
      </c>
      <c r="D375" s="14">
        <v>43451.435219907406</v>
      </c>
      <c r="E375" t="str">
        <f>"15417384082392622136"</f>
        <v>15417384082392622136</v>
      </c>
      <c r="F375" s="4" t="s">
        <v>22</v>
      </c>
      <c r="G375" s="13" t="s">
        <v>389</v>
      </c>
      <c r="H375" t="str">
        <f>"8827181109114001"</f>
        <v>8827181109114001</v>
      </c>
      <c r="I375" s="15">
        <v>1450000</v>
      </c>
      <c r="J375" s="4"/>
      <c r="K375" s="10">
        <v>3900</v>
      </c>
      <c r="L375" s="11">
        <f t="shared" si="5"/>
        <v>1446100</v>
      </c>
      <c r="M375" s="6"/>
      <c r="N375" s="13" t="str">
        <f>"415761"</f>
        <v>415761</v>
      </c>
    </row>
    <row r="376" spans="1:14" ht="15">
      <c r="A376" s="9">
        <v>369</v>
      </c>
      <c r="B376" s="4" t="s">
        <v>20</v>
      </c>
      <c r="C376" s="5" t="s">
        <v>21</v>
      </c>
      <c r="D376" s="14">
        <v>43451.434930555559</v>
      </c>
      <c r="E376" t="str">
        <f>"15432940298776764523"</f>
        <v>15432940298776764523</v>
      </c>
      <c r="F376" s="4" t="s">
        <v>22</v>
      </c>
      <c r="G376" s="13" t="s">
        <v>390</v>
      </c>
      <c r="H376" t="str">
        <f>"8827181127114701"</f>
        <v>8827181127114701</v>
      </c>
      <c r="I376" s="15">
        <v>1077000</v>
      </c>
      <c r="J376" s="4"/>
      <c r="K376" s="10">
        <v>3900</v>
      </c>
      <c r="L376" s="11">
        <f t="shared" si="5"/>
        <v>1073100</v>
      </c>
      <c r="M376" s="6"/>
      <c r="N376" s="13" t="str">
        <f>"920061"</f>
        <v>920061</v>
      </c>
    </row>
    <row r="377" spans="1:14" ht="15">
      <c r="A377" s="9">
        <v>370</v>
      </c>
      <c r="B377" s="4" t="s">
        <v>20</v>
      </c>
      <c r="C377" s="5" t="s">
        <v>21</v>
      </c>
      <c r="D377" s="14">
        <v>43451.434502314813</v>
      </c>
      <c r="E377" t="str">
        <f>"15408206220779261089"</f>
        <v>15408206220779261089</v>
      </c>
      <c r="F377" s="4" t="s">
        <v>22</v>
      </c>
      <c r="G377" s="13" t="s">
        <v>391</v>
      </c>
      <c r="H377" t="str">
        <f>"8827181029204306"</f>
        <v>8827181029204306</v>
      </c>
      <c r="I377" s="15">
        <v>1704000</v>
      </c>
      <c r="J377" s="4"/>
      <c r="K377" s="10">
        <v>3900</v>
      </c>
      <c r="L377" s="11">
        <f t="shared" si="5"/>
        <v>1700100</v>
      </c>
      <c r="M377" s="6"/>
      <c r="N377" s="13" t="str">
        <f>"398614"</f>
        <v>398614</v>
      </c>
    </row>
    <row r="378" spans="1:14" ht="15">
      <c r="A378" s="9">
        <v>371</v>
      </c>
      <c r="B378" s="4" t="s">
        <v>20</v>
      </c>
      <c r="C378" s="5" t="s">
        <v>21</v>
      </c>
      <c r="D378" s="14">
        <v>43451.434444444443</v>
      </c>
      <c r="E378" t="str">
        <f>"15413091535288665726"</f>
        <v>15413091535288665726</v>
      </c>
      <c r="F378" s="4" t="s">
        <v>22</v>
      </c>
      <c r="G378" s="13" t="s">
        <v>392</v>
      </c>
      <c r="H378" t="str">
        <f>"8827181104122502"</f>
        <v>8827181104122502</v>
      </c>
      <c r="I378" s="15">
        <v>1184400</v>
      </c>
      <c r="J378" s="4"/>
      <c r="K378" s="10">
        <v>3900</v>
      </c>
      <c r="L378" s="11">
        <f t="shared" si="5"/>
        <v>1180500</v>
      </c>
      <c r="M378" s="6"/>
      <c r="N378" s="13" t="str">
        <f>"396853"</f>
        <v>396853</v>
      </c>
    </row>
    <row r="379" spans="1:14" ht="15">
      <c r="A379" s="9">
        <v>372</v>
      </c>
      <c r="B379" s="4" t="s">
        <v>20</v>
      </c>
      <c r="C379" s="5" t="s">
        <v>21</v>
      </c>
      <c r="D379" s="14">
        <v>43451.432824074072</v>
      </c>
      <c r="E379" t="str">
        <f>"15433045607198341742"</f>
        <v>15433045607198341742</v>
      </c>
      <c r="F379" s="4" t="s">
        <v>22</v>
      </c>
      <c r="G379" s="13" t="s">
        <v>393</v>
      </c>
      <c r="H379" t="str">
        <f>"8827181127144201"</f>
        <v>8827181127144201</v>
      </c>
      <c r="I379" s="15">
        <v>1752000</v>
      </c>
      <c r="J379" s="4"/>
      <c r="K379" s="10">
        <v>3900</v>
      </c>
      <c r="L379" s="11">
        <f t="shared" si="5"/>
        <v>1748100</v>
      </c>
      <c r="M379" s="6"/>
      <c r="N379" s="13" t="str">
        <f>"358530"</f>
        <v>358530</v>
      </c>
    </row>
    <row r="380" spans="1:14" ht="15">
      <c r="A380" s="9">
        <v>373</v>
      </c>
      <c r="B380" s="4" t="s">
        <v>20</v>
      </c>
      <c r="C380" s="5" t="s">
        <v>21</v>
      </c>
      <c r="D380" s="14">
        <v>43451.431527777779</v>
      </c>
      <c r="E380" t="str">
        <f>"15430287044649546111"</f>
        <v>15430287044649546111</v>
      </c>
      <c r="F380" s="4" t="s">
        <v>22</v>
      </c>
      <c r="G380" s="13" t="s">
        <v>394</v>
      </c>
      <c r="H380" t="str">
        <f>"8827181124100501"</f>
        <v>8827181124100501</v>
      </c>
      <c r="I380" s="15">
        <v>750000</v>
      </c>
      <c r="J380" s="4"/>
      <c r="K380" s="10">
        <v>3900</v>
      </c>
      <c r="L380" s="11">
        <f t="shared" si="5"/>
        <v>746100</v>
      </c>
      <c r="M380" s="6"/>
      <c r="N380" s="13" t="str">
        <f>"329022"</f>
        <v>329022</v>
      </c>
    </row>
    <row r="381" spans="1:14" ht="15">
      <c r="A381" s="9">
        <v>374</v>
      </c>
      <c r="B381" s="4" t="s">
        <v>20</v>
      </c>
      <c r="C381" s="5" t="s">
        <v>21</v>
      </c>
      <c r="D381" s="14">
        <v>43451.431215277778</v>
      </c>
      <c r="E381" t="str">
        <f>"15411280133182939446"</f>
        <v>15411280133182939446</v>
      </c>
      <c r="F381" s="4" t="s">
        <v>22</v>
      </c>
      <c r="G381" s="13" t="s">
        <v>395</v>
      </c>
      <c r="H381" t="str">
        <f>"8827181102100607"</f>
        <v>8827181102100607</v>
      </c>
      <c r="I381" s="15">
        <v>2382000</v>
      </c>
      <c r="J381" s="4"/>
      <c r="K381" s="10">
        <v>3900</v>
      </c>
      <c r="L381" s="11">
        <f t="shared" si="5"/>
        <v>2378100</v>
      </c>
      <c r="M381" s="6"/>
      <c r="N381" s="13" t="str">
        <f>"322211"</f>
        <v>322211</v>
      </c>
    </row>
    <row r="382" spans="1:14" ht="15">
      <c r="A382" s="9">
        <v>375</v>
      </c>
      <c r="B382" s="4" t="s">
        <v>20</v>
      </c>
      <c r="C382" s="5" t="s">
        <v>21</v>
      </c>
      <c r="D382" s="14">
        <v>43451.430520833332</v>
      </c>
      <c r="E382" t="str">
        <f>"15417515725486692716"</f>
        <v>15417515725486692716</v>
      </c>
      <c r="F382" s="4" t="s">
        <v>22</v>
      </c>
      <c r="G382" s="13" t="s">
        <v>396</v>
      </c>
      <c r="H382" t="str">
        <f>"8827181109151903"</f>
        <v>8827181109151903</v>
      </c>
      <c r="I382" s="15">
        <v>1752000</v>
      </c>
      <c r="J382" s="4"/>
      <c r="K382" s="10">
        <v>3900</v>
      </c>
      <c r="L382" s="11">
        <f t="shared" si="5"/>
        <v>1748100</v>
      </c>
      <c r="M382" s="6"/>
      <c r="N382" s="13" t="str">
        <f>"305177"</f>
        <v>305177</v>
      </c>
    </row>
    <row r="383" spans="1:14" ht="15">
      <c r="A383" s="9">
        <v>376</v>
      </c>
      <c r="B383" s="4" t="s">
        <v>20</v>
      </c>
      <c r="C383" s="5" t="s">
        <v>21</v>
      </c>
      <c r="D383" s="14">
        <v>43451.429918981485</v>
      </c>
      <c r="E383" t="str">
        <f>"15420798060416720247"</f>
        <v>15420798060416720247</v>
      </c>
      <c r="F383" s="4" t="s">
        <v>22</v>
      </c>
      <c r="G383" s="13" t="s">
        <v>397</v>
      </c>
      <c r="H383" t="str">
        <f>"8827181113103004"</f>
        <v>8827181113103004</v>
      </c>
      <c r="I383" s="15">
        <v>1752000</v>
      </c>
      <c r="J383" s="4"/>
      <c r="K383" s="10">
        <v>3900</v>
      </c>
      <c r="L383" s="11">
        <f t="shared" si="5"/>
        <v>1748100</v>
      </c>
      <c r="M383" s="6"/>
      <c r="N383" s="13" t="str">
        <f>"290702"</f>
        <v>290702</v>
      </c>
    </row>
    <row r="384" spans="1:14" ht="15">
      <c r="A384" s="9">
        <v>377</v>
      </c>
      <c r="B384" s="4" t="s">
        <v>20</v>
      </c>
      <c r="C384" s="5" t="s">
        <v>21</v>
      </c>
      <c r="D384" s="14">
        <v>43451.429722222223</v>
      </c>
      <c r="E384" t="str">
        <f>"15410399267019379984"</f>
        <v>15410399267019379984</v>
      </c>
      <c r="F384" s="4" t="s">
        <v>22</v>
      </c>
      <c r="G384" s="13" t="s">
        <v>375</v>
      </c>
      <c r="H384" t="str">
        <f>"8827181101093811"</f>
        <v>8827181101093811</v>
      </c>
      <c r="I384" s="15">
        <v>1700000</v>
      </c>
      <c r="J384" s="4"/>
      <c r="K384" s="10">
        <v>3900</v>
      </c>
      <c r="L384" s="11">
        <f t="shared" si="5"/>
        <v>1696100</v>
      </c>
      <c r="M384" s="6"/>
      <c r="N384" s="13" t="str">
        <f>"286213"</f>
        <v>286213</v>
      </c>
    </row>
    <row r="385" spans="1:14" ht="15">
      <c r="A385" s="9">
        <v>378</v>
      </c>
      <c r="B385" s="4" t="s">
        <v>20</v>
      </c>
      <c r="C385" s="5" t="s">
        <v>21</v>
      </c>
      <c r="D385" s="14">
        <v>43451.429606481484</v>
      </c>
      <c r="E385" t="str">
        <f>"15408780946887173989"</f>
        <v>15408780946887173989</v>
      </c>
      <c r="F385" s="4" t="s">
        <v>22</v>
      </c>
      <c r="G385" s="13" t="s">
        <v>398</v>
      </c>
      <c r="H385" t="str">
        <f>"8827181030124104"</f>
        <v>8827181030124104</v>
      </c>
      <c r="I385" s="15">
        <v>1812000</v>
      </c>
      <c r="J385" s="4"/>
      <c r="K385" s="10">
        <v>3900</v>
      </c>
      <c r="L385" s="11">
        <f t="shared" si="5"/>
        <v>1808100</v>
      </c>
      <c r="M385" s="6"/>
      <c r="N385" s="13" t="str">
        <f>"283414"</f>
        <v>283414</v>
      </c>
    </row>
    <row r="386" spans="1:14" ht="15">
      <c r="A386" s="9">
        <v>379</v>
      </c>
      <c r="B386" s="4" t="s">
        <v>20</v>
      </c>
      <c r="C386" s="5" t="s">
        <v>21</v>
      </c>
      <c r="D386" s="14">
        <v>43451.425173611111</v>
      </c>
      <c r="E386" t="str">
        <f>"15429726517407849559"</f>
        <v>15429726517407849559</v>
      </c>
      <c r="F386" s="4" t="s">
        <v>22</v>
      </c>
      <c r="G386" s="13" t="s">
        <v>399</v>
      </c>
      <c r="H386" t="str">
        <f>"8827181123183001"</f>
        <v>8827181123183001</v>
      </c>
      <c r="I386" s="15">
        <v>1812000</v>
      </c>
      <c r="J386" s="4"/>
      <c r="K386" s="10">
        <v>3900</v>
      </c>
      <c r="L386" s="11">
        <f t="shared" si="5"/>
        <v>1808100</v>
      </c>
      <c r="M386" s="6"/>
      <c r="N386" s="13" t="str">
        <f>"172311"</f>
        <v>172311</v>
      </c>
    </row>
    <row r="387" spans="1:14" ht="15">
      <c r="A387" s="9">
        <v>380</v>
      </c>
      <c r="B387" s="4" t="s">
        <v>20</v>
      </c>
      <c r="C387" s="5" t="s">
        <v>21</v>
      </c>
      <c r="D387" s="14">
        <v>43451.422800925924</v>
      </c>
      <c r="E387" t="str">
        <f>"15420188321978321000"</f>
        <v>15420188321978321000</v>
      </c>
      <c r="F387" s="4" t="s">
        <v>22</v>
      </c>
      <c r="G387" s="13" t="s">
        <v>400</v>
      </c>
      <c r="H387" t="str">
        <f>"8827181112173304"</f>
        <v>8827181112173304</v>
      </c>
      <c r="I387" s="15">
        <v>1284800</v>
      </c>
      <c r="J387" s="4"/>
      <c r="K387" s="10">
        <v>3900</v>
      </c>
      <c r="L387" s="11">
        <f t="shared" si="5"/>
        <v>1280900</v>
      </c>
      <c r="M387" s="6"/>
      <c r="N387" s="13" t="str">
        <f>"116625"</f>
        <v>116625</v>
      </c>
    </row>
    <row r="388" spans="1:14" ht="15">
      <c r="A388" s="9">
        <v>381</v>
      </c>
      <c r="B388" s="4" t="s">
        <v>20</v>
      </c>
      <c r="C388" s="5" t="s">
        <v>21</v>
      </c>
      <c r="D388" s="14">
        <v>43451.420439814814</v>
      </c>
      <c r="E388" t="str">
        <f>"15430596529629882521"</f>
        <v>15430596529629882521</v>
      </c>
      <c r="F388" s="4" t="s">
        <v>22</v>
      </c>
      <c r="G388" s="13" t="s">
        <v>401</v>
      </c>
      <c r="H388" t="str">
        <f>"8827181124184002"</f>
        <v>8827181124184002</v>
      </c>
      <c r="I388" s="15">
        <v>1797000</v>
      </c>
      <c r="J388" s="4"/>
      <c r="K388" s="10">
        <v>3900</v>
      </c>
      <c r="L388" s="11">
        <f t="shared" si="5"/>
        <v>1793100</v>
      </c>
      <c r="M388" s="6"/>
      <c r="N388" s="13" t="str">
        <f>"061213"</f>
        <v>061213</v>
      </c>
    </row>
    <row r="389" spans="1:14" ht="15">
      <c r="A389" s="9">
        <v>382</v>
      </c>
      <c r="B389" s="4" t="s">
        <v>20</v>
      </c>
      <c r="C389" s="5" t="s">
        <v>21</v>
      </c>
      <c r="D389" s="14">
        <v>43451.420277777775</v>
      </c>
      <c r="E389" t="str">
        <f>"15422524270077104568"</f>
        <v>15422524270077104568</v>
      </c>
      <c r="F389" s="4" t="s">
        <v>22</v>
      </c>
      <c r="G389" s="13" t="s">
        <v>402</v>
      </c>
      <c r="H389" t="str">
        <f>"8827181115102701"</f>
        <v>8827181115102701</v>
      </c>
      <c r="I389" s="15">
        <v>1028000</v>
      </c>
      <c r="J389" s="4"/>
      <c r="K389" s="10">
        <v>3900</v>
      </c>
      <c r="L389" s="11">
        <f t="shared" si="5"/>
        <v>1024100</v>
      </c>
      <c r="M389" s="6"/>
      <c r="N389" s="13" t="str">
        <f>"057354"</f>
        <v>057354</v>
      </c>
    </row>
    <row r="390" spans="1:14" ht="15">
      <c r="A390" s="9">
        <v>383</v>
      </c>
      <c r="B390" s="4" t="s">
        <v>20</v>
      </c>
      <c r="C390" s="5" t="s">
        <v>21</v>
      </c>
      <c r="D390" s="14">
        <v>43451.419965277775</v>
      </c>
      <c r="E390" t="str">
        <f>"15414006808322936755"</f>
        <v>15414006808322936755</v>
      </c>
      <c r="F390" s="4" t="s">
        <v>22</v>
      </c>
      <c r="G390" s="13" t="s">
        <v>403</v>
      </c>
      <c r="H390" t="str">
        <f>"8827181105135102"</f>
        <v>8827181105135102</v>
      </c>
      <c r="I390" s="15">
        <v>1510000</v>
      </c>
      <c r="J390" s="4"/>
      <c r="K390" s="10">
        <v>3900</v>
      </c>
      <c r="L390" s="11">
        <f t="shared" si="5"/>
        <v>1506100</v>
      </c>
      <c r="M390" s="6"/>
      <c r="N390" s="13" t="str">
        <f>"049279"</f>
        <v>049279</v>
      </c>
    </row>
    <row r="391" spans="1:14" ht="15">
      <c r="A391" s="9">
        <v>384</v>
      </c>
      <c r="B391" s="4" t="s">
        <v>20</v>
      </c>
      <c r="C391" s="5" t="s">
        <v>21</v>
      </c>
      <c r="D391" s="14">
        <v>43451.417858796296</v>
      </c>
      <c r="E391" t="str">
        <f>"15416452616188104720"</f>
        <v>15416452616188104720</v>
      </c>
      <c r="F391" s="4" t="s">
        <v>22</v>
      </c>
      <c r="G391" s="13" t="s">
        <v>404</v>
      </c>
      <c r="H391" t="str">
        <f>"8827181108094705"</f>
        <v>8827181108094705</v>
      </c>
      <c r="I391" s="15">
        <v>1343200</v>
      </c>
      <c r="J391" s="4"/>
      <c r="K391" s="10">
        <v>3900</v>
      </c>
      <c r="L391" s="11">
        <f t="shared" si="5"/>
        <v>1339300</v>
      </c>
      <c r="M391" s="6"/>
      <c r="N391" s="13" t="str">
        <f>"797442"</f>
        <v>797442</v>
      </c>
    </row>
    <row r="392" spans="1:14" ht="15">
      <c r="A392" s="9">
        <v>385</v>
      </c>
      <c r="B392" s="4" t="s">
        <v>20</v>
      </c>
      <c r="C392" s="5" t="s">
        <v>21</v>
      </c>
      <c r="D392" s="14">
        <v>43451.417141203703</v>
      </c>
      <c r="E392" t="str">
        <f>"15421594243032255896"</f>
        <v>15421594243032255896</v>
      </c>
      <c r="F392" s="4" t="s">
        <v>22</v>
      </c>
      <c r="G392" s="13" t="s">
        <v>405</v>
      </c>
      <c r="H392" t="str">
        <f>"8827181114083701"</f>
        <v>8827181114083701</v>
      </c>
      <c r="I392" s="15">
        <v>1680000</v>
      </c>
      <c r="J392" s="4"/>
      <c r="K392" s="10">
        <v>3900</v>
      </c>
      <c r="L392" s="11">
        <f t="shared" si="5"/>
        <v>1676100</v>
      </c>
      <c r="M392" s="6"/>
      <c r="N392" s="13" t="str">
        <f>"778376"</f>
        <v>778376</v>
      </c>
    </row>
    <row r="393" spans="1:14" ht="15">
      <c r="A393" s="9">
        <v>386</v>
      </c>
      <c r="B393" s="4" t="s">
        <v>20</v>
      </c>
      <c r="C393" s="5" t="s">
        <v>21</v>
      </c>
      <c r="D393" s="14">
        <v>43451.415347222224</v>
      </c>
      <c r="E393" t="str">
        <f>"15420960811624090761"</f>
        <v>15420960811624090761</v>
      </c>
      <c r="F393" s="4" t="s">
        <v>22</v>
      </c>
      <c r="G393" s="13" t="s">
        <v>406</v>
      </c>
      <c r="H393" t="str">
        <f>"8827181113150102"</f>
        <v>8827181113150102</v>
      </c>
      <c r="I393" s="15">
        <v>753900</v>
      </c>
      <c r="J393" s="4"/>
      <c r="K393" s="10">
        <v>3900</v>
      </c>
      <c r="L393" s="11">
        <f t="shared" ref="L393:L456" si="6">(I393-K393)</f>
        <v>750000</v>
      </c>
      <c r="M393" s="6"/>
      <c r="N393" s="13" t="str">
        <f>"737869"</f>
        <v>737869</v>
      </c>
    </row>
    <row r="394" spans="1:14" ht="15">
      <c r="A394" s="9">
        <v>387</v>
      </c>
      <c r="B394" s="4" t="s">
        <v>20</v>
      </c>
      <c r="C394" s="5" t="s">
        <v>21</v>
      </c>
      <c r="D394" s="14">
        <v>43451.415289351855</v>
      </c>
      <c r="E394" t="str">
        <f>"15407791521852203489"</f>
        <v>15407791521852203489</v>
      </c>
      <c r="F394" s="4" t="s">
        <v>22</v>
      </c>
      <c r="G394" s="13" t="s">
        <v>407</v>
      </c>
      <c r="H394" t="str">
        <f>"8827181029091204"</f>
        <v>8827181029091204</v>
      </c>
      <c r="I394" s="15">
        <v>1296000</v>
      </c>
      <c r="J394" s="4"/>
      <c r="K394" s="10">
        <v>3900</v>
      </c>
      <c r="L394" s="11">
        <f t="shared" si="6"/>
        <v>1292100</v>
      </c>
      <c r="M394" s="6"/>
      <c r="N394" s="13" t="str">
        <f>"906607"</f>
        <v>906607</v>
      </c>
    </row>
    <row r="395" spans="1:14" ht="15">
      <c r="A395" s="9">
        <v>388</v>
      </c>
      <c r="B395" s="4" t="s">
        <v>20</v>
      </c>
      <c r="C395" s="5" t="s">
        <v>21</v>
      </c>
      <c r="D395" s="14">
        <v>43451.414953703701</v>
      </c>
      <c r="E395" t="str">
        <f>"15410711863349855335"</f>
        <v>15410711863349855335</v>
      </c>
      <c r="F395" s="4" t="s">
        <v>22</v>
      </c>
      <c r="G395" s="13" t="s">
        <v>408</v>
      </c>
      <c r="H395" t="str">
        <f>"8827181101181907"</f>
        <v>8827181101181907</v>
      </c>
      <c r="I395" s="15">
        <v>1752000</v>
      </c>
      <c r="J395" s="4"/>
      <c r="K395" s="10">
        <v>3900</v>
      </c>
      <c r="L395" s="11">
        <f t="shared" si="6"/>
        <v>1748100</v>
      </c>
      <c r="M395" s="6"/>
      <c r="N395" s="13" t="str">
        <f>"729136"</f>
        <v>729136</v>
      </c>
    </row>
    <row r="396" spans="1:14" ht="15">
      <c r="A396" s="9">
        <v>389</v>
      </c>
      <c r="B396" s="4" t="s">
        <v>20</v>
      </c>
      <c r="C396" s="5" t="s">
        <v>21</v>
      </c>
      <c r="D396" s="14">
        <v>43451.411493055559</v>
      </c>
      <c r="E396" t="str">
        <f>"15414147222202391383"</f>
        <v>15414147222202391383</v>
      </c>
      <c r="F396" s="4" t="s">
        <v>22</v>
      </c>
      <c r="G396" s="13" t="s">
        <v>409</v>
      </c>
      <c r="H396" t="str">
        <f>"8827181105174504"</f>
        <v>8827181105174504</v>
      </c>
      <c r="I396" s="15">
        <v>1752000</v>
      </c>
      <c r="J396" s="4"/>
      <c r="K396" s="10">
        <v>3900</v>
      </c>
      <c r="L396" s="11">
        <f t="shared" si="6"/>
        <v>1748100</v>
      </c>
      <c r="M396" s="6"/>
      <c r="N396" s="13" t="str">
        <f>"903796"</f>
        <v>903796</v>
      </c>
    </row>
    <row r="397" spans="1:14" ht="15">
      <c r="A397" s="9">
        <v>390</v>
      </c>
      <c r="B397" s="4" t="s">
        <v>20</v>
      </c>
      <c r="C397" s="5" t="s">
        <v>21</v>
      </c>
      <c r="D397" s="14">
        <v>43451.411099537036</v>
      </c>
      <c r="E397" t="str">
        <f>"15430398307829360624"</f>
        <v>15430398307829360624</v>
      </c>
      <c r="F397" s="4" t="s">
        <v>22</v>
      </c>
      <c r="G397" s="13" t="s">
        <v>410</v>
      </c>
      <c r="H397" t="str">
        <f>"8827181124131001"</f>
        <v>8827181124131001</v>
      </c>
      <c r="I397" s="15">
        <v>1797000</v>
      </c>
      <c r="J397" s="4"/>
      <c r="K397" s="10">
        <v>3900</v>
      </c>
      <c r="L397" s="11">
        <f t="shared" si="6"/>
        <v>1793100</v>
      </c>
      <c r="M397" s="6"/>
      <c r="N397" s="13" t="str">
        <f>"638995"</f>
        <v>638995</v>
      </c>
    </row>
    <row r="398" spans="1:14" ht="15">
      <c r="A398" s="9">
        <v>391</v>
      </c>
      <c r="B398" s="4" t="s">
        <v>20</v>
      </c>
      <c r="C398" s="5" t="s">
        <v>21</v>
      </c>
      <c r="D398" s="14">
        <v>43451.410879629628</v>
      </c>
      <c r="E398" t="str">
        <f>"15444359212297764255"</f>
        <v>15444359212297764255</v>
      </c>
      <c r="F398" s="4" t="s">
        <v>22</v>
      </c>
      <c r="G398" s="13" t="s">
        <v>411</v>
      </c>
      <c r="H398" t="str">
        <f>"8827181210165802"</f>
        <v>8827181210165802</v>
      </c>
      <c r="I398" s="15">
        <v>1049000</v>
      </c>
      <c r="J398" s="4"/>
      <c r="K398" s="10">
        <v>3900</v>
      </c>
      <c r="L398" s="11">
        <f t="shared" si="6"/>
        <v>1045100</v>
      </c>
      <c r="M398" s="6"/>
      <c r="N398" s="13" t="str">
        <f>"633767"</f>
        <v>633767</v>
      </c>
    </row>
    <row r="399" spans="1:14" ht="15">
      <c r="A399" s="9">
        <v>392</v>
      </c>
      <c r="B399" s="4" t="s">
        <v>20</v>
      </c>
      <c r="C399" s="5" t="s">
        <v>21</v>
      </c>
      <c r="D399" s="14">
        <v>43451.408738425926</v>
      </c>
      <c r="E399" t="str">
        <f>"15413821653852525001"</f>
        <v>15413821653852525001</v>
      </c>
      <c r="F399" s="4" t="s">
        <v>22</v>
      </c>
      <c r="G399" s="13" t="s">
        <v>412</v>
      </c>
      <c r="H399" t="str">
        <f>"8827181105084206"</f>
        <v>8827181105084206</v>
      </c>
      <c r="I399" s="15">
        <v>1531400</v>
      </c>
      <c r="J399" s="4"/>
      <c r="K399" s="10">
        <v>3900</v>
      </c>
      <c r="L399" s="11">
        <f t="shared" si="6"/>
        <v>1527500</v>
      </c>
      <c r="M399" s="6"/>
      <c r="N399" s="13" t="str">
        <f>"574479"</f>
        <v>574479</v>
      </c>
    </row>
    <row r="400" spans="1:14" ht="15">
      <c r="A400" s="9">
        <v>393</v>
      </c>
      <c r="B400" s="4" t="s">
        <v>20</v>
      </c>
      <c r="C400" s="5" t="s">
        <v>21</v>
      </c>
      <c r="D400" s="14">
        <v>43451.408680555556</v>
      </c>
      <c r="E400" t="str">
        <f>"15416738302989285481"</f>
        <v>15416738302989285481</v>
      </c>
      <c r="F400" s="4" t="s">
        <v>22</v>
      </c>
      <c r="G400" s="13" t="s">
        <v>413</v>
      </c>
      <c r="H400" t="str">
        <f>"8827181108174304"</f>
        <v>8827181108174304</v>
      </c>
      <c r="I400" s="15">
        <v>1752000</v>
      </c>
      <c r="J400" s="4"/>
      <c r="K400" s="10">
        <v>3900</v>
      </c>
      <c r="L400" s="11">
        <f t="shared" si="6"/>
        <v>1748100</v>
      </c>
      <c r="M400" s="6"/>
      <c r="N400" s="13" t="str">
        <f>"573093"</f>
        <v>573093</v>
      </c>
    </row>
    <row r="401" spans="1:14" ht="15">
      <c r="A401" s="9">
        <v>394</v>
      </c>
      <c r="B401" s="4" t="s">
        <v>20</v>
      </c>
      <c r="C401" s="5" t="s">
        <v>21</v>
      </c>
      <c r="D401" s="14">
        <v>43451.40797453704</v>
      </c>
      <c r="E401" t="str">
        <f>"15415523458366578944"</f>
        <v>15415523458366578944</v>
      </c>
      <c r="F401" s="4" t="s">
        <v>22</v>
      </c>
      <c r="G401" s="13" t="s">
        <v>414</v>
      </c>
      <c r="H401" t="str">
        <f>"8827181107075901"</f>
        <v>8827181107075901</v>
      </c>
      <c r="I401" s="15">
        <v>1051200</v>
      </c>
      <c r="J401" s="4"/>
      <c r="K401" s="10">
        <v>3900</v>
      </c>
      <c r="L401" s="11">
        <f t="shared" si="6"/>
        <v>1047300</v>
      </c>
      <c r="M401" s="6"/>
      <c r="N401" s="13" t="str">
        <f>"556440"</f>
        <v>556440</v>
      </c>
    </row>
    <row r="402" spans="1:14" ht="15">
      <c r="A402" s="9">
        <v>395</v>
      </c>
      <c r="B402" s="4" t="s">
        <v>20</v>
      </c>
      <c r="C402" s="5" t="s">
        <v>21</v>
      </c>
      <c r="D402" s="14">
        <v>43451.405601851853</v>
      </c>
      <c r="E402" t="str">
        <f>"15407946933354356808"</f>
        <v>15407946933354356808</v>
      </c>
      <c r="F402" s="4" t="s">
        <v>22</v>
      </c>
      <c r="G402" s="13" t="s">
        <v>415</v>
      </c>
      <c r="H402" t="str">
        <f>"8827181029133105"</f>
        <v>8827181029133105</v>
      </c>
      <c r="I402" s="15">
        <v>1836000</v>
      </c>
      <c r="J402" s="4"/>
      <c r="K402" s="10">
        <v>3900</v>
      </c>
      <c r="L402" s="11">
        <f t="shared" si="6"/>
        <v>1832100</v>
      </c>
      <c r="M402" s="6"/>
      <c r="N402" s="13" t="str">
        <f>"503575"</f>
        <v>503575</v>
      </c>
    </row>
    <row r="403" spans="1:14" ht="15">
      <c r="A403" s="9">
        <v>396</v>
      </c>
      <c r="B403" s="4" t="s">
        <v>20</v>
      </c>
      <c r="C403" s="5" t="s">
        <v>21</v>
      </c>
      <c r="D403" s="14">
        <v>43451.405509259261</v>
      </c>
      <c r="E403" t="str">
        <f>"15416669822699867822"</f>
        <v>15416669822699867822</v>
      </c>
      <c r="F403" s="4" t="s">
        <v>22</v>
      </c>
      <c r="G403" s="13" t="s">
        <v>416</v>
      </c>
      <c r="H403" t="str">
        <f>"8827181108154902"</f>
        <v>8827181108154902</v>
      </c>
      <c r="I403" s="15">
        <v>1740000</v>
      </c>
      <c r="J403" s="4"/>
      <c r="K403" s="10">
        <v>3900</v>
      </c>
      <c r="L403" s="11">
        <f t="shared" si="6"/>
        <v>1736100</v>
      </c>
      <c r="M403" s="6"/>
      <c r="N403" s="13" t="str">
        <f>"999397"</f>
        <v>999397</v>
      </c>
    </row>
    <row r="404" spans="1:14" ht="15">
      <c r="A404" s="9">
        <v>397</v>
      </c>
      <c r="B404" s="4" t="s">
        <v>20</v>
      </c>
      <c r="C404" s="5" t="s">
        <v>21</v>
      </c>
      <c r="D404" s="14">
        <v>43451.40185185185</v>
      </c>
      <c r="E404" t="str">
        <f>"15406860571104199065"</f>
        <v>15406860571104199065</v>
      </c>
      <c r="F404" s="4" t="s">
        <v>22</v>
      </c>
      <c r="G404" s="13" t="s">
        <v>148</v>
      </c>
      <c r="H404" t="str">
        <f>"8827181028072004"</f>
        <v>8827181028072004</v>
      </c>
      <c r="I404" s="15">
        <v>400000</v>
      </c>
      <c r="J404" s="4"/>
      <c r="K404" s="10">
        <v>3900</v>
      </c>
      <c r="L404" s="11">
        <f t="shared" si="6"/>
        <v>396100</v>
      </c>
      <c r="M404" s="6"/>
      <c r="N404" s="13" t="str">
        <f>"996779"</f>
        <v>996779</v>
      </c>
    </row>
    <row r="405" spans="1:14" ht="15">
      <c r="A405" s="9">
        <v>398</v>
      </c>
      <c r="B405" s="4" t="s">
        <v>20</v>
      </c>
      <c r="C405" s="5" t="s">
        <v>21</v>
      </c>
      <c r="D405" s="14">
        <v>43451.398379629631</v>
      </c>
      <c r="E405" t="str">
        <f>"15415741931304047341"</f>
        <v>15415741931304047341</v>
      </c>
      <c r="F405" s="4" t="s">
        <v>22</v>
      </c>
      <c r="G405" s="13" t="s">
        <v>417</v>
      </c>
      <c r="H405" t="str">
        <f>"8827181107140303"</f>
        <v>8827181107140303</v>
      </c>
      <c r="I405" s="15">
        <v>1512000</v>
      </c>
      <c r="J405" s="4"/>
      <c r="K405" s="10">
        <v>3900</v>
      </c>
      <c r="L405" s="11">
        <f t="shared" si="6"/>
        <v>1508100</v>
      </c>
      <c r="M405" s="6"/>
      <c r="N405" s="13" t="str">
        <f>"337027"</f>
        <v>337027</v>
      </c>
    </row>
    <row r="406" spans="1:14" ht="15">
      <c r="A406" s="9">
        <v>399</v>
      </c>
      <c r="B406" s="4" t="s">
        <v>20</v>
      </c>
      <c r="C406" s="5" t="s">
        <v>21</v>
      </c>
      <c r="D406" s="14">
        <v>43451.392974537041</v>
      </c>
      <c r="E406" t="str">
        <f>"15414132965278695775"</f>
        <v>15414132965278695775</v>
      </c>
      <c r="F406" s="4" t="s">
        <v>22</v>
      </c>
      <c r="G406" s="13" t="s">
        <v>418</v>
      </c>
      <c r="H406" t="str">
        <f>"8827181105172107"</f>
        <v>8827181105172107</v>
      </c>
      <c r="I406" s="15">
        <v>1440000</v>
      </c>
      <c r="J406" s="4"/>
      <c r="K406" s="10">
        <v>3900</v>
      </c>
      <c r="L406" s="11">
        <f t="shared" si="6"/>
        <v>1436100</v>
      </c>
      <c r="M406" s="6"/>
      <c r="N406" s="13" t="str">
        <f>"204310"</f>
        <v>204310</v>
      </c>
    </row>
    <row r="407" spans="1:14" ht="15">
      <c r="A407" s="9">
        <v>400</v>
      </c>
      <c r="B407" s="4" t="s">
        <v>20</v>
      </c>
      <c r="C407" s="5" t="s">
        <v>21</v>
      </c>
      <c r="D407" s="14">
        <v>43451.392152777778</v>
      </c>
      <c r="E407" t="str">
        <f>"15408806964516927377"</f>
        <v>15408806964516927377</v>
      </c>
      <c r="F407" s="4" t="s">
        <v>22</v>
      </c>
      <c r="G407" s="13" t="s">
        <v>419</v>
      </c>
      <c r="H407" t="str">
        <f>"8827181030132408"</f>
        <v>8827181030132408</v>
      </c>
      <c r="I407" s="15">
        <v>1584000</v>
      </c>
      <c r="J407" s="4"/>
      <c r="K407" s="10">
        <v>3900</v>
      </c>
      <c r="L407" s="11">
        <f t="shared" si="6"/>
        <v>1580100</v>
      </c>
      <c r="M407" s="6"/>
      <c r="N407" s="13" t="str">
        <f>"989650"</f>
        <v>989650</v>
      </c>
    </row>
    <row r="408" spans="1:14" ht="15">
      <c r="A408" s="9">
        <v>401</v>
      </c>
      <c r="B408" s="4" t="s">
        <v>20</v>
      </c>
      <c r="C408" s="5" t="s">
        <v>21</v>
      </c>
      <c r="D408" s="14">
        <v>43451.391284722224</v>
      </c>
      <c r="E408" t="str">
        <f>"15408192199889042152"</f>
        <v>15408192199889042152</v>
      </c>
      <c r="F408" s="4" t="s">
        <v>22</v>
      </c>
      <c r="G408" s="13" t="s">
        <v>420</v>
      </c>
      <c r="H408" t="str">
        <f>"8827181029202002"</f>
        <v>8827181029202002</v>
      </c>
      <c r="I408" s="15">
        <v>1947000</v>
      </c>
      <c r="J408" s="4"/>
      <c r="K408" s="10">
        <v>3900</v>
      </c>
      <c r="L408" s="11">
        <f t="shared" si="6"/>
        <v>1943100</v>
      </c>
      <c r="M408" s="6"/>
      <c r="N408" s="13" t="str">
        <f>"154262"</f>
        <v>154262</v>
      </c>
    </row>
    <row r="409" spans="1:14" ht="15">
      <c r="A409" s="9">
        <v>402</v>
      </c>
      <c r="B409" s="4" t="s">
        <v>20</v>
      </c>
      <c r="C409" s="5" t="s">
        <v>21</v>
      </c>
      <c r="D409" s="14">
        <v>43451.390370370369</v>
      </c>
      <c r="E409" t="str">
        <f>"15414082212114126412"</f>
        <v>15414082212114126412</v>
      </c>
      <c r="F409" s="4" t="s">
        <v>22</v>
      </c>
      <c r="G409" s="13" t="s">
        <v>421</v>
      </c>
      <c r="H409" t="str">
        <f>"8827181105155701"</f>
        <v>8827181105155701</v>
      </c>
      <c r="I409" s="15">
        <v>1767000</v>
      </c>
      <c r="J409" s="4"/>
      <c r="K409" s="10">
        <v>3900</v>
      </c>
      <c r="L409" s="11">
        <f t="shared" si="6"/>
        <v>1763100</v>
      </c>
      <c r="M409" s="6"/>
      <c r="N409" s="13" t="str">
        <f>"131381"</f>
        <v>131381</v>
      </c>
    </row>
    <row r="410" spans="1:14" ht="15">
      <c r="A410" s="9">
        <v>403</v>
      </c>
      <c r="B410" s="4" t="s">
        <v>20</v>
      </c>
      <c r="C410" s="5" t="s">
        <v>21</v>
      </c>
      <c r="D410" s="14">
        <v>43451.390277777777</v>
      </c>
      <c r="E410" t="str">
        <f>"15412316201669358626"</f>
        <v>15412316201669358626</v>
      </c>
      <c r="F410" s="4" t="s">
        <v>22</v>
      </c>
      <c r="G410" s="13" t="s">
        <v>422</v>
      </c>
      <c r="H410" t="str">
        <f>"8827181103145303"</f>
        <v>8827181103145303</v>
      </c>
      <c r="I410" s="15">
        <v>1501200</v>
      </c>
      <c r="J410" s="4"/>
      <c r="K410" s="10">
        <v>3900</v>
      </c>
      <c r="L410" s="11">
        <f t="shared" si="6"/>
        <v>1497300</v>
      </c>
      <c r="M410" s="6"/>
      <c r="N410" s="13" t="str">
        <f>"128928"</f>
        <v>128928</v>
      </c>
    </row>
    <row r="411" spans="1:14" ht="15">
      <c r="A411" s="9">
        <v>404</v>
      </c>
      <c r="B411" s="4" t="s">
        <v>20</v>
      </c>
      <c r="C411" s="5" t="s">
        <v>21</v>
      </c>
      <c r="D411" s="14">
        <v>43451.389780092592</v>
      </c>
      <c r="E411" t="str">
        <f>"15414875751402835284"</f>
        <v>15414875751402835284</v>
      </c>
      <c r="F411" s="4" t="s">
        <v>22</v>
      </c>
      <c r="G411" s="13" t="s">
        <v>423</v>
      </c>
      <c r="H411" t="str">
        <f>"8827181106135906"</f>
        <v>8827181106135906</v>
      </c>
      <c r="I411" s="15">
        <v>1225200</v>
      </c>
      <c r="J411" s="4"/>
      <c r="K411" s="10">
        <v>3900</v>
      </c>
      <c r="L411" s="11">
        <f t="shared" si="6"/>
        <v>1221300</v>
      </c>
      <c r="M411" s="6"/>
      <c r="N411" s="13" t="str">
        <f>"116080"</f>
        <v>116080</v>
      </c>
    </row>
    <row r="412" spans="1:14" ht="15">
      <c r="A412" s="9">
        <v>405</v>
      </c>
      <c r="B412" s="4" t="s">
        <v>20</v>
      </c>
      <c r="C412" s="5" t="s">
        <v>21</v>
      </c>
      <c r="D412" s="14">
        <v>43451.388090277775</v>
      </c>
      <c r="E412" t="str">
        <f>"15415168197258372577"</f>
        <v>15415168197258372577</v>
      </c>
      <c r="F412" s="4" t="s">
        <v>22</v>
      </c>
      <c r="G412" s="13" t="s">
        <v>424</v>
      </c>
      <c r="H412" t="str">
        <f>"8827181106220603"</f>
        <v>8827181106220603</v>
      </c>
      <c r="I412" s="15">
        <v>1120000</v>
      </c>
      <c r="J412" s="4"/>
      <c r="K412" s="10">
        <v>3900</v>
      </c>
      <c r="L412" s="11">
        <f t="shared" si="6"/>
        <v>1116100</v>
      </c>
      <c r="M412" s="6"/>
      <c r="N412" s="13" t="str">
        <f>"076785"</f>
        <v>076785</v>
      </c>
    </row>
    <row r="413" spans="1:14" ht="15">
      <c r="A413" s="9">
        <v>406</v>
      </c>
      <c r="B413" s="4" t="s">
        <v>20</v>
      </c>
      <c r="C413" s="5" t="s">
        <v>21</v>
      </c>
      <c r="D413" s="14">
        <v>43451.386828703704</v>
      </c>
      <c r="E413" t="str">
        <f>"15418137558704764238"</f>
        <v>15418137558704764238</v>
      </c>
      <c r="F413" s="4" t="s">
        <v>22</v>
      </c>
      <c r="G413" s="13" t="s">
        <v>425</v>
      </c>
      <c r="H413" t="str">
        <f>"8827181110083505"</f>
        <v>8827181110083505</v>
      </c>
      <c r="I413" s="15">
        <v>1752000</v>
      </c>
      <c r="J413" s="4"/>
      <c r="K413" s="10">
        <v>3900</v>
      </c>
      <c r="L413" s="11">
        <f t="shared" si="6"/>
        <v>1748100</v>
      </c>
      <c r="M413" s="6"/>
      <c r="N413" s="13" t="str">
        <f>"049702"</f>
        <v>049702</v>
      </c>
    </row>
    <row r="414" spans="1:14" ht="15">
      <c r="A414" s="9">
        <v>407</v>
      </c>
      <c r="B414" s="4" t="s">
        <v>20</v>
      </c>
      <c r="C414" s="5" t="s">
        <v>21</v>
      </c>
      <c r="D414" s="14">
        <v>43451.385069444441</v>
      </c>
      <c r="E414" t="str">
        <f>"15426234696322056175"</f>
        <v>15426234696322056175</v>
      </c>
      <c r="F414" s="4" t="s">
        <v>22</v>
      </c>
      <c r="G414" s="13" t="s">
        <v>426</v>
      </c>
      <c r="H414" t="str">
        <f>"8827181119173102"</f>
        <v>8827181119173102</v>
      </c>
      <c r="I414" s="15">
        <v>1492700</v>
      </c>
      <c r="J414" s="4"/>
      <c r="K414" s="10">
        <v>3900</v>
      </c>
      <c r="L414" s="11">
        <f t="shared" si="6"/>
        <v>1488800</v>
      </c>
      <c r="M414" s="6"/>
      <c r="N414" s="13" t="str">
        <f>"012430"</f>
        <v>012430</v>
      </c>
    </row>
    <row r="415" spans="1:14" ht="15">
      <c r="A415" s="9">
        <v>408</v>
      </c>
      <c r="B415" s="4" t="s">
        <v>20</v>
      </c>
      <c r="C415" s="5" t="s">
        <v>21</v>
      </c>
      <c r="D415" s="14">
        <v>43451.383657407408</v>
      </c>
      <c r="E415" t="str">
        <f>"15430288018376764882"</f>
        <v>15430288018376764882</v>
      </c>
      <c r="F415" s="4" t="s">
        <v>22</v>
      </c>
      <c r="G415" s="13" t="s">
        <v>427</v>
      </c>
      <c r="H415" t="str">
        <f>"8827181124100601"</f>
        <v>8827181124100601</v>
      </c>
      <c r="I415" s="15">
        <v>1178000</v>
      </c>
      <c r="J415" s="4"/>
      <c r="K415" s="10">
        <v>3900</v>
      </c>
      <c r="L415" s="11">
        <f t="shared" si="6"/>
        <v>1174100</v>
      </c>
      <c r="M415" s="6"/>
      <c r="N415" s="13" t="str">
        <f>"781378"</f>
        <v>781378</v>
      </c>
    </row>
    <row r="416" spans="1:14" ht="15">
      <c r="A416" s="9">
        <v>409</v>
      </c>
      <c r="B416" s="4" t="s">
        <v>20</v>
      </c>
      <c r="C416" s="5" t="s">
        <v>21</v>
      </c>
      <c r="D416" s="14">
        <v>43451.379131944443</v>
      </c>
      <c r="E416" t="str">
        <f>"15413994912558962140"</f>
        <v>15413994912558962140</v>
      </c>
      <c r="F416" s="4" t="s">
        <v>22</v>
      </c>
      <c r="G416" s="13" t="s">
        <v>428</v>
      </c>
      <c r="H416" t="str">
        <f>"8827181105133103"</f>
        <v>8827181105133103</v>
      </c>
      <c r="I416" s="15">
        <v>1460000</v>
      </c>
      <c r="J416" s="4"/>
      <c r="K416" s="10">
        <v>3900</v>
      </c>
      <c r="L416" s="11">
        <f t="shared" si="6"/>
        <v>1456100</v>
      </c>
      <c r="M416" s="6"/>
      <c r="N416" s="13" t="str">
        <f>"980066"</f>
        <v>980066</v>
      </c>
    </row>
    <row r="417" spans="1:14" ht="15">
      <c r="A417" s="9">
        <v>410</v>
      </c>
      <c r="B417" s="4" t="s">
        <v>20</v>
      </c>
      <c r="C417" s="5" t="s">
        <v>21</v>
      </c>
      <c r="D417" s="14">
        <v>43451.377581018518</v>
      </c>
      <c r="E417" t="str">
        <f>"15408756293633279719"</f>
        <v>15408756293633279719</v>
      </c>
      <c r="F417" s="4" t="s">
        <v>22</v>
      </c>
      <c r="G417" s="13" t="s">
        <v>429</v>
      </c>
      <c r="H417" t="str">
        <f>"8827181030120003"</f>
        <v>8827181030120003</v>
      </c>
      <c r="I417" s="15">
        <v>1992000</v>
      </c>
      <c r="J417" s="4"/>
      <c r="K417" s="10">
        <v>3900</v>
      </c>
      <c r="L417" s="11">
        <f t="shared" si="6"/>
        <v>1988100</v>
      </c>
      <c r="M417" s="6"/>
      <c r="N417" s="13" t="str">
        <f>"641760"</f>
        <v>641760</v>
      </c>
    </row>
    <row r="418" spans="1:14" ht="15">
      <c r="A418" s="9">
        <v>411</v>
      </c>
      <c r="B418" s="4" t="s">
        <v>20</v>
      </c>
      <c r="C418" s="5" t="s">
        <v>21</v>
      </c>
      <c r="D418" s="14">
        <v>43451.377199074072</v>
      </c>
      <c r="E418" t="str">
        <f>"15415510301959681343"</f>
        <v>15415510301959681343</v>
      </c>
      <c r="F418" s="4" t="s">
        <v>22</v>
      </c>
      <c r="G418" s="13" t="s">
        <v>430</v>
      </c>
      <c r="H418" t="str">
        <f>"8827181107073701"</f>
        <v>8827181107073701</v>
      </c>
      <c r="I418" s="15">
        <v>1728000</v>
      </c>
      <c r="J418" s="4"/>
      <c r="K418" s="10">
        <v>3900</v>
      </c>
      <c r="L418" s="11">
        <f t="shared" si="6"/>
        <v>1724100</v>
      </c>
      <c r="M418" s="6"/>
      <c r="N418" s="13" t="str">
        <f>"632032"</f>
        <v>632032</v>
      </c>
    </row>
    <row r="419" spans="1:14" ht="15">
      <c r="A419" s="9">
        <v>412</v>
      </c>
      <c r="B419" s="4" t="s">
        <v>20</v>
      </c>
      <c r="C419" s="5" t="s">
        <v>21</v>
      </c>
      <c r="D419" s="14">
        <v>43451.37599537037</v>
      </c>
      <c r="E419" t="str">
        <f>"15428592868686038325"</f>
        <v>15428592868686038325</v>
      </c>
      <c r="F419" s="4" t="s">
        <v>22</v>
      </c>
      <c r="G419" s="13" t="s">
        <v>431</v>
      </c>
      <c r="H419" t="str">
        <f>"8827181122110107"</f>
        <v>8827181122110107</v>
      </c>
      <c r="I419" s="15">
        <v>654600</v>
      </c>
      <c r="J419" s="4"/>
      <c r="K419" s="10">
        <v>3900</v>
      </c>
      <c r="L419" s="11">
        <f t="shared" si="6"/>
        <v>650700</v>
      </c>
      <c r="M419" s="6"/>
      <c r="N419" s="13" t="str">
        <f>"977898"</f>
        <v>977898</v>
      </c>
    </row>
    <row r="420" spans="1:14" ht="15">
      <c r="A420" s="9">
        <v>413</v>
      </c>
      <c r="B420" s="4" t="s">
        <v>20</v>
      </c>
      <c r="C420" s="5" t="s">
        <v>21</v>
      </c>
      <c r="D420" s="14">
        <v>43451.374328703707</v>
      </c>
      <c r="E420" t="str">
        <f>"15418460626242673858"</f>
        <v>15418460626242673858</v>
      </c>
      <c r="F420" s="4" t="s">
        <v>22</v>
      </c>
      <c r="G420" s="13" t="s">
        <v>432</v>
      </c>
      <c r="H420" t="str">
        <f>"8827181110173401"</f>
        <v>8827181110173401</v>
      </c>
      <c r="I420" s="15">
        <v>1842000</v>
      </c>
      <c r="J420" s="4"/>
      <c r="K420" s="10">
        <v>3900</v>
      </c>
      <c r="L420" s="11">
        <f t="shared" si="6"/>
        <v>1838100</v>
      </c>
      <c r="M420" s="6"/>
      <c r="N420" s="13" t="str">
        <f>"563888"</f>
        <v>563888</v>
      </c>
    </row>
    <row r="421" spans="1:14" ht="15">
      <c r="A421" s="9">
        <v>414</v>
      </c>
      <c r="B421" s="4" t="s">
        <v>20</v>
      </c>
      <c r="C421" s="5" t="s">
        <v>21</v>
      </c>
      <c r="D421" s="14">
        <v>43451.371840277781</v>
      </c>
      <c r="E421" t="str">
        <f>"15409782699135187371"</f>
        <v>15409782699135187371</v>
      </c>
      <c r="F421" s="4" t="s">
        <v>22</v>
      </c>
      <c r="G421" s="13" t="s">
        <v>433</v>
      </c>
      <c r="H421" t="str">
        <f>"8827181031163105"</f>
        <v>8827181031163105</v>
      </c>
      <c r="I421" s="15">
        <v>1493800</v>
      </c>
      <c r="J421" s="4"/>
      <c r="K421" s="10">
        <v>3900</v>
      </c>
      <c r="L421" s="11">
        <f t="shared" si="6"/>
        <v>1489900</v>
      </c>
      <c r="M421" s="6"/>
      <c r="N421" s="13" t="str">
        <f>"975150"</f>
        <v>975150</v>
      </c>
    </row>
    <row r="422" spans="1:14" ht="15">
      <c r="A422" s="9">
        <v>415</v>
      </c>
      <c r="B422" s="4" t="s">
        <v>20</v>
      </c>
      <c r="C422" s="5" t="s">
        <v>21</v>
      </c>
      <c r="D422" s="14">
        <v>43451.369386574072</v>
      </c>
      <c r="E422" t="str">
        <f>"15424157463747238555"</f>
        <v>15424157463747238555</v>
      </c>
      <c r="F422" s="4" t="s">
        <v>22</v>
      </c>
      <c r="G422" s="13" t="s">
        <v>434</v>
      </c>
      <c r="H422" t="str">
        <f>"8827181117074901"</f>
        <v>8827181117074901</v>
      </c>
      <c r="I422" s="15">
        <v>1682000</v>
      </c>
      <c r="J422" s="4"/>
      <c r="K422" s="10">
        <v>3900</v>
      </c>
      <c r="L422" s="11">
        <f t="shared" si="6"/>
        <v>1678100</v>
      </c>
      <c r="M422" s="6"/>
      <c r="N422" s="13" t="str">
        <f>"466449"</f>
        <v>466449</v>
      </c>
    </row>
    <row r="423" spans="1:14" ht="15">
      <c r="A423" s="9">
        <v>416</v>
      </c>
      <c r="B423" s="4" t="s">
        <v>20</v>
      </c>
      <c r="C423" s="5" t="s">
        <v>21</v>
      </c>
      <c r="D423" s="14">
        <v>43451.365081018521</v>
      </c>
      <c r="E423" t="str">
        <f>"15408831177692775040"</f>
        <v>15408831177692775040</v>
      </c>
      <c r="F423" s="4" t="s">
        <v>22</v>
      </c>
      <c r="G423" s="13" t="s">
        <v>435</v>
      </c>
      <c r="H423" t="str">
        <f>"8827181030140501"</f>
        <v>8827181030140501</v>
      </c>
      <c r="I423" s="15">
        <v>1258800</v>
      </c>
      <c r="J423" s="4"/>
      <c r="K423" s="10">
        <v>3900</v>
      </c>
      <c r="L423" s="11">
        <f t="shared" si="6"/>
        <v>1254900</v>
      </c>
      <c r="M423" s="6"/>
      <c r="N423" s="13" t="str">
        <f>"381253"</f>
        <v>381253</v>
      </c>
    </row>
    <row r="424" spans="1:14" ht="15">
      <c r="A424" s="9">
        <v>417</v>
      </c>
      <c r="B424" s="4" t="s">
        <v>20</v>
      </c>
      <c r="C424" s="5" t="s">
        <v>21</v>
      </c>
      <c r="D424" s="14">
        <v>43451.364849537036</v>
      </c>
      <c r="E424" t="str">
        <f>"15426827404425504520"</f>
        <v>15426827404425504520</v>
      </c>
      <c r="F424" s="4" t="s">
        <v>22</v>
      </c>
      <c r="G424" s="13" t="s">
        <v>436</v>
      </c>
      <c r="H424" t="str">
        <f>"8827181120095901"</f>
        <v>8827181120095901</v>
      </c>
      <c r="I424" s="15">
        <v>650000</v>
      </c>
      <c r="J424" s="4"/>
      <c r="K424" s="10">
        <v>3900</v>
      </c>
      <c r="L424" s="11">
        <f t="shared" si="6"/>
        <v>646100</v>
      </c>
      <c r="M424" s="6"/>
      <c r="N424" s="13" t="str">
        <f>"376900"</f>
        <v>376900</v>
      </c>
    </row>
    <row r="425" spans="1:14" ht="15">
      <c r="A425" s="9">
        <v>418</v>
      </c>
      <c r="B425" s="4" t="s">
        <v>20</v>
      </c>
      <c r="C425" s="5" t="s">
        <v>21</v>
      </c>
      <c r="D425" s="14">
        <v>43451.361967592595</v>
      </c>
      <c r="E425" t="str">
        <f>"15415198099977026190"</f>
        <v>15415198099977026190</v>
      </c>
      <c r="F425" s="4" t="s">
        <v>22</v>
      </c>
      <c r="G425" s="13" t="s">
        <v>437</v>
      </c>
      <c r="H425" t="str">
        <f>"8827181106225602"</f>
        <v>8827181106225602</v>
      </c>
      <c r="I425" s="15">
        <v>1656000</v>
      </c>
      <c r="J425" s="4"/>
      <c r="K425" s="10">
        <v>3900</v>
      </c>
      <c r="L425" s="11">
        <f t="shared" si="6"/>
        <v>1652100</v>
      </c>
      <c r="M425" s="6"/>
      <c r="N425" s="13" t="str">
        <f>"320510"</f>
        <v>320510</v>
      </c>
    </row>
    <row r="426" spans="1:14" ht="15">
      <c r="A426" s="9">
        <v>419</v>
      </c>
      <c r="B426" s="4" t="s">
        <v>20</v>
      </c>
      <c r="C426" s="5" t="s">
        <v>21</v>
      </c>
      <c r="D426" s="14">
        <v>43451.360949074071</v>
      </c>
      <c r="E426" t="str">
        <f>"15409050397968960910"</f>
        <v>15409050397968960910</v>
      </c>
      <c r="F426" s="4" t="s">
        <v>22</v>
      </c>
      <c r="G426" s="13" t="s">
        <v>438</v>
      </c>
      <c r="H426" t="str">
        <f>"8827181030201003"</f>
        <v>8827181030201003</v>
      </c>
      <c r="I426" s="15">
        <v>1618500</v>
      </c>
      <c r="J426" s="4"/>
      <c r="K426" s="10">
        <v>3900</v>
      </c>
      <c r="L426" s="11">
        <f t="shared" si="6"/>
        <v>1614600</v>
      </c>
      <c r="M426" s="6"/>
      <c r="N426" s="13" t="str">
        <f>"299813"</f>
        <v>299813</v>
      </c>
    </row>
    <row r="427" spans="1:14" ht="15">
      <c r="A427" s="9">
        <v>420</v>
      </c>
      <c r="B427" s="4" t="s">
        <v>20</v>
      </c>
      <c r="C427" s="5" t="s">
        <v>21</v>
      </c>
      <c r="D427" s="14">
        <v>43451.360694444447</v>
      </c>
      <c r="E427" t="str">
        <f>"15415045308459670234"</f>
        <v>15415045308459670234</v>
      </c>
      <c r="F427" s="4" t="s">
        <v>22</v>
      </c>
      <c r="G427" s="13" t="s">
        <v>439</v>
      </c>
      <c r="H427" t="str">
        <f>"8827181106184201"</f>
        <v>8827181106184201</v>
      </c>
      <c r="I427" s="15">
        <v>1728000</v>
      </c>
      <c r="J427" s="4"/>
      <c r="K427" s="10">
        <v>3900</v>
      </c>
      <c r="L427" s="11">
        <f t="shared" si="6"/>
        <v>1724100</v>
      </c>
      <c r="M427" s="6"/>
      <c r="N427" s="13" t="str">
        <f>"295272"</f>
        <v>295272</v>
      </c>
    </row>
    <row r="428" spans="1:14" ht="15">
      <c r="A428" s="9">
        <v>421</v>
      </c>
      <c r="B428" s="4" t="s">
        <v>20</v>
      </c>
      <c r="C428" s="5" t="s">
        <v>21</v>
      </c>
      <c r="D428" s="14">
        <v>43451.351909722223</v>
      </c>
      <c r="E428" t="str">
        <f>"15415694566626307655"</f>
        <v>15415694566626307655</v>
      </c>
      <c r="F428" s="4" t="s">
        <v>22</v>
      </c>
      <c r="G428" s="13" t="s">
        <v>440</v>
      </c>
      <c r="H428" t="str">
        <f>"8827181107124402"</f>
        <v>8827181107124402</v>
      </c>
      <c r="I428" s="15">
        <v>1343200</v>
      </c>
      <c r="J428" s="4"/>
      <c r="K428" s="10">
        <v>3900</v>
      </c>
      <c r="L428" s="11">
        <f t="shared" si="6"/>
        <v>1339300</v>
      </c>
      <c r="M428" s="6"/>
      <c r="N428" s="13" t="str">
        <f>"118165"</f>
        <v>118165</v>
      </c>
    </row>
    <row r="429" spans="1:14" ht="15">
      <c r="A429" s="9">
        <v>422</v>
      </c>
      <c r="B429" s="4" t="s">
        <v>20</v>
      </c>
      <c r="C429" s="5" t="s">
        <v>21</v>
      </c>
      <c r="D429" s="14">
        <v>43451.345960648148</v>
      </c>
      <c r="E429" t="str">
        <f>"15408150489252767805"</f>
        <v>15408150489252767805</v>
      </c>
      <c r="F429" s="4" t="s">
        <v>22</v>
      </c>
      <c r="G429" s="13" t="s">
        <v>441</v>
      </c>
      <c r="H429" t="str">
        <f>"8827181029191006"</f>
        <v>8827181029191006</v>
      </c>
      <c r="I429" s="15">
        <v>1063000</v>
      </c>
      <c r="J429" s="4"/>
      <c r="K429" s="10">
        <v>3900</v>
      </c>
      <c r="L429" s="11">
        <f t="shared" si="6"/>
        <v>1059100</v>
      </c>
      <c r="M429" s="6"/>
      <c r="N429" s="13" t="str">
        <f>"959075"</f>
        <v>959075</v>
      </c>
    </row>
    <row r="430" spans="1:14" ht="15">
      <c r="A430" s="9">
        <v>423</v>
      </c>
      <c r="B430" s="4" t="s">
        <v>20</v>
      </c>
      <c r="C430" s="5" t="s">
        <v>21</v>
      </c>
      <c r="D430" s="14">
        <v>43451.345775462964</v>
      </c>
      <c r="E430" t="str">
        <f>"15407209032883074523"</f>
        <v>15407209032883074523</v>
      </c>
      <c r="F430" s="4" t="s">
        <v>22</v>
      </c>
      <c r="G430" s="13" t="s">
        <v>442</v>
      </c>
      <c r="H430" t="str">
        <f>"8827181028170102"</f>
        <v>8827181028170102</v>
      </c>
      <c r="I430" s="15">
        <v>1752000</v>
      </c>
      <c r="J430" s="4"/>
      <c r="K430" s="10">
        <v>3900</v>
      </c>
      <c r="L430" s="11">
        <f t="shared" si="6"/>
        <v>1748100</v>
      </c>
      <c r="M430" s="6"/>
      <c r="N430" s="13" t="str">
        <f>"007764"</f>
        <v>007764</v>
      </c>
    </row>
    <row r="431" spans="1:14" ht="15">
      <c r="A431" s="9">
        <v>424</v>
      </c>
      <c r="B431" s="4" t="s">
        <v>20</v>
      </c>
      <c r="C431" s="5" t="s">
        <v>21</v>
      </c>
      <c r="D431" s="14">
        <v>43451.339456018519</v>
      </c>
      <c r="E431" t="str">
        <f>"15438128416639630727"</f>
        <v>15438128416639630727</v>
      </c>
      <c r="F431" s="4" t="s">
        <v>22</v>
      </c>
      <c r="G431" s="13" t="s">
        <v>443</v>
      </c>
      <c r="H431" t="str">
        <f>"8827181203115401"</f>
        <v>8827181203115401</v>
      </c>
      <c r="I431" s="15">
        <v>1680000</v>
      </c>
      <c r="J431" s="4"/>
      <c r="K431" s="10">
        <v>3900</v>
      </c>
      <c r="L431" s="11">
        <f t="shared" si="6"/>
        <v>1676100</v>
      </c>
      <c r="M431" s="6"/>
      <c r="N431" s="13" t="str">
        <f>"681571"</f>
        <v>681571</v>
      </c>
    </row>
    <row r="432" spans="1:14" ht="15">
      <c r="A432" s="9">
        <v>425</v>
      </c>
      <c r="B432" s="4" t="s">
        <v>20</v>
      </c>
      <c r="C432" s="5" t="s">
        <v>21</v>
      </c>
      <c r="D432" s="14">
        <v>43451.338738425926</v>
      </c>
      <c r="E432" t="str">
        <f>"15432868230699274999"</f>
        <v>15432868230699274999</v>
      </c>
      <c r="F432" s="4" t="s">
        <v>22</v>
      </c>
      <c r="G432" s="13" t="s">
        <v>444</v>
      </c>
      <c r="H432" t="str">
        <f>"8827181127094703"</f>
        <v>8827181127094703</v>
      </c>
      <c r="I432" s="15">
        <v>1460000</v>
      </c>
      <c r="J432" s="4"/>
      <c r="K432" s="10">
        <v>3900</v>
      </c>
      <c r="L432" s="11">
        <f t="shared" si="6"/>
        <v>1456100</v>
      </c>
      <c r="M432" s="6"/>
      <c r="N432" s="13" t="str">
        <f>"669016"</f>
        <v>669016</v>
      </c>
    </row>
    <row r="433" spans="1:14" ht="15">
      <c r="A433" s="9">
        <v>426</v>
      </c>
      <c r="B433" s="4" t="s">
        <v>20</v>
      </c>
      <c r="C433" s="5" t="s">
        <v>21</v>
      </c>
      <c r="D433" s="14">
        <v>43451.335231481484</v>
      </c>
      <c r="E433" t="str">
        <f>"15416025966933605909"</f>
        <v>15416025966933605909</v>
      </c>
      <c r="F433" s="4" t="s">
        <v>22</v>
      </c>
      <c r="G433" s="13" t="s">
        <v>445</v>
      </c>
      <c r="H433" t="str">
        <f>"8827181107215601"</f>
        <v>8827181107215601</v>
      </c>
      <c r="I433" s="15">
        <v>2217000</v>
      </c>
      <c r="J433" s="4"/>
      <c r="K433" s="10">
        <v>3900</v>
      </c>
      <c r="L433" s="11">
        <f t="shared" si="6"/>
        <v>2213100</v>
      </c>
      <c r="M433" s="6"/>
      <c r="N433" s="13" t="str">
        <f>"606099"</f>
        <v>606099</v>
      </c>
    </row>
    <row r="434" spans="1:14" ht="15">
      <c r="A434" s="9">
        <v>427</v>
      </c>
      <c r="B434" s="4" t="s">
        <v>20</v>
      </c>
      <c r="C434" s="5" t="s">
        <v>21</v>
      </c>
      <c r="D434" s="14">
        <v>43451.332685185182</v>
      </c>
      <c r="E434" t="str">
        <f>"15411614152252162704"</f>
        <v>15411614152252162704</v>
      </c>
      <c r="F434" s="4" t="s">
        <v>22</v>
      </c>
      <c r="G434" s="13" t="s">
        <v>446</v>
      </c>
      <c r="H434" t="str">
        <f>"8827181102192305"</f>
        <v>8827181102192305</v>
      </c>
      <c r="I434" s="15">
        <v>1200000</v>
      </c>
      <c r="J434" s="4"/>
      <c r="K434" s="10">
        <v>3900</v>
      </c>
      <c r="L434" s="11">
        <f t="shared" si="6"/>
        <v>1196100</v>
      </c>
      <c r="M434" s="6"/>
      <c r="N434" s="13" t="str">
        <f>"565134"</f>
        <v>565134</v>
      </c>
    </row>
    <row r="435" spans="1:14" ht="15">
      <c r="A435" s="9">
        <v>428</v>
      </c>
      <c r="B435" s="4" t="s">
        <v>20</v>
      </c>
      <c r="C435" s="5" t="s">
        <v>21</v>
      </c>
      <c r="D435" s="14">
        <v>43451.321921296294</v>
      </c>
      <c r="E435" t="str">
        <f>"15411477949206098516"</f>
        <v>15411477949206098516</v>
      </c>
      <c r="F435" s="4" t="s">
        <v>22</v>
      </c>
      <c r="G435" s="13" t="s">
        <v>447</v>
      </c>
      <c r="H435" t="str">
        <f>"8827181102153601"</f>
        <v>8827181102153601</v>
      </c>
      <c r="I435" s="15">
        <v>1812000</v>
      </c>
      <c r="J435" s="4"/>
      <c r="K435" s="10">
        <v>3900</v>
      </c>
      <c r="L435" s="11">
        <f t="shared" si="6"/>
        <v>1808100</v>
      </c>
      <c r="M435" s="6"/>
      <c r="N435" s="13" t="str">
        <f>"437647"</f>
        <v>437647</v>
      </c>
    </row>
    <row r="436" spans="1:14" ht="15">
      <c r="A436" s="9">
        <v>429</v>
      </c>
      <c r="B436" s="4" t="s">
        <v>20</v>
      </c>
      <c r="C436" s="5" t="s">
        <v>21</v>
      </c>
      <c r="D436" s="14">
        <v>43451.316678240742</v>
      </c>
      <c r="E436" t="str">
        <f>"15418179192126005620"</f>
        <v>15418179192126005620</v>
      </c>
      <c r="F436" s="4" t="s">
        <v>22</v>
      </c>
      <c r="G436" s="13" t="s">
        <v>448</v>
      </c>
      <c r="H436" t="str">
        <f>"8827181110094504"</f>
        <v>8827181110094504</v>
      </c>
      <c r="I436" s="15">
        <v>1317600</v>
      </c>
      <c r="J436" s="4"/>
      <c r="K436" s="10">
        <v>3900</v>
      </c>
      <c r="L436" s="11">
        <f t="shared" si="6"/>
        <v>1313700</v>
      </c>
      <c r="M436" s="6"/>
      <c r="N436" s="13" t="str">
        <f>"376812"</f>
        <v>376812</v>
      </c>
    </row>
    <row r="437" spans="1:14" ht="15">
      <c r="A437" s="9">
        <v>430</v>
      </c>
      <c r="B437" s="4" t="s">
        <v>20</v>
      </c>
      <c r="C437" s="5" t="s">
        <v>21</v>
      </c>
      <c r="D437" s="14">
        <v>43451.315787037034</v>
      </c>
      <c r="E437" t="str">
        <f>"15414766528895597661"</f>
        <v>15414766528895597661</v>
      </c>
      <c r="F437" s="4" t="s">
        <v>22</v>
      </c>
      <c r="G437" s="13" t="s">
        <v>449</v>
      </c>
      <c r="H437" t="str">
        <f>"8827181106105704"</f>
        <v>8827181106105704</v>
      </c>
      <c r="I437" s="15">
        <v>1782000</v>
      </c>
      <c r="J437" s="4"/>
      <c r="K437" s="10">
        <v>3900</v>
      </c>
      <c r="L437" s="11">
        <f t="shared" si="6"/>
        <v>1778100</v>
      </c>
      <c r="M437" s="6"/>
      <c r="N437" s="13" t="str">
        <f>"944433"</f>
        <v>944433</v>
      </c>
    </row>
    <row r="438" spans="1:14" ht="15">
      <c r="A438" s="9">
        <v>431</v>
      </c>
      <c r="B438" s="4" t="s">
        <v>20</v>
      </c>
      <c r="C438" s="5" t="s">
        <v>21</v>
      </c>
      <c r="D438" s="14">
        <v>43451.314236111109</v>
      </c>
      <c r="E438" t="str">
        <f>"15429454420591859796"</f>
        <v>15429454420591859796</v>
      </c>
      <c r="F438" s="4" t="s">
        <v>22</v>
      </c>
      <c r="G438" s="13" t="s">
        <v>450</v>
      </c>
      <c r="H438" t="str">
        <f>"8827181123105702"</f>
        <v>8827181123105702</v>
      </c>
      <c r="I438" s="15">
        <v>658800</v>
      </c>
      <c r="J438" s="4"/>
      <c r="K438" s="10">
        <v>3900</v>
      </c>
      <c r="L438" s="11">
        <f t="shared" si="6"/>
        <v>654900</v>
      </c>
      <c r="M438" s="6"/>
      <c r="N438" s="13" t="str">
        <f>"349490"</f>
        <v>349490</v>
      </c>
    </row>
    <row r="439" spans="1:14" ht="15">
      <c r="A439" s="9">
        <v>432</v>
      </c>
      <c r="B439" s="4" t="s">
        <v>20</v>
      </c>
      <c r="C439" s="5" t="s">
        <v>21</v>
      </c>
      <c r="D439" s="14">
        <v>43451.307627314818</v>
      </c>
      <c r="E439" t="str">
        <f>"15432740899126150102"</f>
        <v>15432740899126150102</v>
      </c>
      <c r="F439" s="4" t="s">
        <v>22</v>
      </c>
      <c r="G439" s="13" t="s">
        <v>451</v>
      </c>
      <c r="H439" t="str">
        <f>"8827181127061402"</f>
        <v>8827181127061402</v>
      </c>
      <c r="I439" s="15">
        <v>1168000</v>
      </c>
      <c r="J439" s="4"/>
      <c r="K439" s="10">
        <v>3900</v>
      </c>
      <c r="L439" s="11">
        <f t="shared" si="6"/>
        <v>1164100</v>
      </c>
      <c r="M439" s="6"/>
      <c r="N439" s="13" t="str">
        <f>"941218"</f>
        <v>941218</v>
      </c>
    </row>
    <row r="440" spans="1:14" ht="15">
      <c r="A440" s="9">
        <v>433</v>
      </c>
      <c r="B440" s="4" t="s">
        <v>20</v>
      </c>
      <c r="C440" s="5" t="s">
        <v>21</v>
      </c>
      <c r="D440" s="14">
        <v>43451.304606481484</v>
      </c>
      <c r="E440" t="str">
        <f>"15410324907802144388"</f>
        <v>15410324907802144388</v>
      </c>
      <c r="F440" s="4" t="s">
        <v>22</v>
      </c>
      <c r="G440" s="13" t="s">
        <v>452</v>
      </c>
      <c r="H440" t="str">
        <f>"8827181101073405"</f>
        <v>8827181101073405</v>
      </c>
      <c r="I440" s="15">
        <v>1363200</v>
      </c>
      <c r="J440" s="4"/>
      <c r="K440" s="10">
        <v>3900</v>
      </c>
      <c r="L440" s="11">
        <f t="shared" si="6"/>
        <v>1359300</v>
      </c>
      <c r="M440" s="6"/>
      <c r="N440" s="13" t="str">
        <f>"215854"</f>
        <v>215854</v>
      </c>
    </row>
    <row r="441" spans="1:14" ht="15">
      <c r="A441" s="9">
        <v>434</v>
      </c>
      <c r="B441" s="4" t="s">
        <v>20</v>
      </c>
      <c r="C441" s="5" t="s">
        <v>21</v>
      </c>
      <c r="D441" s="14">
        <v>43451.301666666666</v>
      </c>
      <c r="E441" t="str">
        <f>"15415805703437584474"</f>
        <v>15415805703437584474</v>
      </c>
      <c r="F441" s="4" t="s">
        <v>22</v>
      </c>
      <c r="G441" s="13" t="s">
        <v>453</v>
      </c>
      <c r="H441" t="str">
        <f>"8827181107154903"</f>
        <v>8827181107154903</v>
      </c>
      <c r="I441" s="15">
        <v>1752000</v>
      </c>
      <c r="J441" s="4"/>
      <c r="K441" s="10">
        <v>3900</v>
      </c>
      <c r="L441" s="11">
        <f t="shared" si="6"/>
        <v>1748100</v>
      </c>
      <c r="M441" s="6"/>
      <c r="N441" s="13" t="str">
        <f>"167167"</f>
        <v>167167</v>
      </c>
    </row>
    <row r="442" spans="1:14" ht="15">
      <c r="A442" s="9">
        <v>435</v>
      </c>
      <c r="B442" s="4" t="s">
        <v>20</v>
      </c>
      <c r="C442" s="5" t="s">
        <v>21</v>
      </c>
      <c r="D442" s="14">
        <v>43451.297986111109</v>
      </c>
      <c r="E442" t="str">
        <f>"15413123970942693482"</f>
        <v>15413123970942693482</v>
      </c>
      <c r="F442" s="4" t="s">
        <v>22</v>
      </c>
      <c r="G442" s="13" t="s">
        <v>454</v>
      </c>
      <c r="H442" t="str">
        <f>"8827181104131902"</f>
        <v>8827181104131902</v>
      </c>
      <c r="I442" s="15">
        <v>1797000</v>
      </c>
      <c r="J442" s="4"/>
      <c r="K442" s="10">
        <v>3900</v>
      </c>
      <c r="L442" s="11">
        <f t="shared" si="6"/>
        <v>1793100</v>
      </c>
      <c r="M442" s="6"/>
      <c r="N442" s="13" t="str">
        <f>"937676"</f>
        <v>937676</v>
      </c>
    </row>
    <row r="443" spans="1:14" ht="15">
      <c r="A443" s="9">
        <v>436</v>
      </c>
      <c r="B443" s="4" t="s">
        <v>20</v>
      </c>
      <c r="C443" s="5" t="s">
        <v>21</v>
      </c>
      <c r="D443" s="14">
        <v>43451.29105324074</v>
      </c>
      <c r="E443" t="str">
        <f>"15414935555093528060"</f>
        <v>15414935555093528060</v>
      </c>
      <c r="F443" s="4" t="s">
        <v>22</v>
      </c>
      <c r="G443" s="13" t="s">
        <v>455</v>
      </c>
      <c r="H443" t="str">
        <f>"8827181106153902"</f>
        <v>8827181106153902</v>
      </c>
      <c r="I443" s="15">
        <v>1401600</v>
      </c>
      <c r="J443" s="4"/>
      <c r="K443" s="10">
        <v>3900</v>
      </c>
      <c r="L443" s="11">
        <f t="shared" si="6"/>
        <v>1397700</v>
      </c>
      <c r="M443" s="6"/>
      <c r="N443" s="13" t="str">
        <f>"054093"</f>
        <v>054093</v>
      </c>
    </row>
    <row r="444" spans="1:14" ht="15">
      <c r="A444" s="9">
        <v>437</v>
      </c>
      <c r="B444" s="4" t="s">
        <v>20</v>
      </c>
      <c r="C444" s="5" t="s">
        <v>21</v>
      </c>
      <c r="D444" s="14">
        <v>43451.271944444445</v>
      </c>
      <c r="E444" t="str">
        <f>"15408019321322643128"</f>
        <v>15408019321322643128</v>
      </c>
      <c r="F444" s="4" t="s">
        <v>22</v>
      </c>
      <c r="G444" s="13" t="s">
        <v>456</v>
      </c>
      <c r="H444" t="str">
        <f>"8827181029153202"</f>
        <v>8827181029153202</v>
      </c>
      <c r="I444" s="15">
        <v>1605000</v>
      </c>
      <c r="J444" s="4"/>
      <c r="K444" s="10">
        <v>3900</v>
      </c>
      <c r="L444" s="11">
        <f t="shared" si="6"/>
        <v>1601100</v>
      </c>
      <c r="M444" s="6"/>
      <c r="N444" s="13" t="str">
        <f>"723695"</f>
        <v>723695</v>
      </c>
    </row>
    <row r="445" spans="1:14" ht="15">
      <c r="A445" s="9">
        <v>438</v>
      </c>
      <c r="B445" s="4" t="s">
        <v>20</v>
      </c>
      <c r="C445" s="5" t="s">
        <v>21</v>
      </c>
      <c r="D445" s="14">
        <v>43451.244780092595</v>
      </c>
      <c r="E445" t="str">
        <f>"15407901261561347436"</f>
        <v>15407901261561347436</v>
      </c>
      <c r="F445" s="4" t="s">
        <v>22</v>
      </c>
      <c r="G445" s="13" t="s">
        <v>261</v>
      </c>
      <c r="H445" t="str">
        <f>"8827181029121503"</f>
        <v>8827181029121503</v>
      </c>
      <c r="I445" s="15">
        <v>130000</v>
      </c>
      <c r="J445" s="4"/>
      <c r="K445" s="10">
        <v>3900</v>
      </c>
      <c r="L445" s="11">
        <f t="shared" si="6"/>
        <v>126100</v>
      </c>
      <c r="M445" s="6"/>
      <c r="N445" s="13" t="str">
        <f>"546248"</f>
        <v>546248</v>
      </c>
    </row>
    <row r="446" spans="1:14" ht="15">
      <c r="A446" s="9">
        <v>439</v>
      </c>
      <c r="B446" s="4" t="s">
        <v>20</v>
      </c>
      <c r="C446" s="5" t="s">
        <v>21</v>
      </c>
      <c r="D446" s="14">
        <v>43451.226747685185</v>
      </c>
      <c r="E446" t="str">
        <f>"15409795858882984756"</f>
        <v>15409795858882984756</v>
      </c>
      <c r="F446" s="4" t="s">
        <v>22</v>
      </c>
      <c r="G446" s="13" t="s">
        <v>457</v>
      </c>
      <c r="H446" t="str">
        <f>"8827181031165301"</f>
        <v>8827181031165301</v>
      </c>
      <c r="I446" s="15">
        <v>1752000</v>
      </c>
      <c r="J446" s="4"/>
      <c r="K446" s="10">
        <v>3900</v>
      </c>
      <c r="L446" s="11">
        <f t="shared" si="6"/>
        <v>1748100</v>
      </c>
      <c r="M446" s="6"/>
      <c r="N446" s="13" t="str">
        <f>"475526"</f>
        <v>475526</v>
      </c>
    </row>
    <row r="447" spans="1:14" ht="15">
      <c r="A447" s="9">
        <v>440</v>
      </c>
      <c r="B447" s="4" t="s">
        <v>20</v>
      </c>
      <c r="C447" s="5" t="s">
        <v>21</v>
      </c>
      <c r="D447" s="14">
        <v>43451.224768518521</v>
      </c>
      <c r="E447" t="str">
        <f>"15415761051516894499"</f>
        <v>15415761051516894499</v>
      </c>
      <c r="F447" s="4" t="s">
        <v>22</v>
      </c>
      <c r="G447" s="13" t="s">
        <v>458</v>
      </c>
      <c r="H447" t="str">
        <f>"8827181107143503"</f>
        <v>8827181107143503</v>
      </c>
      <c r="I447" s="15">
        <v>1767000</v>
      </c>
      <c r="J447" s="4"/>
      <c r="K447" s="10">
        <v>3900</v>
      </c>
      <c r="L447" s="11">
        <f t="shared" si="6"/>
        <v>1763100</v>
      </c>
      <c r="M447" s="6"/>
      <c r="N447" s="13" t="str">
        <f>"467751"</f>
        <v>467751</v>
      </c>
    </row>
    <row r="448" spans="1:14" ht="15">
      <c r="A448" s="9">
        <v>441</v>
      </c>
      <c r="B448" s="4" t="s">
        <v>20</v>
      </c>
      <c r="C448" s="5" t="s">
        <v>21</v>
      </c>
      <c r="D448" s="14">
        <v>43451.208495370367</v>
      </c>
      <c r="E448" t="str">
        <f>"15413840810546967907"</f>
        <v>15413840810546967907</v>
      </c>
      <c r="F448" s="4" t="s">
        <v>22</v>
      </c>
      <c r="G448" s="13" t="s">
        <v>459</v>
      </c>
      <c r="H448" t="str">
        <f>"8827181105091404"</f>
        <v>8827181105091404</v>
      </c>
      <c r="I448" s="15">
        <v>1782000</v>
      </c>
      <c r="J448" s="4"/>
      <c r="K448" s="10">
        <v>3900</v>
      </c>
      <c r="L448" s="11">
        <f t="shared" si="6"/>
        <v>1778100</v>
      </c>
      <c r="M448" s="6"/>
      <c r="N448" s="13" t="str">
        <f>"401353"</f>
        <v>401353</v>
      </c>
    </row>
    <row r="449" spans="1:14" ht="15">
      <c r="A449" s="9">
        <v>442</v>
      </c>
      <c r="B449" s="4" t="s">
        <v>20</v>
      </c>
      <c r="C449" s="5" t="s">
        <v>21</v>
      </c>
      <c r="D449" s="14">
        <v>43451.20821759259</v>
      </c>
      <c r="E449" t="str">
        <f>"15419955314873042720"</f>
        <v>15419955314873042720</v>
      </c>
      <c r="F449" s="4" t="s">
        <v>22</v>
      </c>
      <c r="G449" s="13" t="s">
        <v>460</v>
      </c>
      <c r="H449" t="str">
        <f>"8827181112110502"</f>
        <v>8827181112110502</v>
      </c>
      <c r="I449" s="15">
        <v>187360</v>
      </c>
      <c r="J449" s="4"/>
      <c r="K449" s="10">
        <v>3900</v>
      </c>
      <c r="L449" s="11">
        <f t="shared" si="6"/>
        <v>183460</v>
      </c>
      <c r="M449" s="6"/>
      <c r="N449" s="13" t="str">
        <f>"914485"</f>
        <v>914485</v>
      </c>
    </row>
    <row r="450" spans="1:14" ht="15">
      <c r="A450" s="9">
        <v>443</v>
      </c>
      <c r="B450" s="4" t="s">
        <v>20</v>
      </c>
      <c r="C450" s="5" t="s">
        <v>21</v>
      </c>
      <c r="D450" s="14">
        <v>43451.197326388887</v>
      </c>
      <c r="E450" t="str">
        <f>"15430242142181132468"</f>
        <v>15430242142181132468</v>
      </c>
      <c r="F450" s="4" t="s">
        <v>22</v>
      </c>
      <c r="G450" s="13" t="s">
        <v>461</v>
      </c>
      <c r="H450" t="str">
        <f>"8827181124085001"</f>
        <v>8827181124085001</v>
      </c>
      <c r="I450" s="15">
        <v>1797000</v>
      </c>
      <c r="J450" s="4"/>
      <c r="K450" s="10">
        <v>3900</v>
      </c>
      <c r="L450" s="11">
        <f t="shared" si="6"/>
        <v>1793100</v>
      </c>
      <c r="M450" s="6"/>
      <c r="N450" s="13" t="str">
        <f>"376370"</f>
        <v>376370</v>
      </c>
    </row>
    <row r="451" spans="1:14" ht="15">
      <c r="A451" s="9">
        <v>444</v>
      </c>
      <c r="B451" s="4" t="s">
        <v>20</v>
      </c>
      <c r="C451" s="5" t="s">
        <v>21</v>
      </c>
      <c r="D451" s="14">
        <v>43451.186944444446</v>
      </c>
      <c r="E451" t="str">
        <f>"15420108747431799767"</f>
        <v>15420108747431799767</v>
      </c>
      <c r="F451" s="4" t="s">
        <v>22</v>
      </c>
      <c r="G451" s="13" t="s">
        <v>462</v>
      </c>
      <c r="H451" t="str">
        <f>"8827181112152103"</f>
        <v>8827181112152103</v>
      </c>
      <c r="I451" s="15">
        <v>1647000</v>
      </c>
      <c r="J451" s="4"/>
      <c r="K451" s="10">
        <v>3900</v>
      </c>
      <c r="L451" s="11">
        <f t="shared" si="6"/>
        <v>1643100</v>
      </c>
      <c r="M451" s="6"/>
      <c r="N451" s="13" t="str">
        <f>"356409"</f>
        <v>356409</v>
      </c>
    </row>
    <row r="452" spans="1:14" ht="15">
      <c r="A452" s="9">
        <v>445</v>
      </c>
      <c r="B452" s="4" t="s">
        <v>20</v>
      </c>
      <c r="C452" s="5" t="s">
        <v>21</v>
      </c>
      <c r="D452" s="14">
        <v>43451.17359953704</v>
      </c>
      <c r="E452" t="str">
        <f>"15411118967263051672"</f>
        <v>15411118967263051672</v>
      </c>
      <c r="F452" s="4" t="s">
        <v>22</v>
      </c>
      <c r="G452" s="13" t="s">
        <v>463</v>
      </c>
      <c r="H452" t="str">
        <f>"8827181102053801"</f>
        <v>8827181102053801</v>
      </c>
      <c r="I452" s="15">
        <v>1827000</v>
      </c>
      <c r="J452" s="4"/>
      <c r="K452" s="10">
        <v>3900</v>
      </c>
      <c r="L452" s="11">
        <f t="shared" si="6"/>
        <v>1823100</v>
      </c>
      <c r="M452" s="6"/>
      <c r="N452" s="13" t="str">
        <f>"315494"</f>
        <v>315494</v>
      </c>
    </row>
    <row r="453" spans="1:14" ht="15">
      <c r="A453" s="9">
        <v>446</v>
      </c>
      <c r="B453" s="4" t="s">
        <v>20</v>
      </c>
      <c r="C453" s="5" t="s">
        <v>21</v>
      </c>
      <c r="D453" s="14">
        <v>43451.082303240742</v>
      </c>
      <c r="E453" t="str">
        <f>"15428829145042282639"</f>
        <v>15428829145042282639</v>
      </c>
      <c r="F453" s="4" t="s">
        <v>22</v>
      </c>
      <c r="G453" s="13" t="s">
        <v>464</v>
      </c>
      <c r="H453" t="str">
        <f>"8827181122173502"</f>
        <v>8827181122173502</v>
      </c>
      <c r="I453" s="15">
        <v>556000</v>
      </c>
      <c r="J453" s="4"/>
      <c r="K453" s="10">
        <v>3900</v>
      </c>
      <c r="L453" s="11">
        <f t="shared" si="6"/>
        <v>552100</v>
      </c>
      <c r="M453" s="6"/>
      <c r="N453" s="13" t="str">
        <f>"052496"</f>
        <v>052496</v>
      </c>
    </row>
    <row r="454" spans="1:14" ht="15">
      <c r="A454" s="9">
        <v>447</v>
      </c>
      <c r="B454" s="4" t="s">
        <v>20</v>
      </c>
      <c r="C454" s="5" t="s">
        <v>21</v>
      </c>
      <c r="D454" s="14">
        <v>43451.038124999999</v>
      </c>
      <c r="E454" t="str">
        <f>"15413837431862076972"</f>
        <v>15413837431862076972</v>
      </c>
      <c r="F454" s="4" t="s">
        <v>22</v>
      </c>
      <c r="G454" s="13" t="s">
        <v>465</v>
      </c>
      <c r="H454" t="str">
        <f>"8827181105090901"</f>
        <v>8827181105090901</v>
      </c>
      <c r="I454" s="15">
        <v>1354700</v>
      </c>
      <c r="J454" s="4"/>
      <c r="K454" s="10">
        <v>3900</v>
      </c>
      <c r="L454" s="11">
        <f t="shared" si="6"/>
        <v>1350800</v>
      </c>
      <c r="M454" s="6"/>
      <c r="N454" s="13" t="str">
        <f>"996802"</f>
        <v>996802</v>
      </c>
    </row>
    <row r="455" spans="1:14" ht="15">
      <c r="A455" s="9">
        <v>448</v>
      </c>
      <c r="B455" s="4" t="s">
        <v>20</v>
      </c>
      <c r="C455" s="5" t="s">
        <v>21</v>
      </c>
      <c r="D455" s="14">
        <v>43451.033425925925</v>
      </c>
      <c r="E455" t="str">
        <f>"15420119296093088103"</f>
        <v>15420119296093088103</v>
      </c>
      <c r="F455" s="4" t="s">
        <v>22</v>
      </c>
      <c r="G455" s="13" t="s">
        <v>466</v>
      </c>
      <c r="H455" t="str">
        <f>"8827181112153803"</f>
        <v>8827181112153803</v>
      </c>
      <c r="I455" s="15">
        <v>1573500</v>
      </c>
      <c r="J455" s="4"/>
      <c r="K455" s="10">
        <v>3900</v>
      </c>
      <c r="L455" s="11">
        <f t="shared" si="6"/>
        <v>1569600</v>
      </c>
      <c r="M455" s="6"/>
      <c r="N455" s="13" t="str">
        <f>"122606"</f>
        <v>122606</v>
      </c>
    </row>
    <row r="456" spans="1:14" ht="15">
      <c r="A456" s="9">
        <v>449</v>
      </c>
      <c r="B456" s="4" t="s">
        <v>20</v>
      </c>
      <c r="C456" s="5" t="s">
        <v>21</v>
      </c>
      <c r="D456" s="14">
        <v>43451.031261574077</v>
      </c>
      <c r="E456" t="str">
        <f>"15414166615595455339"</f>
        <v>15414166615595455339</v>
      </c>
      <c r="F456" s="4" t="s">
        <v>22</v>
      </c>
      <c r="G456" s="13" t="s">
        <v>467</v>
      </c>
      <c r="H456" t="str">
        <f>"8827181105181704"</f>
        <v>8827181105181704</v>
      </c>
      <c r="I456" s="15">
        <v>62000</v>
      </c>
      <c r="J456" s="4"/>
      <c r="K456" s="10">
        <v>3900</v>
      </c>
      <c r="L456" s="11">
        <f t="shared" si="6"/>
        <v>58100</v>
      </c>
      <c r="M456" s="6"/>
      <c r="N456" s="13" t="str">
        <f>"117607"</f>
        <v>117607</v>
      </c>
    </row>
    <row r="457" spans="1:14" ht="15">
      <c r="A457" s="9">
        <v>450</v>
      </c>
      <c r="B457" s="4" t="s">
        <v>20</v>
      </c>
      <c r="C457" s="5" t="s">
        <v>21</v>
      </c>
      <c r="D457" s="14">
        <v>43451.029444444444</v>
      </c>
      <c r="E457" t="str">
        <f>"15414166615595455339"</f>
        <v>15414166615595455339</v>
      </c>
      <c r="F457" s="4" t="s">
        <v>22</v>
      </c>
      <c r="G457" s="13" t="s">
        <v>467</v>
      </c>
      <c r="H457" t="str">
        <f>"8827181105181704"</f>
        <v>8827181105181704</v>
      </c>
      <c r="I457" s="15">
        <v>200000</v>
      </c>
      <c r="J457" s="4"/>
      <c r="K457" s="10">
        <v>3900</v>
      </c>
      <c r="L457" s="11">
        <f t="shared" ref="L457:L460" si="7">(I457-K457)</f>
        <v>196100</v>
      </c>
      <c r="M457" s="6"/>
      <c r="N457" s="13" t="str">
        <f>"113186"</f>
        <v>113186</v>
      </c>
    </row>
    <row r="458" spans="1:14" ht="15">
      <c r="A458" s="9">
        <v>451</v>
      </c>
      <c r="B458" s="4" t="s">
        <v>20</v>
      </c>
      <c r="C458" s="5" t="s">
        <v>21</v>
      </c>
      <c r="D458" s="14">
        <v>43451.009965277779</v>
      </c>
      <c r="E458" t="str">
        <f>"15431421214646383566"</f>
        <v>15431421214646383566</v>
      </c>
      <c r="F458" s="4" t="s">
        <v>22</v>
      </c>
      <c r="G458" s="13" t="s">
        <v>468</v>
      </c>
      <c r="H458" t="str">
        <f>"8827181125173501"</f>
        <v>8827181125173501</v>
      </c>
      <c r="I458" s="15">
        <v>1168000</v>
      </c>
      <c r="J458" s="4"/>
      <c r="K458" s="10">
        <v>3900</v>
      </c>
      <c r="L458" s="11">
        <f t="shared" si="7"/>
        <v>1164100</v>
      </c>
      <c r="M458" s="6"/>
      <c r="N458" s="13" t="str">
        <f>"062235"</f>
        <v>062235</v>
      </c>
    </row>
    <row r="459" spans="1:14" ht="15">
      <c r="A459" s="9">
        <v>452</v>
      </c>
      <c r="B459" s="4" t="s">
        <v>20</v>
      </c>
      <c r="C459" s="5" t="s">
        <v>21</v>
      </c>
      <c r="D459" s="14">
        <v>43451.003553240742</v>
      </c>
      <c r="E459" t="str">
        <f>"15426513378867141324"</f>
        <v>15426513378867141324</v>
      </c>
      <c r="F459" s="4" t="s">
        <v>22</v>
      </c>
      <c r="G459" s="13" t="s">
        <v>469</v>
      </c>
      <c r="H459" t="str">
        <f>"8827181120011501"</f>
        <v>8827181120011501</v>
      </c>
      <c r="I459" s="15">
        <v>10000</v>
      </c>
      <c r="J459" s="4"/>
      <c r="K459" s="10">
        <v>3900</v>
      </c>
      <c r="L459" s="11">
        <f t="shared" si="7"/>
        <v>6100</v>
      </c>
      <c r="M459" s="6"/>
      <c r="N459" s="13" t="str">
        <f>"990315"</f>
        <v>990315</v>
      </c>
    </row>
    <row r="460" spans="1:14" ht="15">
      <c r="A460" s="9">
        <v>453</v>
      </c>
      <c r="B460" s="4" t="s">
        <v>20</v>
      </c>
      <c r="C460" s="5" t="s">
        <v>21</v>
      </c>
      <c r="D460" s="14">
        <v>43451.0000462963</v>
      </c>
      <c r="E460" t="str">
        <f>"15419071870654846639"</f>
        <v>15419071870654846639</v>
      </c>
      <c r="F460" s="4" t="s">
        <v>22</v>
      </c>
      <c r="G460" s="13" t="s">
        <v>470</v>
      </c>
      <c r="H460" t="str">
        <f>"8827181111103302"</f>
        <v>8827181111103302</v>
      </c>
      <c r="I460" s="15">
        <v>1293600</v>
      </c>
      <c r="J460" s="4"/>
      <c r="K460" s="10">
        <v>3900</v>
      </c>
      <c r="L460" s="11">
        <f t="shared" si="7"/>
        <v>1289700</v>
      </c>
      <c r="M460" s="6"/>
      <c r="N460" s="13" t="str">
        <f>"026345"</f>
        <v>026345</v>
      </c>
    </row>
    <row r="461" spans="1:14" ht="15" customHeight="1">
      <c r="A461" s="19" t="s">
        <v>26</v>
      </c>
      <c r="B461" s="20"/>
      <c r="C461" s="20"/>
      <c r="D461" s="20"/>
      <c r="E461" s="20"/>
      <c r="F461" s="20"/>
      <c r="G461" s="20"/>
      <c r="H461" s="20"/>
      <c r="I461" s="20"/>
      <c r="J461" s="20"/>
      <c r="K461" s="21"/>
      <c r="L461" s="28">
        <f>SUM(I8:I460)</f>
        <v>649556345</v>
      </c>
      <c r="M461" s="29"/>
      <c r="N461" s="7"/>
    </row>
    <row r="462" spans="1:14" ht="15" customHeight="1">
      <c r="A462" s="19" t="s">
        <v>27</v>
      </c>
      <c r="B462" s="20"/>
      <c r="C462" s="20"/>
      <c r="D462" s="20"/>
      <c r="E462" s="20"/>
      <c r="F462" s="20"/>
      <c r="G462" s="20"/>
      <c r="H462" s="20"/>
      <c r="I462" s="20"/>
      <c r="J462" s="20"/>
      <c r="K462" s="21"/>
      <c r="L462" s="17">
        <f>SUM(L8:L460)</f>
        <v>647789645</v>
      </c>
      <c r="M462" s="18"/>
      <c r="N462" s="7"/>
    </row>
    <row r="463" spans="1:14" ht="15" customHeight="1">
      <c r="A463" s="19" t="s">
        <v>28</v>
      </c>
      <c r="B463" s="20"/>
      <c r="C463" s="20"/>
      <c r="D463" s="20"/>
      <c r="E463" s="20"/>
      <c r="F463" s="20"/>
      <c r="G463" s="20"/>
      <c r="H463" s="20"/>
      <c r="I463" s="20"/>
      <c r="J463" s="20"/>
      <c r="K463" s="21"/>
      <c r="L463" s="17">
        <f>SUM(K8:K460)</f>
        <v>1766700</v>
      </c>
      <c r="M463" s="18"/>
      <c r="N463" s="8"/>
    </row>
    <row r="464" spans="1:14">
      <c r="L464" s="16"/>
    </row>
    <row r="465" spans="12:12">
      <c r="L465" s="12"/>
    </row>
  </sheetData>
  <mergeCells count="10">
    <mergeCell ref="A1:G1"/>
    <mergeCell ref="B3:G3"/>
    <mergeCell ref="B4:G4"/>
    <mergeCell ref="B5:G5"/>
    <mergeCell ref="L461:M461"/>
    <mergeCell ref="L462:M462"/>
    <mergeCell ref="L463:M463"/>
    <mergeCell ref="A461:K461"/>
    <mergeCell ref="A462:K462"/>
    <mergeCell ref="A463:K463"/>
  </mergeCells>
  <conditionalFormatting sqref="G7:G460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Billing_Tangbull_2018-12-10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2018-12-11T07:42:51Z</dcterms:created>
  <dcterms:modified xsi:type="dcterms:W3CDTF">2018-12-18T08:28:32Z</dcterms:modified>
</cp:coreProperties>
</file>