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Desktop\"/>
    </mc:Choice>
  </mc:AlternateContent>
  <bookViews>
    <workbookView xWindow="0" yWindow="0" windowWidth="9030" windowHeight="9585" firstSheet="3" activeTab="3"/>
  </bookViews>
  <sheets>
    <sheet name="Input sheet" sheetId="1" r:id="rId1"/>
    <sheet name="Shell material types" sheetId="4" r:id="rId2"/>
    <sheet name="Tank design calcluation" sheetId="2" r:id="rId3"/>
    <sheet name="Shell Design API 650" sheetId="3" r:id="rId4"/>
    <sheet name="Bottom plate" sheetId="6" r:id="rId5"/>
    <sheet name="Primary wind girder design" sheetId="7" r:id="rId6"/>
    <sheet name="Stability of shell against wind" sheetId="8" r:id="rId7"/>
  </sheets>
  <calcPr calcId="162913"/>
</workbook>
</file>

<file path=xl/calcChain.xml><?xml version="1.0" encoding="utf-8"?>
<calcChain xmlns="http://schemas.openxmlformats.org/spreadsheetml/2006/main">
  <c r="B80" i="3" l="1"/>
  <c r="B79" i="3"/>
  <c r="B78" i="3"/>
  <c r="B74" i="3"/>
  <c r="B68" i="3"/>
  <c r="B73" i="3"/>
  <c r="B67" i="3"/>
  <c r="C62" i="3"/>
  <c r="C57" i="3"/>
  <c r="C47" i="3"/>
  <c r="C63" i="3"/>
  <c r="C58" i="3"/>
  <c r="C59" i="3" s="1"/>
  <c r="C48" i="3"/>
  <c r="B69" i="3"/>
  <c r="C64" i="3"/>
  <c r="C53" i="3"/>
  <c r="C52" i="3"/>
  <c r="D35" i="3"/>
  <c r="B75" i="3" l="1"/>
  <c r="C49" i="3"/>
  <c r="C54" i="3"/>
  <c r="B22" i="6"/>
  <c r="B21" i="6"/>
  <c r="B47" i="3"/>
  <c r="B48" i="3"/>
  <c r="D34" i="3" l="1"/>
  <c r="C32" i="3"/>
  <c r="C31" i="3"/>
  <c r="F7" i="8" l="1"/>
  <c r="B4" i="8"/>
  <c r="B3" i="8"/>
  <c r="C3" i="8" s="1"/>
  <c r="J14" i="7"/>
  <c r="G14" i="7"/>
  <c r="I11" i="7"/>
  <c r="I12" i="7"/>
  <c r="I13" i="7"/>
  <c r="I10" i="7"/>
  <c r="H11" i="7"/>
  <c r="H12" i="7"/>
  <c r="H13" i="7"/>
  <c r="H10" i="7"/>
  <c r="F14" i="7"/>
  <c r="B4" i="7"/>
  <c r="B3" i="7"/>
  <c r="B19" i="6"/>
  <c r="B9" i="6"/>
  <c r="B4" i="6"/>
  <c r="C4" i="6" s="1"/>
  <c r="B2" i="6"/>
  <c r="C2" i="6" s="1"/>
  <c r="B6" i="6" s="1"/>
  <c r="G7" i="8" s="1"/>
  <c r="G8" i="8" s="1"/>
  <c r="G9" i="8" s="1"/>
  <c r="G10" i="8" s="1"/>
  <c r="G11" i="8" s="1"/>
  <c r="G12" i="8" s="1"/>
  <c r="G13" i="8" s="1"/>
  <c r="G14" i="8" s="1"/>
  <c r="O34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E7" i="3"/>
  <c r="D7" i="3"/>
  <c r="C7" i="3"/>
  <c r="B7" i="3"/>
  <c r="B24" i="3" s="1"/>
  <c r="B5" i="3" s="1"/>
  <c r="E7" i="8" s="1"/>
  <c r="E8" i="8" s="1"/>
  <c r="E9" i="8" s="1"/>
  <c r="E10" i="8" s="1"/>
  <c r="E11" i="8" s="1"/>
  <c r="E12" i="8" s="1"/>
  <c r="E13" i="8" s="1"/>
  <c r="E14" i="8" s="1"/>
  <c r="F7" i="3"/>
  <c r="G34" i="3" s="1"/>
  <c r="B4" i="3"/>
  <c r="B3" i="3"/>
  <c r="B4" i="2"/>
  <c r="C4" i="2" s="1"/>
  <c r="B3" i="2"/>
  <c r="C3" i="2" s="1"/>
  <c r="L34" i="3" s="1"/>
  <c r="B6" i="2"/>
  <c r="C6" i="2" s="1"/>
  <c r="B5" i="2"/>
  <c r="C5" i="2" s="1"/>
  <c r="B2" i="3"/>
  <c r="B1" i="3"/>
  <c r="B9" i="2"/>
  <c r="B7" i="2"/>
  <c r="C7" i="2" s="1"/>
  <c r="B8" i="2"/>
  <c r="C8" i="2" s="1"/>
  <c r="B2" i="2"/>
  <c r="C2" i="2" s="1"/>
  <c r="B1" i="2"/>
  <c r="C1" i="2" s="1"/>
  <c r="B2" i="7" s="1"/>
  <c r="H14" i="8" l="1"/>
  <c r="K34" i="3"/>
  <c r="H7" i="8"/>
  <c r="H11" i="8"/>
  <c r="H10" i="8"/>
  <c r="B18" i="6"/>
  <c r="H14" i="7"/>
  <c r="B5" i="7" s="1"/>
  <c r="K10" i="7" s="1"/>
  <c r="H13" i="8"/>
  <c r="H9" i="8"/>
  <c r="I14" i="7"/>
  <c r="B1" i="8"/>
  <c r="H12" i="8"/>
  <c r="H8" i="8"/>
  <c r="B1" i="7"/>
  <c r="K12" i="7"/>
  <c r="M34" i="3"/>
  <c r="N34" i="3"/>
  <c r="B63" i="3"/>
  <c r="Q34" i="3"/>
  <c r="B52" i="3"/>
  <c r="B58" i="3"/>
  <c r="B62" i="3"/>
  <c r="B53" i="3"/>
  <c r="B57" i="3"/>
  <c r="F35" i="3"/>
  <c r="F34" i="3"/>
  <c r="B30" i="3"/>
  <c r="B10" i="6" s="1"/>
  <c r="B13" i="6" s="1"/>
  <c r="E35" i="3"/>
  <c r="E34" i="3"/>
  <c r="B31" i="3"/>
  <c r="K13" i="7" l="1"/>
  <c r="H23" i="8"/>
  <c r="I23" i="8" s="1"/>
  <c r="B59" i="3"/>
  <c r="K11" i="7"/>
  <c r="B64" i="3"/>
  <c r="B2" i="8" s="1"/>
  <c r="E26" i="8" s="1"/>
  <c r="B49" i="3"/>
  <c r="K14" i="7"/>
  <c r="B7" i="7" s="1"/>
  <c r="B8" i="7" s="1"/>
  <c r="B9" i="7" s="1"/>
  <c r="B54" i="3"/>
  <c r="B32" i="3"/>
  <c r="B35" i="3"/>
  <c r="B34" i="3"/>
  <c r="B11" i="6" l="1"/>
  <c r="B14" i="6" s="1"/>
  <c r="B16" i="6" s="1"/>
  <c r="B40" i="3"/>
  <c r="D31" i="8"/>
  <c r="B43" i="3"/>
  <c r="B36" i="3"/>
  <c r="A43" i="3" l="1"/>
  <c r="A41" i="3"/>
  <c r="A42" i="3"/>
  <c r="A44" i="3" l="1"/>
</calcChain>
</file>

<file path=xl/sharedStrings.xml><?xml version="1.0" encoding="utf-8"?>
<sst xmlns="http://schemas.openxmlformats.org/spreadsheetml/2006/main" count="226" uniqueCount="157">
  <si>
    <t>Tank Design calculation</t>
  </si>
  <si>
    <t>Doc number</t>
  </si>
  <si>
    <t>Tank specfication data</t>
  </si>
  <si>
    <t>Tank number:</t>
  </si>
  <si>
    <t>Type of tank:</t>
  </si>
  <si>
    <t>Item name:</t>
  </si>
  <si>
    <t xml:space="preserve">Desing code </t>
  </si>
  <si>
    <t>Design input parameters</t>
  </si>
  <si>
    <t>Nominal capacity</t>
  </si>
  <si>
    <t>cubicmeter</t>
  </si>
  <si>
    <t>Inside diameter</t>
  </si>
  <si>
    <t>meter</t>
  </si>
  <si>
    <t xml:space="preserve">tank heigght </t>
  </si>
  <si>
    <t>maximum filling height</t>
  </si>
  <si>
    <t>in-filling rate</t>
  </si>
  <si>
    <t>cubicmeter per meter</t>
  </si>
  <si>
    <t>Emptying rate</t>
  </si>
  <si>
    <t>Product density @20C</t>
  </si>
  <si>
    <t xml:space="preserve">kg per cubicmeter </t>
  </si>
  <si>
    <t>Corrsion Allowance date</t>
  </si>
  <si>
    <t>Shell (1st course)</t>
  </si>
  <si>
    <t>mm</t>
  </si>
  <si>
    <t>Shell (2nd course)</t>
  </si>
  <si>
    <t>Bottom</t>
  </si>
  <si>
    <t>Ring of sketch plate</t>
  </si>
  <si>
    <t>Roof</t>
  </si>
  <si>
    <t>m</t>
  </si>
  <si>
    <t>Design liquid height</t>
  </si>
  <si>
    <t xml:space="preserve">Design specific gravity </t>
  </si>
  <si>
    <t>Internal Pressure</t>
  </si>
  <si>
    <t>Design condition</t>
  </si>
  <si>
    <t>Kpa g</t>
  </si>
  <si>
    <t>mm H2O</t>
  </si>
  <si>
    <t xml:space="preserve">Operating condition </t>
  </si>
  <si>
    <t>Test condtion</t>
  </si>
  <si>
    <t>External Pressure</t>
  </si>
  <si>
    <t>Kpa</t>
  </si>
  <si>
    <t>kPa</t>
  </si>
  <si>
    <t>kPa g</t>
  </si>
  <si>
    <t>Temperature</t>
  </si>
  <si>
    <t>Cel.</t>
  </si>
  <si>
    <t>Operating condition  (min/max)</t>
  </si>
  <si>
    <t>19.6/31.2</t>
  </si>
  <si>
    <t>Flash point</t>
  </si>
  <si>
    <t>&lt;38</t>
  </si>
  <si>
    <t>Design wind speed (3 sec gust wind speed)</t>
  </si>
  <si>
    <t>m per sec</t>
  </si>
  <si>
    <t xml:space="preserve">Seismic design </t>
  </si>
  <si>
    <t>NA</t>
  </si>
  <si>
    <t>Type of roof</t>
  </si>
  <si>
    <t>Al geodesic domre roof</t>
  </si>
  <si>
    <t>Frangible roof</t>
  </si>
  <si>
    <t>No</t>
  </si>
  <si>
    <t>Tank height</t>
  </si>
  <si>
    <t>Slope at the bottom 1:</t>
  </si>
  <si>
    <t>(means 1 in 120)</t>
  </si>
  <si>
    <t>Nominal cpacity</t>
  </si>
  <si>
    <t>High-high liquid level (HHLL)</t>
  </si>
  <si>
    <t>High liquid level (HLL)</t>
  </si>
  <si>
    <t>Low liquid level (LLL)</t>
  </si>
  <si>
    <t>low Low liquid level (LLLL)</t>
  </si>
  <si>
    <t>Is internal pressure more than 1kPa</t>
  </si>
  <si>
    <t>tpd</t>
  </si>
  <si>
    <t>G</t>
  </si>
  <si>
    <t>Shell plate</t>
  </si>
  <si>
    <t>Course 1</t>
  </si>
  <si>
    <t>Course 2</t>
  </si>
  <si>
    <t>Course 3</t>
  </si>
  <si>
    <t>Course 4</t>
  </si>
  <si>
    <t>Course 5</t>
  </si>
  <si>
    <t>Course 6</t>
  </si>
  <si>
    <t>Course 7</t>
  </si>
  <si>
    <t>Course 8</t>
  </si>
  <si>
    <t>materials</t>
  </si>
  <si>
    <t xml:space="preserve">A573 Gr.70 </t>
  </si>
  <si>
    <t>A283 Gr. C</t>
  </si>
  <si>
    <t>Ft</t>
  </si>
  <si>
    <t>Fy</t>
  </si>
  <si>
    <t>Sd</t>
  </si>
  <si>
    <t>St</t>
  </si>
  <si>
    <t>Type</t>
  </si>
  <si>
    <t>Courses</t>
  </si>
  <si>
    <t>Corrsion allowances (mm)</t>
  </si>
  <si>
    <t>CA</t>
  </si>
  <si>
    <t>Design condition: prelim for bot. Course thickness</t>
  </si>
  <si>
    <t>tpt</t>
  </si>
  <si>
    <t>Height</t>
  </si>
  <si>
    <t>Bottom course thickness</t>
  </si>
  <si>
    <t>t1d</t>
  </si>
  <si>
    <t>t1t</t>
  </si>
  <si>
    <t>Htest</t>
  </si>
  <si>
    <t>P</t>
  </si>
  <si>
    <t>Pt</t>
  </si>
  <si>
    <t>Course 9</t>
  </si>
  <si>
    <t>Course 10</t>
  </si>
  <si>
    <t>Course 11</t>
  </si>
  <si>
    <t>Course 12</t>
  </si>
  <si>
    <t>Course 13</t>
  </si>
  <si>
    <t>Course 14</t>
  </si>
  <si>
    <t>Course 15</t>
  </si>
  <si>
    <t>Course 16</t>
  </si>
  <si>
    <t>Course height</t>
  </si>
  <si>
    <t>Cond. 1</t>
  </si>
  <si>
    <t>Upper shells</t>
  </si>
  <si>
    <t>tdx</t>
  </si>
  <si>
    <t>ttx</t>
  </si>
  <si>
    <t>bottom plate thickness min thickness</t>
  </si>
  <si>
    <t>Min. By client</t>
  </si>
  <si>
    <t>min. Thickness by client</t>
  </si>
  <si>
    <t>Max.</t>
  </si>
  <si>
    <t>Annular bottom plate thickness</t>
  </si>
  <si>
    <t>Product stress</t>
  </si>
  <si>
    <t>Std</t>
  </si>
  <si>
    <t>t</t>
  </si>
  <si>
    <t>td</t>
  </si>
  <si>
    <t>tt</t>
  </si>
  <si>
    <t>Shell plate thickness</t>
  </si>
  <si>
    <t>Stt</t>
  </si>
  <si>
    <t>Maximum stress in first shell course</t>
  </si>
  <si>
    <t>min. Annular bottom plate thickness</t>
  </si>
  <si>
    <t>min. Annular bottom plate thickness by client</t>
  </si>
  <si>
    <t>min. Annular Thickness by client</t>
  </si>
  <si>
    <t>Annular bottom plate min width</t>
  </si>
  <si>
    <t>D=</t>
  </si>
  <si>
    <t>H=</t>
  </si>
  <si>
    <t>V</t>
  </si>
  <si>
    <t>cubmeter</t>
  </si>
  <si>
    <t>Section mod. Of primary wind girder</t>
  </si>
  <si>
    <t>a</t>
  </si>
  <si>
    <t>b</t>
  </si>
  <si>
    <t>c</t>
  </si>
  <si>
    <t>d</t>
  </si>
  <si>
    <t>A</t>
  </si>
  <si>
    <t>e</t>
  </si>
  <si>
    <t>A*e</t>
  </si>
  <si>
    <t>A*e^2</t>
  </si>
  <si>
    <t>IS</t>
  </si>
  <si>
    <t>AxG^2</t>
  </si>
  <si>
    <t>sum</t>
  </si>
  <si>
    <t>cm</t>
  </si>
  <si>
    <t>G2</t>
  </si>
  <si>
    <t>Zact</t>
  </si>
  <si>
    <t>G1</t>
  </si>
  <si>
    <t>I</t>
  </si>
  <si>
    <t>Zreq</t>
  </si>
  <si>
    <t>D</t>
  </si>
  <si>
    <t>Tc</t>
  </si>
  <si>
    <t>Pe</t>
  </si>
  <si>
    <t>Hi</t>
  </si>
  <si>
    <t>tsi</t>
  </si>
  <si>
    <t>ts1</t>
  </si>
  <si>
    <t>Htssi</t>
  </si>
  <si>
    <t>Min required stiffner number</t>
  </si>
  <si>
    <t>Number of intermediate sriff. Required based on Hsafe</t>
  </si>
  <si>
    <t>Ns</t>
  </si>
  <si>
    <t>(Bhai, Pls look into it again)</t>
  </si>
  <si>
    <t xml:space="preserve"> I think this is the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</si>
</sst>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/>
    <xf numFmtId="0" fontId="1" fillId="2" borderId="0" xfId="1"/>
    <xf numFmtId="0" fontId="2" fillId="0" borderId="0" xfId="0" applyFont="1"/>
    <xf numFmtId="0" fontId="0" fillId="4" borderId="0" xfId="0" applyFill="1"/>
    <xf numFmtId="0" fontId="3" fillId="0" borderId="0" xfId="0" applyFont="1"/>
    <xf numFmtId="0" fontId="0" fillId="0" borderId="0" xfId="0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0</xdr:col>
      <xdr:colOff>1609524</xdr:colOff>
      <xdr:row>23</xdr:row>
      <xdr:rowOff>28524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0"/>
          <a:ext cx="1609524" cy="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A63" sqref="A63:A64"/>
    </sheetView>
  </sheetViews>
  <sheetFormatPr defaultRowHeight="15" x14ac:dyDescent="0.25"/>
  <cols>
    <col min="1" max="1" width="39.42578125" customWidth="1"/>
    <col min="3" max="3" width="20.5703125" bestFit="1" customWidth="1"/>
    <col min="4" max="4" width="17.28515625" customWidth="1"/>
    <col min="6" max="6" width="17.42578125" customWidth="1"/>
    <col min="7" max="7" width="18" customWidth="1"/>
    <col min="8" max="8" width="24.28515625" customWidth="1"/>
    <col min="14" max="14" width="10.7109375" bestFit="1" customWidth="1"/>
  </cols>
  <sheetData>
    <row r="1" spans="1:8" x14ac:dyDescent="0.25">
      <c r="A1" s="8" t="s">
        <v>0</v>
      </c>
      <c r="B1" s="8"/>
      <c r="C1" s="8"/>
      <c r="D1" t="s">
        <v>1</v>
      </c>
    </row>
    <row r="2" spans="1:8" x14ac:dyDescent="0.25">
      <c r="A2" s="8"/>
      <c r="B2" s="8"/>
      <c r="C2" s="8"/>
    </row>
    <row r="4" spans="1:8" x14ac:dyDescent="0.25">
      <c r="A4" t="s">
        <v>2</v>
      </c>
      <c r="F4" t="s">
        <v>64</v>
      </c>
      <c r="G4" t="s">
        <v>73</v>
      </c>
      <c r="H4" t="s">
        <v>82</v>
      </c>
    </row>
    <row r="5" spans="1:8" x14ac:dyDescent="0.25">
      <c r="A5" t="s">
        <v>3</v>
      </c>
      <c r="F5" t="s">
        <v>65</v>
      </c>
      <c r="G5" t="s">
        <v>74</v>
      </c>
      <c r="H5">
        <v>1.5</v>
      </c>
    </row>
    <row r="6" spans="1:8" x14ac:dyDescent="0.25">
      <c r="A6" t="s">
        <v>4</v>
      </c>
      <c r="F6" t="s">
        <v>66</v>
      </c>
      <c r="G6" t="s">
        <v>74</v>
      </c>
      <c r="H6">
        <v>1.5</v>
      </c>
    </row>
    <row r="7" spans="1:8" x14ac:dyDescent="0.25">
      <c r="A7" t="s">
        <v>5</v>
      </c>
      <c r="F7" t="s">
        <v>67</v>
      </c>
      <c r="G7" t="s">
        <v>74</v>
      </c>
      <c r="H7">
        <v>1.5</v>
      </c>
    </row>
    <row r="8" spans="1:8" x14ac:dyDescent="0.25">
      <c r="A8" t="s">
        <v>6</v>
      </c>
      <c r="F8" t="s">
        <v>68</v>
      </c>
      <c r="G8" t="s">
        <v>74</v>
      </c>
      <c r="H8">
        <v>1.5</v>
      </c>
    </row>
    <row r="9" spans="1:8" x14ac:dyDescent="0.25">
      <c r="F9" t="s">
        <v>69</v>
      </c>
      <c r="G9" t="s">
        <v>74</v>
      </c>
      <c r="H9">
        <v>1.5</v>
      </c>
    </row>
    <row r="10" spans="1:8" x14ac:dyDescent="0.25">
      <c r="A10" t="s">
        <v>7</v>
      </c>
      <c r="F10" t="s">
        <v>70</v>
      </c>
      <c r="G10" t="s">
        <v>74</v>
      </c>
      <c r="H10">
        <v>1.5</v>
      </c>
    </row>
    <row r="11" spans="1:8" x14ac:dyDescent="0.25">
      <c r="A11" t="s">
        <v>8</v>
      </c>
      <c r="B11">
        <v>30000</v>
      </c>
      <c r="C11" t="s">
        <v>9</v>
      </c>
      <c r="F11" t="s">
        <v>71</v>
      </c>
      <c r="G11" t="s">
        <v>75</v>
      </c>
      <c r="H11">
        <v>1.5</v>
      </c>
    </row>
    <row r="12" spans="1:8" x14ac:dyDescent="0.25">
      <c r="A12" t="s">
        <v>10</v>
      </c>
      <c r="B12">
        <v>45</v>
      </c>
      <c r="C12" t="s">
        <v>11</v>
      </c>
      <c r="F12" t="s">
        <v>72</v>
      </c>
      <c r="G12" t="s">
        <v>75</v>
      </c>
      <c r="H12">
        <v>1.5</v>
      </c>
    </row>
    <row r="13" spans="1:8" x14ac:dyDescent="0.25">
      <c r="A13" t="s">
        <v>12</v>
      </c>
      <c r="B13">
        <v>20.5</v>
      </c>
      <c r="C13" t="s">
        <v>11</v>
      </c>
    </row>
    <row r="14" spans="1:8" x14ac:dyDescent="0.25">
      <c r="A14" t="s">
        <v>13</v>
      </c>
      <c r="B14">
        <v>19.25</v>
      </c>
      <c r="C14" t="s">
        <v>11</v>
      </c>
    </row>
    <row r="15" spans="1:8" x14ac:dyDescent="0.25">
      <c r="A15" t="s">
        <v>90</v>
      </c>
      <c r="B15">
        <v>19.25</v>
      </c>
      <c r="C15" t="s">
        <v>11</v>
      </c>
    </row>
    <row r="16" spans="1:8" x14ac:dyDescent="0.25">
      <c r="A16" t="s">
        <v>14</v>
      </c>
      <c r="B16">
        <v>2000</v>
      </c>
      <c r="C16" t="s">
        <v>15</v>
      </c>
    </row>
    <row r="17" spans="1:14" x14ac:dyDescent="0.25">
      <c r="A17" t="s">
        <v>16</v>
      </c>
      <c r="B17">
        <v>310</v>
      </c>
      <c r="C17" t="s">
        <v>15</v>
      </c>
    </row>
    <row r="18" spans="1:14" x14ac:dyDescent="0.25">
      <c r="A18" t="s">
        <v>17</v>
      </c>
      <c r="B18">
        <v>750</v>
      </c>
      <c r="C18" t="s">
        <v>18</v>
      </c>
    </row>
    <row r="19" spans="1:14" x14ac:dyDescent="0.25">
      <c r="A19" t="s">
        <v>54</v>
      </c>
      <c r="B19">
        <v>120</v>
      </c>
      <c r="C19" t="s">
        <v>55</v>
      </c>
    </row>
    <row r="20" spans="1:14" x14ac:dyDescent="0.25">
      <c r="A20" t="s">
        <v>19</v>
      </c>
    </row>
    <row r="21" spans="1:14" x14ac:dyDescent="0.25">
      <c r="A21" s="1" t="s">
        <v>20</v>
      </c>
      <c r="B21">
        <v>1.5</v>
      </c>
      <c r="C21" t="s">
        <v>21</v>
      </c>
    </row>
    <row r="22" spans="1:14" x14ac:dyDescent="0.25">
      <c r="A22" s="1" t="s">
        <v>22</v>
      </c>
      <c r="B22">
        <v>1.5</v>
      </c>
      <c r="C22" t="s">
        <v>21</v>
      </c>
    </row>
    <row r="23" spans="1:14" x14ac:dyDescent="0.25">
      <c r="A23" s="1" t="s">
        <v>23</v>
      </c>
      <c r="B23">
        <v>1.5</v>
      </c>
      <c r="C23" t="s">
        <v>21</v>
      </c>
    </row>
    <row r="24" spans="1:14" x14ac:dyDescent="0.25">
      <c r="A24" s="1" t="s">
        <v>24</v>
      </c>
      <c r="B24">
        <v>1.5</v>
      </c>
      <c r="C24" t="s">
        <v>21</v>
      </c>
    </row>
    <row r="25" spans="1:14" x14ac:dyDescent="0.25">
      <c r="A25" s="1" t="s">
        <v>25</v>
      </c>
      <c r="B25">
        <v>1.5</v>
      </c>
      <c r="C25" t="s">
        <v>21</v>
      </c>
    </row>
    <row r="26" spans="1:14" x14ac:dyDescent="0.25">
      <c r="A26" s="2" t="s">
        <v>27</v>
      </c>
      <c r="B26">
        <v>19.25</v>
      </c>
      <c r="C26" t="s">
        <v>26</v>
      </c>
    </row>
    <row r="27" spans="1:14" x14ac:dyDescent="0.25">
      <c r="A27" s="2" t="s">
        <v>28</v>
      </c>
      <c r="B27">
        <v>0.75</v>
      </c>
    </row>
    <row r="28" spans="1:14" x14ac:dyDescent="0.25">
      <c r="A28" s="2" t="s">
        <v>29</v>
      </c>
    </row>
    <row r="29" spans="1:14" x14ac:dyDescent="0.25">
      <c r="A29" s="1" t="s">
        <v>30</v>
      </c>
      <c r="B29">
        <v>0.58799999999999997</v>
      </c>
      <c r="C29" t="s">
        <v>38</v>
      </c>
      <c r="N29" t="s">
        <v>74</v>
      </c>
    </row>
    <row r="30" spans="1:14" x14ac:dyDescent="0.25">
      <c r="B30">
        <v>60</v>
      </c>
      <c r="C30" t="s">
        <v>32</v>
      </c>
      <c r="N30" t="s">
        <v>75</v>
      </c>
    </row>
    <row r="31" spans="1:14" x14ac:dyDescent="0.25">
      <c r="A31" s="1" t="s">
        <v>33</v>
      </c>
      <c r="B31">
        <v>0.188</v>
      </c>
      <c r="C31" t="s">
        <v>31</v>
      </c>
    </row>
    <row r="32" spans="1:14" x14ac:dyDescent="0.25">
      <c r="B32">
        <v>12</v>
      </c>
      <c r="C32" t="s">
        <v>32</v>
      </c>
    </row>
    <row r="33" spans="1:3" x14ac:dyDescent="0.25">
      <c r="A33" s="1" t="s">
        <v>34</v>
      </c>
      <c r="B33">
        <v>0.58799999999999997</v>
      </c>
      <c r="C33" t="s">
        <v>31</v>
      </c>
    </row>
    <row r="34" spans="1:3" x14ac:dyDescent="0.25">
      <c r="B34">
        <v>60</v>
      </c>
      <c r="C34" t="s">
        <v>32</v>
      </c>
    </row>
    <row r="35" spans="1:3" x14ac:dyDescent="0.25">
      <c r="A35" s="2" t="s">
        <v>35</v>
      </c>
    </row>
    <row r="36" spans="1:3" x14ac:dyDescent="0.25">
      <c r="A36" s="1" t="s">
        <v>30</v>
      </c>
      <c r="B36">
        <v>0.245</v>
      </c>
      <c r="C36" t="s">
        <v>37</v>
      </c>
    </row>
    <row r="37" spans="1:3" x14ac:dyDescent="0.25">
      <c r="B37">
        <v>25</v>
      </c>
      <c r="C37" t="s">
        <v>32</v>
      </c>
    </row>
    <row r="38" spans="1:3" x14ac:dyDescent="0.25">
      <c r="A38" s="1" t="s">
        <v>33</v>
      </c>
      <c r="B38">
        <v>0</v>
      </c>
      <c r="C38" t="s">
        <v>36</v>
      </c>
    </row>
    <row r="39" spans="1:3" x14ac:dyDescent="0.25">
      <c r="B39">
        <v>0</v>
      </c>
      <c r="C39" t="s">
        <v>32</v>
      </c>
    </row>
    <row r="40" spans="1:3" x14ac:dyDescent="0.25">
      <c r="A40" t="s">
        <v>39</v>
      </c>
    </row>
    <row r="41" spans="1:3" x14ac:dyDescent="0.25">
      <c r="A41" s="1" t="s">
        <v>30</v>
      </c>
      <c r="B41">
        <v>60</v>
      </c>
      <c r="C41" t="s">
        <v>40</v>
      </c>
    </row>
    <row r="42" spans="1:3" x14ac:dyDescent="0.25">
      <c r="A42" s="1" t="s">
        <v>41</v>
      </c>
      <c r="B42" t="s">
        <v>42</v>
      </c>
      <c r="C42" t="s">
        <v>40</v>
      </c>
    </row>
    <row r="43" spans="1:3" x14ac:dyDescent="0.25">
      <c r="A43" s="1" t="s">
        <v>43</v>
      </c>
      <c r="B43" t="s">
        <v>44</v>
      </c>
      <c r="C43" t="s">
        <v>40</v>
      </c>
    </row>
    <row r="44" spans="1:3" x14ac:dyDescent="0.25">
      <c r="A44" s="1" t="s">
        <v>45</v>
      </c>
      <c r="B44">
        <v>36</v>
      </c>
      <c r="C44" t="s">
        <v>46</v>
      </c>
    </row>
    <row r="45" spans="1:3" x14ac:dyDescent="0.25">
      <c r="A45" s="2" t="s">
        <v>47</v>
      </c>
      <c r="B45" t="s">
        <v>48</v>
      </c>
    </row>
    <row r="46" spans="1:3" x14ac:dyDescent="0.25">
      <c r="A46" s="1" t="s">
        <v>49</v>
      </c>
      <c r="B46" t="s">
        <v>50</v>
      </c>
    </row>
    <row r="47" spans="1:3" x14ac:dyDescent="0.25">
      <c r="A47" s="1" t="s">
        <v>51</v>
      </c>
      <c r="B47" t="s">
        <v>52</v>
      </c>
    </row>
    <row r="50" spans="1:2" x14ac:dyDescent="0.25">
      <c r="A50" t="s">
        <v>57</v>
      </c>
      <c r="B50">
        <v>19</v>
      </c>
    </row>
    <row r="51" spans="1:2" x14ac:dyDescent="0.25">
      <c r="A51" t="s">
        <v>58</v>
      </c>
      <c r="B51">
        <v>18.75</v>
      </c>
    </row>
    <row r="52" spans="1:2" x14ac:dyDescent="0.25">
      <c r="A52" t="s">
        <v>59</v>
      </c>
      <c r="B52">
        <v>3000</v>
      </c>
    </row>
    <row r="53" spans="1:2" x14ac:dyDescent="0.25">
      <c r="A53" t="s">
        <v>60</v>
      </c>
    </row>
    <row r="54" spans="1:2" x14ac:dyDescent="0.25">
      <c r="A54" t="s">
        <v>108</v>
      </c>
      <c r="B54">
        <v>8</v>
      </c>
    </row>
    <row r="55" spans="1:2" x14ac:dyDescent="0.25">
      <c r="A55" t="s">
        <v>121</v>
      </c>
      <c r="B55">
        <v>10</v>
      </c>
    </row>
  </sheetData>
  <mergeCells count="1">
    <mergeCell ref="A1:C2"/>
  </mergeCells>
  <dataValidations count="1">
    <dataValidation type="list" allowBlank="1" showInputMessage="1" showErrorMessage="1" sqref="G5:G12">
      <formula1>$N$29:$N$30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20" sqref="E20"/>
    </sheetView>
  </sheetViews>
  <sheetFormatPr defaultRowHeight="15" x14ac:dyDescent="0.25"/>
  <cols>
    <col min="1" max="1" width="15.28515625" customWidth="1"/>
  </cols>
  <sheetData>
    <row r="1" spans="1:5" x14ac:dyDescent="0.25">
      <c r="A1" t="s">
        <v>80</v>
      </c>
      <c r="B1" t="s">
        <v>76</v>
      </c>
      <c r="C1" t="s">
        <v>77</v>
      </c>
      <c r="D1" t="s">
        <v>78</v>
      </c>
      <c r="E1" t="s">
        <v>79</v>
      </c>
    </row>
    <row r="2" spans="1:5" x14ac:dyDescent="0.25">
      <c r="A2" t="s">
        <v>74</v>
      </c>
      <c r="B2">
        <v>485</v>
      </c>
      <c r="C2">
        <v>290</v>
      </c>
      <c r="D2">
        <v>193</v>
      </c>
      <c r="E2">
        <v>208</v>
      </c>
    </row>
    <row r="3" spans="1:5" x14ac:dyDescent="0.25">
      <c r="A3" t="s">
        <v>75</v>
      </c>
      <c r="B3">
        <v>380</v>
      </c>
      <c r="C3">
        <v>205</v>
      </c>
      <c r="D3">
        <v>137</v>
      </c>
      <c r="E3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5" sqref="C5"/>
    </sheetView>
  </sheetViews>
  <sheetFormatPr defaultRowHeight="15" x14ac:dyDescent="0.25"/>
  <cols>
    <col min="1" max="1" width="27" customWidth="1"/>
  </cols>
  <sheetData>
    <row r="1" spans="1:3" x14ac:dyDescent="0.25">
      <c r="A1" t="s">
        <v>10</v>
      </c>
      <c r="B1">
        <f>'Input sheet'!B12*1000</f>
        <v>45000</v>
      </c>
      <c r="C1">
        <f>B1/1000</f>
        <v>45</v>
      </c>
    </row>
    <row r="2" spans="1:3" x14ac:dyDescent="0.25">
      <c r="A2" t="s">
        <v>53</v>
      </c>
      <c r="B2">
        <f>'Input sheet'!B13*1000</f>
        <v>20500</v>
      </c>
      <c r="C2">
        <f>B2/1000</f>
        <v>20.5</v>
      </c>
    </row>
    <row r="3" spans="1:3" x14ac:dyDescent="0.25">
      <c r="A3" t="s">
        <v>86</v>
      </c>
      <c r="B3">
        <f>'Input sheet'!B14*1000</f>
        <v>19250</v>
      </c>
      <c r="C3">
        <f>B3/1000</f>
        <v>19.25</v>
      </c>
    </row>
    <row r="4" spans="1:3" x14ac:dyDescent="0.25">
      <c r="A4" t="s">
        <v>90</v>
      </c>
      <c r="B4">
        <f>'Input sheet'!B15*1000</f>
        <v>19250</v>
      </c>
      <c r="C4">
        <f>B4/1000</f>
        <v>19.25</v>
      </c>
    </row>
    <row r="5" spans="1:3" x14ac:dyDescent="0.25">
      <c r="A5" t="s">
        <v>57</v>
      </c>
      <c r="B5">
        <f>'Input sheet'!B50*1000</f>
        <v>19000</v>
      </c>
      <c r="C5">
        <f t="shared" ref="C5:C7" si="0">B5/1000</f>
        <v>19</v>
      </c>
    </row>
    <row r="6" spans="1:3" x14ac:dyDescent="0.25">
      <c r="A6" t="s">
        <v>58</v>
      </c>
      <c r="B6">
        <f>'Input sheet'!B51*1000</f>
        <v>18750</v>
      </c>
      <c r="C6">
        <f t="shared" si="0"/>
        <v>18.75</v>
      </c>
    </row>
    <row r="7" spans="1:3" x14ac:dyDescent="0.25">
      <c r="A7" t="s">
        <v>59</v>
      </c>
      <c r="B7">
        <f>'Input sheet'!B52</f>
        <v>3000</v>
      </c>
      <c r="C7">
        <f t="shared" si="0"/>
        <v>3</v>
      </c>
    </row>
    <row r="8" spans="1:3" x14ac:dyDescent="0.25">
      <c r="A8" t="s">
        <v>60</v>
      </c>
      <c r="B8">
        <f>'Input sheet'!B53</f>
        <v>0</v>
      </c>
      <c r="C8">
        <f t="shared" ref="C8" si="1">B8</f>
        <v>0</v>
      </c>
    </row>
    <row r="9" spans="1:3" x14ac:dyDescent="0.25">
      <c r="A9" t="s">
        <v>56</v>
      </c>
      <c r="B9">
        <f>'Input sheet'!B11</f>
        <v>30000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abSelected="1" topLeftCell="A26" workbookViewId="0">
      <selection activeCell="B78" sqref="B78"/>
    </sheetView>
  </sheetViews>
  <sheetFormatPr defaultRowHeight="15" x14ac:dyDescent="0.25"/>
  <cols>
    <col min="1" max="1" width="46.28515625" bestFit="1" customWidth="1"/>
    <col min="2" max="2" width="28.5703125" customWidth="1"/>
    <col min="4" max="4" width="12" bestFit="1" customWidth="1"/>
  </cols>
  <sheetData>
    <row r="1" spans="1:6" x14ac:dyDescent="0.25">
      <c r="A1" t="s">
        <v>61</v>
      </c>
      <c r="B1">
        <f>IF('Input sheet'!B29&lt;1,0,1)</f>
        <v>0</v>
      </c>
    </row>
    <row r="2" spans="1:6" x14ac:dyDescent="0.25">
      <c r="A2" t="s">
        <v>63</v>
      </c>
      <c r="B2">
        <f>'Input sheet'!B27</f>
        <v>0.75</v>
      </c>
    </row>
    <row r="3" spans="1:6" x14ac:dyDescent="0.25">
      <c r="A3" t="s">
        <v>91</v>
      </c>
      <c r="B3">
        <f>'Input sheet'!B29</f>
        <v>0.58799999999999997</v>
      </c>
    </row>
    <row r="4" spans="1:6" x14ac:dyDescent="0.25">
      <c r="A4" t="s">
        <v>92</v>
      </c>
      <c r="B4">
        <f>'Input sheet'!B33</f>
        <v>0.58799999999999997</v>
      </c>
    </row>
    <row r="5" spans="1:6" x14ac:dyDescent="0.25">
      <c r="A5" t="s">
        <v>101</v>
      </c>
      <c r="B5">
        <f>'Tank design calcluation'!C2/'Shell Design API 650'!B24</f>
        <v>2.5625</v>
      </c>
    </row>
    <row r="6" spans="1:6" x14ac:dyDescent="0.25">
      <c r="A6" t="s">
        <v>81</v>
      </c>
      <c r="B6" t="s">
        <v>76</v>
      </c>
      <c r="C6" t="s">
        <v>77</v>
      </c>
      <c r="D6" t="s">
        <v>78</v>
      </c>
      <c r="E6" t="s">
        <v>79</v>
      </c>
      <c r="F6" t="s">
        <v>83</v>
      </c>
    </row>
    <row r="7" spans="1:6" x14ac:dyDescent="0.25">
      <c r="A7" t="s">
        <v>65</v>
      </c>
      <c r="B7">
        <f>IFERROR(VLOOKUP('Input sheet'!G5,'Shell material types'!$A$2:$E$3,2,),0)</f>
        <v>485</v>
      </c>
      <c r="C7">
        <f>IFERROR(VLOOKUP('Input sheet'!G5,'Shell material types'!$A$2:$E$3,3,),0)</f>
        <v>290</v>
      </c>
      <c r="D7">
        <f>IFERROR(VLOOKUP('Input sheet'!G5,'Shell material types'!$A$2:$E$3,4,),0)</f>
        <v>193</v>
      </c>
      <c r="E7">
        <f>IFERROR(VLOOKUP('Input sheet'!G5,'Shell material types'!$A$2:$E$3,5,),0)</f>
        <v>208</v>
      </c>
      <c r="F7">
        <f>'Input sheet'!H5</f>
        <v>1.5</v>
      </c>
    </row>
    <row r="8" spans="1:6" x14ac:dyDescent="0.25">
      <c r="A8" t="s">
        <v>66</v>
      </c>
      <c r="B8">
        <f>IFERROR(VLOOKUP('Input sheet'!G6,'Shell material types'!$A$2:$E$3,2,),0)</f>
        <v>485</v>
      </c>
      <c r="C8">
        <f>IFERROR(VLOOKUP('Input sheet'!G6,'Shell material types'!$A$2:$E$3,3,),0)</f>
        <v>290</v>
      </c>
      <c r="D8">
        <f>IFERROR(VLOOKUP('Input sheet'!G6,'Shell material types'!$A$2:$E$3,4,),0)</f>
        <v>193</v>
      </c>
      <c r="E8">
        <f>IFERROR(VLOOKUP('Input sheet'!G6,'Shell material types'!$A$2:$E$3,5,),0)</f>
        <v>208</v>
      </c>
      <c r="F8">
        <f>'Input sheet'!H6</f>
        <v>1.5</v>
      </c>
    </row>
    <row r="9" spans="1:6" x14ac:dyDescent="0.25">
      <c r="A9" t="s">
        <v>67</v>
      </c>
      <c r="B9">
        <f>IFERROR(VLOOKUP('Input sheet'!G7,'Shell material types'!$A$2:$E$3,2,),0)</f>
        <v>485</v>
      </c>
      <c r="C9">
        <f>IFERROR(VLOOKUP('Input sheet'!G7,'Shell material types'!$A$2:$E$3,3,),0)</f>
        <v>290</v>
      </c>
      <c r="D9">
        <f>IFERROR(VLOOKUP('Input sheet'!G7,'Shell material types'!$A$2:$E$3,4,),0)</f>
        <v>193</v>
      </c>
      <c r="E9">
        <f>IFERROR(VLOOKUP('Input sheet'!G7,'Shell material types'!$A$2:$E$3,5,),0)</f>
        <v>208</v>
      </c>
      <c r="F9">
        <f>'Input sheet'!H7</f>
        <v>1.5</v>
      </c>
    </row>
    <row r="10" spans="1:6" x14ac:dyDescent="0.25">
      <c r="A10" t="s">
        <v>68</v>
      </c>
      <c r="B10">
        <f>IFERROR(VLOOKUP('Input sheet'!G8,'Shell material types'!$A$2:$E$3,2,),0)</f>
        <v>485</v>
      </c>
      <c r="C10">
        <f>IFERROR(VLOOKUP('Input sheet'!G8,'Shell material types'!$A$2:$E$3,3,),0)</f>
        <v>290</v>
      </c>
      <c r="D10">
        <f>IFERROR(VLOOKUP('Input sheet'!G8,'Shell material types'!$A$2:$E$3,4,),0)</f>
        <v>193</v>
      </c>
      <c r="E10">
        <f>IFERROR(VLOOKUP('Input sheet'!G8,'Shell material types'!$A$2:$E$3,5,),0)</f>
        <v>208</v>
      </c>
      <c r="F10">
        <f>'Input sheet'!H8</f>
        <v>1.5</v>
      </c>
    </row>
    <row r="11" spans="1:6" x14ac:dyDescent="0.25">
      <c r="A11" t="s">
        <v>69</v>
      </c>
      <c r="B11">
        <f>IFERROR(VLOOKUP('Input sheet'!G9,'Shell material types'!$A$2:$E$3,2,),0)</f>
        <v>485</v>
      </c>
      <c r="C11">
        <f>IFERROR(VLOOKUP('Input sheet'!G9,'Shell material types'!$A$2:$E$3,3,),0)</f>
        <v>290</v>
      </c>
      <c r="D11">
        <f>IFERROR(VLOOKUP('Input sheet'!G9,'Shell material types'!$A$2:$E$3,4,),0)</f>
        <v>193</v>
      </c>
      <c r="E11">
        <f>IFERROR(VLOOKUP('Input sheet'!G9,'Shell material types'!$A$2:$E$3,5,),0)</f>
        <v>208</v>
      </c>
      <c r="F11">
        <f>'Input sheet'!H9</f>
        <v>1.5</v>
      </c>
    </row>
    <row r="12" spans="1:6" x14ac:dyDescent="0.25">
      <c r="A12" t="s">
        <v>70</v>
      </c>
      <c r="B12">
        <f>IFERROR(VLOOKUP('Input sheet'!G10,'Shell material types'!$A$2:$E$3,2,),0)</f>
        <v>485</v>
      </c>
      <c r="C12">
        <f>IFERROR(VLOOKUP('Input sheet'!G10,'Shell material types'!$A$2:$E$3,3,),0)</f>
        <v>290</v>
      </c>
      <c r="D12">
        <f>IFERROR(VLOOKUP('Input sheet'!G10,'Shell material types'!$A$2:$E$3,4,),0)</f>
        <v>193</v>
      </c>
      <c r="E12">
        <f>IFERROR(VLOOKUP('Input sheet'!G10,'Shell material types'!$A$2:$E$3,5,),0)</f>
        <v>208</v>
      </c>
      <c r="F12">
        <f>'Input sheet'!H10</f>
        <v>1.5</v>
      </c>
    </row>
    <row r="13" spans="1:6" x14ac:dyDescent="0.25">
      <c r="A13" t="s">
        <v>71</v>
      </c>
      <c r="B13">
        <f>IFERROR(VLOOKUP('Input sheet'!G11,'Shell material types'!$A$2:$E$3,2,),0)</f>
        <v>380</v>
      </c>
      <c r="C13">
        <f>IFERROR(VLOOKUP('Input sheet'!G11,'Shell material types'!$A$2:$E$3,3,),0)</f>
        <v>205</v>
      </c>
      <c r="D13">
        <f>IFERROR(VLOOKUP('Input sheet'!G11,'Shell material types'!$A$2:$E$3,4,),0)</f>
        <v>137</v>
      </c>
      <c r="E13">
        <f>IFERROR(VLOOKUP('Input sheet'!G11,'Shell material types'!$A$2:$E$3,5,),0)</f>
        <v>154</v>
      </c>
      <c r="F13">
        <f>'Input sheet'!H11</f>
        <v>1.5</v>
      </c>
    </row>
    <row r="14" spans="1:6" x14ac:dyDescent="0.25">
      <c r="A14" t="s">
        <v>72</v>
      </c>
      <c r="B14">
        <f>IFERROR(VLOOKUP('Input sheet'!G12,'Shell material types'!$A$2:$E$3,2,),0)</f>
        <v>380</v>
      </c>
      <c r="C14">
        <f>IFERROR(VLOOKUP('Input sheet'!G12,'Shell material types'!$A$2:$E$3,3,),0)</f>
        <v>205</v>
      </c>
      <c r="D14">
        <f>IFERROR(VLOOKUP('Input sheet'!G12,'Shell material types'!$A$2:$E$3,4,),0)</f>
        <v>137</v>
      </c>
      <c r="E14">
        <f>IFERROR(VLOOKUP('Input sheet'!G12,'Shell material types'!$A$2:$E$3,5,),0)</f>
        <v>154</v>
      </c>
      <c r="F14">
        <f>'Input sheet'!H12</f>
        <v>1.5</v>
      </c>
    </row>
    <row r="15" spans="1:6" x14ac:dyDescent="0.25">
      <c r="A15" t="s">
        <v>93</v>
      </c>
      <c r="B15">
        <f>IFERROR(VLOOKUP('Input sheet'!G13,'Shell material types'!$A$2:$E$3,2,),0)</f>
        <v>0</v>
      </c>
      <c r="C15">
        <f>IFERROR(VLOOKUP('Input sheet'!G13,'Shell material types'!$A$2:$E$3,3,),0)</f>
        <v>0</v>
      </c>
      <c r="D15">
        <f>IFERROR(VLOOKUP('Input sheet'!G13,'Shell material types'!$A$2:$E$3,4,),0)</f>
        <v>0</v>
      </c>
      <c r="E15">
        <f>IFERROR(VLOOKUP('Input sheet'!G13,'Shell material types'!$A$2:$E$3,5,),0)</f>
        <v>0</v>
      </c>
      <c r="F15">
        <f>'Input sheet'!H13</f>
        <v>0</v>
      </c>
    </row>
    <row r="16" spans="1:6" x14ac:dyDescent="0.25">
      <c r="A16" t="s">
        <v>94</v>
      </c>
      <c r="B16">
        <f>IFERROR(VLOOKUP('Input sheet'!G14,'Shell material types'!$A$2:$E$3,2,),0)</f>
        <v>0</v>
      </c>
      <c r="C16">
        <f>IFERROR(VLOOKUP('Input sheet'!G14,'Shell material types'!$A$2:$E$3,3,),0)</f>
        <v>0</v>
      </c>
      <c r="D16">
        <f>IFERROR(VLOOKUP('Input sheet'!G14,'Shell material types'!$A$2:$E$3,4,),0)</f>
        <v>0</v>
      </c>
      <c r="E16">
        <f>IFERROR(VLOOKUP('Input sheet'!G14,'Shell material types'!$A$2:$E$3,5,),0)</f>
        <v>0</v>
      </c>
      <c r="F16">
        <f>'Input sheet'!H14</f>
        <v>0</v>
      </c>
    </row>
    <row r="17" spans="1:6" x14ac:dyDescent="0.25">
      <c r="A17" t="s">
        <v>95</v>
      </c>
      <c r="B17">
        <f>IFERROR(VLOOKUP('Input sheet'!G15,'Shell material types'!$A$2:$E$3,2,),0)</f>
        <v>0</v>
      </c>
      <c r="C17">
        <f>IFERROR(VLOOKUP('Input sheet'!G15,'Shell material types'!$A$2:$E$3,3,),0)</f>
        <v>0</v>
      </c>
      <c r="D17">
        <f>IFERROR(VLOOKUP('Input sheet'!G15,'Shell material types'!$A$2:$E$3,4,),0)</f>
        <v>0</v>
      </c>
      <c r="E17">
        <f>IFERROR(VLOOKUP('Input sheet'!G15,'Shell material types'!$A$2:$E$3,5,),0)</f>
        <v>0</v>
      </c>
      <c r="F17">
        <f>'Input sheet'!H15</f>
        <v>0</v>
      </c>
    </row>
    <row r="18" spans="1:6" x14ac:dyDescent="0.25">
      <c r="A18" t="s">
        <v>96</v>
      </c>
      <c r="B18">
        <f>IFERROR(VLOOKUP('Input sheet'!G16,'Shell material types'!$A$2:$E$3,2,),0)</f>
        <v>0</v>
      </c>
      <c r="C18">
        <f>IFERROR(VLOOKUP('Input sheet'!G16,'Shell material types'!$A$2:$E$3,3,),0)</f>
        <v>0</v>
      </c>
      <c r="D18">
        <f>IFERROR(VLOOKUP('Input sheet'!G16,'Shell material types'!$A$2:$E$3,4,),0)</f>
        <v>0</v>
      </c>
      <c r="E18">
        <f>IFERROR(VLOOKUP('Input sheet'!G16,'Shell material types'!$A$2:$E$3,5,),0)</f>
        <v>0</v>
      </c>
      <c r="F18">
        <f>'Input sheet'!H16</f>
        <v>0</v>
      </c>
    </row>
    <row r="19" spans="1:6" x14ac:dyDescent="0.25">
      <c r="A19" t="s">
        <v>97</v>
      </c>
      <c r="B19">
        <f>IFERROR(VLOOKUP('Input sheet'!G17,'Shell material types'!$A$2:$E$3,2,),0)</f>
        <v>0</v>
      </c>
      <c r="C19">
        <f>IFERROR(VLOOKUP('Input sheet'!G17,'Shell material types'!$A$2:$E$3,3,),0)</f>
        <v>0</v>
      </c>
      <c r="D19">
        <f>IFERROR(VLOOKUP('Input sheet'!G17,'Shell material types'!$A$2:$E$3,4,),0)</f>
        <v>0</v>
      </c>
      <c r="E19">
        <f>IFERROR(VLOOKUP('Input sheet'!G17,'Shell material types'!$A$2:$E$3,5,),0)</f>
        <v>0</v>
      </c>
      <c r="F19">
        <f>'Input sheet'!H17</f>
        <v>0</v>
      </c>
    </row>
    <row r="20" spans="1:6" x14ac:dyDescent="0.25">
      <c r="A20" t="s">
        <v>98</v>
      </c>
      <c r="B20">
        <f>IFERROR(VLOOKUP('Input sheet'!G18,'Shell material types'!$A$2:$E$3,2,),0)</f>
        <v>0</v>
      </c>
      <c r="C20">
        <f>IFERROR(VLOOKUP('Input sheet'!G18,'Shell material types'!$A$2:$E$3,3,),0)</f>
        <v>0</v>
      </c>
      <c r="D20">
        <f>IFERROR(VLOOKUP('Input sheet'!G18,'Shell material types'!$A$2:$E$3,4,),0)</f>
        <v>0</v>
      </c>
      <c r="E20">
        <f>IFERROR(VLOOKUP('Input sheet'!G18,'Shell material types'!$A$2:$E$3,5,),0)</f>
        <v>0</v>
      </c>
      <c r="F20">
        <f>'Input sheet'!H18</f>
        <v>0</v>
      </c>
    </row>
    <row r="21" spans="1:6" x14ac:dyDescent="0.25">
      <c r="A21" t="s">
        <v>99</v>
      </c>
      <c r="B21">
        <f>IFERROR(VLOOKUP('Input sheet'!G19,'Shell material types'!$A$2:$E$3,2,),0)</f>
        <v>0</v>
      </c>
      <c r="C21">
        <f>IFERROR(VLOOKUP('Input sheet'!G19,'Shell material types'!$A$2:$E$3,3,),0)</f>
        <v>0</v>
      </c>
      <c r="D21">
        <f>IFERROR(VLOOKUP('Input sheet'!G19,'Shell material types'!$A$2:$E$3,4,),0)</f>
        <v>0</v>
      </c>
      <c r="E21">
        <f>IFERROR(VLOOKUP('Input sheet'!G19,'Shell material types'!$A$2:$E$3,5,),0)</f>
        <v>0</v>
      </c>
      <c r="F21">
        <f>'Input sheet'!H19</f>
        <v>0</v>
      </c>
    </row>
    <row r="22" spans="1:6" x14ac:dyDescent="0.25">
      <c r="A22" t="s">
        <v>100</v>
      </c>
      <c r="B22">
        <f>IFERROR(VLOOKUP('Input sheet'!G20,'Shell material types'!$A$2:$E$3,2,),0)</f>
        <v>0</v>
      </c>
      <c r="C22">
        <f>IFERROR(VLOOKUP('Input sheet'!G20,'Shell material types'!$A$2:$E$3,3,),0)</f>
        <v>0</v>
      </c>
      <c r="D22">
        <f>IFERROR(VLOOKUP('Input sheet'!G20,'Shell material types'!$A$2:$E$3,4,),0)</f>
        <v>0</v>
      </c>
      <c r="E22">
        <f>IFERROR(VLOOKUP('Input sheet'!G20,'Shell material types'!$A$2:$E$3,5,),0)</f>
        <v>0</v>
      </c>
      <c r="F22">
        <f>'Input sheet'!H20</f>
        <v>0</v>
      </c>
    </row>
    <row r="24" spans="1:6" x14ac:dyDescent="0.25">
      <c r="B24">
        <f>COUNTIF(B7:B21,"&gt;0")</f>
        <v>8</v>
      </c>
    </row>
    <row r="29" spans="1:6" x14ac:dyDescent="0.25">
      <c r="A29" t="s">
        <v>84</v>
      </c>
    </row>
    <row r="30" spans="1:6" x14ac:dyDescent="0.25">
      <c r="A30" t="s">
        <v>62</v>
      </c>
      <c r="B30">
        <f>4.9*'Tank design calcluation'!C1*(('Tank design calcluation'!C3-0.3)*B2+B3/9.8*'Shell Design API 650'!B1)/D7+F7</f>
        <v>17.73759715025907</v>
      </c>
    </row>
    <row r="31" spans="1:6" x14ac:dyDescent="0.25">
      <c r="A31" t="s">
        <v>85</v>
      </c>
      <c r="B31" s="6">
        <f>4.9*'Tank design calcluation'!C1*(('Tank design calcluation'!C3-0.3)*B2+B4/9.8*'Shell Design API 650'!B1)/E7</f>
        <v>15.066616586538462</v>
      </c>
      <c r="C31" s="5">
        <f>4.9*'Tank design calcluation'!C1*(('Tank design calcluation'!C3-0.3)+B4/9.8*'Shell Design API 650'!B1)/E7</f>
        <v>20.088822115384616</v>
      </c>
      <c r="E31" s="5" t="s">
        <v>155</v>
      </c>
    </row>
    <row r="32" spans="1:6" x14ac:dyDescent="0.25">
      <c r="B32">
        <f>MAX(B30:B31)</f>
        <v>17.73759715025907</v>
      </c>
      <c r="C32" s="7">
        <f>MAX(B30:C31)</f>
        <v>20.088822115384616</v>
      </c>
    </row>
    <row r="33" spans="1:17" x14ac:dyDescent="0.25">
      <c r="A33" t="s">
        <v>87</v>
      </c>
    </row>
    <row r="34" spans="1:17" x14ac:dyDescent="0.25">
      <c r="A34" t="s">
        <v>88</v>
      </c>
      <c r="B34">
        <f>(C34-D34*E34)*F34+G34</f>
        <v>18.25032669933687</v>
      </c>
      <c r="C34">
        <v>1.06</v>
      </c>
      <c r="D34">
        <f>0.0696*'Tank design calcluation'!C1/('Tank design calcluation'!C3+B3/9.8/'Shell Design API 650'!B2*'Shell Design API 650'!B1)</f>
        <v>0.16270129870129868</v>
      </c>
      <c r="E34">
        <f>(('Tank design calcluation'!C3+B3/9.8/'Shell Design API 650'!B2*'Shell Design API 650'!B1)*B2/D7)^0.5</f>
        <v>0.27350630610986887</v>
      </c>
      <c r="F34">
        <f>4.9/'Shell Design API 650'!D7*'Tank design calcluation'!C1*'Shell Design API 650'!B2*('Tank design calcluation'!C3+B3/9.8/'Shell Design API 650'!B2*'Shell Design API 650'!B1)</f>
        <v>16.494656735751295</v>
      </c>
      <c r="G34">
        <f>F7</f>
        <v>1.5</v>
      </c>
      <c r="J34">
        <v>1.06</v>
      </c>
      <c r="K34">
        <f>'Tank design calcluation'!C1*0.0696</f>
        <v>3.1319999999999997</v>
      </c>
      <c r="L34">
        <f>'Tank design calcluation'!C3</f>
        <v>19.25</v>
      </c>
      <c r="M34">
        <f>('Tank design calcluation'!C3*'Shell Design API 650'!B2/'Shell Design API 650'!D7)^0.5</f>
        <v>0.27350630610986887</v>
      </c>
      <c r="N34">
        <f>4.9/'Shell Design API 650'!D7*'Tank design calcluation'!C1*'Shell Design API 650'!B2*'Tank design calcluation'!C3</f>
        <v>16.494656735751295</v>
      </c>
      <c r="O34">
        <f>1.5</f>
        <v>1.5</v>
      </c>
      <c r="Q34">
        <f>(J34-K34/L34*M34)*N34+1.5</f>
        <v>18.25032669933687</v>
      </c>
    </row>
    <row r="35" spans="1:17" x14ac:dyDescent="0.25">
      <c r="A35" t="s">
        <v>89</v>
      </c>
      <c r="B35">
        <f>(C35-D35*E35)*F35+G35</f>
        <v>20.621193788419223</v>
      </c>
      <c r="C35">
        <v>1.06</v>
      </c>
      <c r="D35">
        <f>0.0696*'Tank design calcluation'!C1/('Tank design calcluation'!C4+B4/9.8*'Shell Design API 650'!B1)</f>
        <v>0.16270129870129868</v>
      </c>
      <c r="E35">
        <f>(('Tank design calcluation'!C4+B4/9.8*'Shell Design API 650'!B1)/E7)^0.5</f>
        <v>0.304217154222238</v>
      </c>
      <c r="F35">
        <f>4.9/'Shell Design API 650'!E7*'Tank design calcluation'!C1*('Tank design calcluation'!C4+B4/9.8*'Shell Design API 650'!B1)</f>
        <v>20.406850961538463</v>
      </c>
      <c r="G35">
        <v>0</v>
      </c>
    </row>
    <row r="36" spans="1:17" x14ac:dyDescent="0.25">
      <c r="B36">
        <f>MAX(B34:B35)</f>
        <v>20.621193788419223</v>
      </c>
    </row>
    <row r="37" spans="1:17" x14ac:dyDescent="0.25">
      <c r="A37" t="s">
        <v>116</v>
      </c>
      <c r="B37" s="4">
        <v>21</v>
      </c>
    </row>
    <row r="39" spans="1:17" x14ac:dyDescent="0.25">
      <c r="A39" t="s">
        <v>66</v>
      </c>
    </row>
    <row r="40" spans="1:17" x14ac:dyDescent="0.25">
      <c r="A40" t="s">
        <v>102</v>
      </c>
      <c r="B40" s="3">
        <f>B5*1000/('Tank design calcluation'!C1/2*1000*B35)^0.5</f>
        <v>3.7619733375673987</v>
      </c>
    </row>
    <row r="41" spans="1:17" x14ac:dyDescent="0.25">
      <c r="A41">
        <f>IF(B40&lt;1.375,B35,0)</f>
        <v>0</v>
      </c>
    </row>
    <row r="42" spans="1:17" x14ac:dyDescent="0.25">
      <c r="A42">
        <f>IF(B40&gt;2.625,B49,0)</f>
        <v>14.973858173076925</v>
      </c>
    </row>
    <row r="43" spans="1:17" x14ac:dyDescent="0.25">
      <c r="A43">
        <f>IF(AND(B40&gt;1.375,B40&lt;2.625),B48,0)</f>
        <v>0</v>
      </c>
      <c r="B43">
        <f>B42+(B35-B70)*(2.1-B5/1.25/('Tank design calcluation'!C1/2*'Shell Design API 650'!B35)^0.5)</f>
        <v>41.341962497349336</v>
      </c>
    </row>
    <row r="44" spans="1:17" x14ac:dyDescent="0.25">
      <c r="A44" s="4">
        <f>SUM(A41+A42+A43)</f>
        <v>14.973858173076925</v>
      </c>
    </row>
    <row r="46" spans="1:17" x14ac:dyDescent="0.25">
      <c r="A46" t="s">
        <v>103</v>
      </c>
    </row>
    <row r="47" spans="1:17" x14ac:dyDescent="0.25">
      <c r="A47" t="s">
        <v>104</v>
      </c>
      <c r="B47">
        <f>4.9/D9*'Tank design calcluation'!C1*('Tank design calcluation'!C3-2*B5)*'Shell Design API 650'!B2+'Shell Design API 650'!F9</f>
        <v>13.603222150259068</v>
      </c>
      <c r="C47" s="5">
        <f>4.9*45*('Tank design calcluation'!C3-2560/1000)*'Shell Design API 650'!B2/'Shell Design API 650'!D8+F8</f>
        <v>15.80108160621762</v>
      </c>
    </row>
    <row r="48" spans="1:17" x14ac:dyDescent="0.25">
      <c r="A48" t="s">
        <v>105</v>
      </c>
      <c r="B48">
        <f>4.9/E9*'Tank design calcluation'!C1*('Tank design calcluation'!C4-2*B5)</f>
        <v>14.973858173076925</v>
      </c>
      <c r="C48" s="5">
        <f>4.9*45*('Tank design calcluation'!C3-(2560/1000))/'Shell Design API 650'!E8</f>
        <v>17.693004807692311</v>
      </c>
    </row>
    <row r="49" spans="1:3" x14ac:dyDescent="0.25">
      <c r="B49">
        <f>MAX(B47:B48)</f>
        <v>14.973858173076925</v>
      </c>
      <c r="C49" s="5">
        <f>MAX(C47:C48)</f>
        <v>17.693004807692311</v>
      </c>
    </row>
    <row r="50" spans="1:3" x14ac:dyDescent="0.25">
      <c r="C50" s="5"/>
    </row>
    <row r="51" spans="1:3" x14ac:dyDescent="0.25">
      <c r="A51" t="s">
        <v>103</v>
      </c>
      <c r="C51" s="5"/>
    </row>
    <row r="52" spans="1:3" x14ac:dyDescent="0.25">
      <c r="A52" t="s">
        <v>104</v>
      </c>
      <c r="B52">
        <f>4.9/D9*'Tank design calcluation'!C1*('Tank design calcluation'!C3-3*B5)*'Shell Design API 650'!B2+'Shell Design API 650'!F9</f>
        <v>11.407504857512954</v>
      </c>
      <c r="C52" s="5">
        <f>4.9/D9*'Tank design calcluation'!C1*('Tank design calcluation'!C3-2*B5)*'Shell Design API 650'!B2+'Shell Design API 650'!F9</f>
        <v>13.603222150259068</v>
      </c>
    </row>
    <row r="53" spans="1:3" x14ac:dyDescent="0.25">
      <c r="A53" t="s">
        <v>105</v>
      </c>
      <c r="B53">
        <f>4.9/E9*'Tank design calcluation'!C1*('Tank design calcluation'!C4-3*B5)</f>
        <v>12.257361778846155</v>
      </c>
      <c r="C53" s="5">
        <f>4.9/E9*'Tank design calcluation'!C1*('Tank design calcluation'!C4-2*B5)</f>
        <v>14.973858173076925</v>
      </c>
    </row>
    <row r="54" spans="1:3" x14ac:dyDescent="0.25">
      <c r="B54">
        <f>MAX(B52:B53)</f>
        <v>12.257361778846155</v>
      </c>
      <c r="C54" s="5">
        <f>MAX(C52:C53)</f>
        <v>14.973858173076925</v>
      </c>
    </row>
    <row r="56" spans="1:3" x14ac:dyDescent="0.25">
      <c r="A56" t="s">
        <v>103</v>
      </c>
    </row>
    <row r="57" spans="1:3" x14ac:dyDescent="0.25">
      <c r="A57" t="s">
        <v>104</v>
      </c>
      <c r="B57">
        <f>4.9/D9*'Tank design calcluation'!C1*('Tank design calcluation'!C3-4*B5)*'Shell Design API 650'!B2+'Shell Design API 650'!F9</f>
        <v>9.2117875647668406</v>
      </c>
      <c r="C57" s="5">
        <f>4.9/D10*'Tank design calcluation'!C1*('Tank design calcluation'!C3-3*B5)*'Shell Design API 650'!B2+'Shell Design API 650'!F10</f>
        <v>11.407504857512954</v>
      </c>
    </row>
    <row r="58" spans="1:3" x14ac:dyDescent="0.25">
      <c r="A58" t="s">
        <v>105</v>
      </c>
      <c r="B58">
        <f>4.9/E9*'Tank design calcluation'!C1*('Tank design calcluation'!C4-4*B5)</f>
        <v>9.540865384615385</v>
      </c>
      <c r="C58" s="5">
        <f>4.9/E10*'Tank design calcluation'!C1*('Tank design calcluation'!C4-3*B5)</f>
        <v>12.257361778846155</v>
      </c>
    </row>
    <row r="59" spans="1:3" x14ac:dyDescent="0.25">
      <c r="B59">
        <f>MAX(B57:B58)</f>
        <v>9.540865384615385</v>
      </c>
      <c r="C59" s="5">
        <f>MAX(C57:C58)</f>
        <v>12.257361778846155</v>
      </c>
    </row>
    <row r="61" spans="1:3" x14ac:dyDescent="0.25">
      <c r="A61" t="s">
        <v>103</v>
      </c>
    </row>
    <row r="62" spans="1:3" x14ac:dyDescent="0.25">
      <c r="A62" t="s">
        <v>104</v>
      </c>
      <c r="B62">
        <f>4.9/D9*'Tank design calcluation'!C1*('Tank design calcluation'!C3-5*B5)*'Shell Design API 650'!B2+'Shell Design API 650'!F9</f>
        <v>7.016070272020726</v>
      </c>
      <c r="C62" s="5">
        <f>4.9/D11*'Tank design calcluation'!C1*('Tank design calcluation'!C3-4*B5)*'Shell Design API 650'!B2+'Shell Design API 650'!F11</f>
        <v>9.2117875647668406</v>
      </c>
    </row>
    <row r="63" spans="1:3" x14ac:dyDescent="0.25">
      <c r="A63" t="s">
        <v>105</v>
      </c>
      <c r="B63">
        <f>4.9/E9*'Tank design calcluation'!C1*('Tank design calcluation'!C4-5*B5)</f>
        <v>6.8243689903846159</v>
      </c>
      <c r="C63" s="5">
        <f>4.9/E11*'Tank design calcluation'!C1*('Tank design calcluation'!C4-4*B5)</f>
        <v>9.540865384615385</v>
      </c>
    </row>
    <row r="64" spans="1:3" x14ac:dyDescent="0.25">
      <c r="B64">
        <f>MAX(B62:B63,'Input sheet'!B54)</f>
        <v>8</v>
      </c>
      <c r="C64" s="5">
        <f>MAX(C62:C63,'Input sheet'!C54)</f>
        <v>9.540865384615385</v>
      </c>
    </row>
    <row r="66" spans="1:3" x14ac:dyDescent="0.25">
      <c r="A66" t="s">
        <v>103</v>
      </c>
    </row>
    <row r="67" spans="1:3" x14ac:dyDescent="0.25">
      <c r="A67" t="s">
        <v>104</v>
      </c>
      <c r="B67" s="5">
        <f>4.9/D12*'Tank design calcluation'!C1*('Tank design calcluation'!C3-5*B5)*'Shell Design API 650'!B2+'Shell Design API 650'!F12</f>
        <v>7.016070272020726</v>
      </c>
      <c r="C67" s="5"/>
    </row>
    <row r="68" spans="1:3" x14ac:dyDescent="0.25">
      <c r="A68" t="s">
        <v>105</v>
      </c>
      <c r="B68" s="5">
        <f>4.9/E12*'Tank design calcluation'!C1*('Tank design calcluation'!C4-5*B5)</f>
        <v>6.8243689903846159</v>
      </c>
      <c r="C68" s="5"/>
    </row>
    <row r="69" spans="1:3" x14ac:dyDescent="0.25">
      <c r="B69" s="5">
        <f>MAX(B67:B68,'Input sheet'!B59)</f>
        <v>7.016070272020726</v>
      </c>
      <c r="C69" s="5"/>
    </row>
    <row r="71" spans="1:3" x14ac:dyDescent="0.25">
      <c r="A71" t="s">
        <v>103</v>
      </c>
    </row>
    <row r="72" spans="1:3" x14ac:dyDescent="0.25">
      <c r="A72" t="s">
        <v>104</v>
      </c>
    </row>
    <row r="73" spans="1:3" x14ac:dyDescent="0.25">
      <c r="A73" t="s">
        <v>105</v>
      </c>
      <c r="B73" s="5">
        <f>4.9/D13*'Tank design calcluation'!C1*('Tank design calcluation'!C3-6*B5)*'Shell Design API 650'!B2+'Shell Design API 650'!F13</f>
        <v>6.1775775547445262</v>
      </c>
    </row>
    <row r="74" spans="1:3" x14ac:dyDescent="0.25">
      <c r="B74" s="5">
        <f>4.9/E13*'Tank design calcluation'!C1*('Tank design calcluation'!C4-6*B5)</f>
        <v>5.548295454545455</v>
      </c>
    </row>
    <row r="75" spans="1:3" x14ac:dyDescent="0.25">
      <c r="B75" s="5">
        <f>MAX(B73:B74,'Input sheet'!B64)</f>
        <v>6.1775775547445262</v>
      </c>
    </row>
    <row r="77" spans="1:3" x14ac:dyDescent="0.25">
      <c r="A77" t="s">
        <v>103</v>
      </c>
    </row>
    <row r="78" spans="1:3" x14ac:dyDescent="0.25">
      <c r="A78" t="s">
        <v>104</v>
      </c>
      <c r="B78" s="5">
        <f>4.9/D14*'Tank design calcluation'!C1*('Tank design calcluation'!C3-7*B5)*'Shell Design API 650'!B2+'Shell Design API 650'!F14</f>
        <v>3.0843407846715332</v>
      </c>
    </row>
    <row r="79" spans="1:3" x14ac:dyDescent="0.25">
      <c r="A79" t="s">
        <v>105</v>
      </c>
      <c r="B79" s="5">
        <f>4.9/E14*'Tank design calcluation'!C1*('Tank design calcluation'!C4-7*B5)</f>
        <v>1.8792613636363638</v>
      </c>
    </row>
    <row r="80" spans="1:3" x14ac:dyDescent="0.25">
      <c r="B80" s="5">
        <f>MAX(B78:B79,'Input sheet'!B69)</f>
        <v>3.0843407846715332</v>
      </c>
    </row>
    <row r="81" spans="2:2" x14ac:dyDescent="0.25">
      <c r="B8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7" zoomScaleNormal="100" workbookViewId="0">
      <selection activeCell="B22" sqref="B22"/>
    </sheetView>
  </sheetViews>
  <sheetFormatPr defaultRowHeight="15" x14ac:dyDescent="0.25"/>
  <cols>
    <col min="1" max="1" width="42.28515625" bestFit="1" customWidth="1"/>
  </cols>
  <sheetData>
    <row r="1" spans="1:3" x14ac:dyDescent="0.25">
      <c r="A1" t="s">
        <v>106</v>
      </c>
      <c r="B1">
        <v>6</v>
      </c>
    </row>
    <row r="2" spans="1:3" x14ac:dyDescent="0.25">
      <c r="A2" t="s">
        <v>83</v>
      </c>
      <c r="B2">
        <f>'Input sheet'!B21</f>
        <v>1.5</v>
      </c>
      <c r="C2">
        <f>B1+B2</f>
        <v>7.5</v>
      </c>
    </row>
    <row r="4" spans="1:3" x14ac:dyDescent="0.25">
      <c r="A4" t="s">
        <v>107</v>
      </c>
      <c r="B4">
        <f>'Input sheet'!B54</f>
        <v>8</v>
      </c>
      <c r="C4">
        <f>B4</f>
        <v>8</v>
      </c>
    </row>
    <row r="6" spans="1:3" x14ac:dyDescent="0.25">
      <c r="A6" t="s">
        <v>109</v>
      </c>
      <c r="B6">
        <f>MAX(C2,C4)</f>
        <v>8</v>
      </c>
    </row>
    <row r="8" spans="1:3" x14ac:dyDescent="0.25">
      <c r="A8" t="s">
        <v>110</v>
      </c>
    </row>
    <row r="9" spans="1:3" x14ac:dyDescent="0.25">
      <c r="A9" t="s">
        <v>113</v>
      </c>
      <c r="B9">
        <f>'Shell Design API 650'!B37</f>
        <v>21</v>
      </c>
    </row>
    <row r="10" spans="1:3" x14ac:dyDescent="0.25">
      <c r="A10" t="s">
        <v>114</v>
      </c>
      <c r="B10">
        <f>'Shell Design API 650'!B30</f>
        <v>17.73759715025907</v>
      </c>
    </row>
    <row r="11" spans="1:3" x14ac:dyDescent="0.25">
      <c r="A11" t="s">
        <v>115</v>
      </c>
      <c r="B11">
        <f>'Shell Design API 650'!B35</f>
        <v>20.621193788419223</v>
      </c>
    </row>
    <row r="12" spans="1:3" x14ac:dyDescent="0.25">
      <c r="A12" t="s">
        <v>111</v>
      </c>
    </row>
    <row r="13" spans="1:3" x14ac:dyDescent="0.25">
      <c r="A13" s="1" t="s">
        <v>112</v>
      </c>
      <c r="B13">
        <f>(B10-B2)/(B9-B2)*'Shell Design API 650'!D7</f>
        <v>160.71057692307696</v>
      </c>
    </row>
    <row r="14" spans="1:3" x14ac:dyDescent="0.25">
      <c r="A14" s="1" t="s">
        <v>117</v>
      </c>
      <c r="B14">
        <f>B11/B9*'Shell Design API 650'!E7</f>
        <v>204.24801466624754</v>
      </c>
    </row>
    <row r="16" spans="1:3" x14ac:dyDescent="0.25">
      <c r="A16" t="s">
        <v>118</v>
      </c>
      <c r="B16">
        <f>MAX(B13,B14)</f>
        <v>204.24801466624754</v>
      </c>
    </row>
    <row r="17" spans="1:5" x14ac:dyDescent="0.25">
      <c r="A17" t="s">
        <v>119</v>
      </c>
      <c r="B17">
        <v>7</v>
      </c>
    </row>
    <row r="18" spans="1:5" x14ac:dyDescent="0.25">
      <c r="A18" t="s">
        <v>119</v>
      </c>
      <c r="B18">
        <f>B17+B2</f>
        <v>8.5</v>
      </c>
    </row>
    <row r="19" spans="1:5" x14ac:dyDescent="0.25">
      <c r="A19" t="s">
        <v>120</v>
      </c>
      <c r="B19">
        <f>'Input sheet'!B55</f>
        <v>10</v>
      </c>
    </row>
    <row r="21" spans="1:5" x14ac:dyDescent="0.25">
      <c r="A21" t="s">
        <v>122</v>
      </c>
      <c r="B21">
        <f>2*B19*('Shell Design API 650'!C7/2/'Shell Design API 650'!B2/'Tank design calcluation'!C5/1)^0.5</f>
        <v>63.797926601077648</v>
      </c>
    </row>
    <row r="22" spans="1:5" x14ac:dyDescent="0.25">
      <c r="B22" s="5">
        <f>(0.01723*B19*('Shell Design API 650'!C7/('Tank design calcluation'!C5*'Shell Design API 650'!B2))^0.5)*1000</f>
        <v>777.2788386302924</v>
      </c>
      <c r="C22" s="5" t="s">
        <v>156</v>
      </c>
      <c r="D22" s="5"/>
      <c r="E22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6" sqref="D26"/>
    </sheetView>
  </sheetViews>
  <sheetFormatPr defaultRowHeight="15" x14ac:dyDescent="0.25"/>
  <sheetData>
    <row r="1" spans="1:11" x14ac:dyDescent="0.25">
      <c r="A1" t="s">
        <v>144</v>
      </c>
      <c r="B1">
        <f>(B2^2*B3/17)*(B4/190)^2</f>
        <v>1136.1424018249957</v>
      </c>
      <c r="C1" t="s">
        <v>126</v>
      </c>
    </row>
    <row r="2" spans="1:11" x14ac:dyDescent="0.25">
      <c r="A2" t="s">
        <v>123</v>
      </c>
      <c r="B2">
        <f>'Tank design calcluation'!C1</f>
        <v>45</v>
      </c>
    </row>
    <row r="3" spans="1:11" x14ac:dyDescent="0.25">
      <c r="A3" t="s">
        <v>124</v>
      </c>
      <c r="B3">
        <f>'Input sheet'!B13</f>
        <v>20.5</v>
      </c>
    </row>
    <row r="4" spans="1:11" x14ac:dyDescent="0.25">
      <c r="A4" t="s">
        <v>125</v>
      </c>
      <c r="B4">
        <f>'Input sheet'!B44*3.6</f>
        <v>129.6</v>
      </c>
    </row>
    <row r="5" spans="1:11" x14ac:dyDescent="0.25">
      <c r="A5" t="s">
        <v>142</v>
      </c>
      <c r="B5">
        <f>H14/F14</f>
        <v>30.364138817480715</v>
      </c>
      <c r="C5" t="s">
        <v>139</v>
      </c>
    </row>
    <row r="6" spans="1:11" x14ac:dyDescent="0.25">
      <c r="A6" t="s">
        <v>140</v>
      </c>
      <c r="B6">
        <v>28.49</v>
      </c>
    </row>
    <row r="7" spans="1:11" x14ac:dyDescent="0.25">
      <c r="A7" t="s">
        <v>143</v>
      </c>
      <c r="B7">
        <f>I14+J14-K14</f>
        <v>37489.058947300786</v>
      </c>
      <c r="G7" t="s">
        <v>127</v>
      </c>
    </row>
    <row r="8" spans="1:11" x14ac:dyDescent="0.25">
      <c r="A8" t="s">
        <v>141</v>
      </c>
      <c r="B8">
        <f>B7/MAX(B5,B6)</f>
        <v>1234.6491752210748</v>
      </c>
    </row>
    <row r="9" spans="1:11" x14ac:dyDescent="0.25">
      <c r="B9" t="str">
        <f>IF(B1&lt;B8,"OK","Check")</f>
        <v>OK</v>
      </c>
      <c r="F9" t="s">
        <v>132</v>
      </c>
      <c r="G9" t="s">
        <v>133</v>
      </c>
      <c r="H9" t="s">
        <v>134</v>
      </c>
      <c r="I9" t="s">
        <v>135</v>
      </c>
      <c r="J9" t="s">
        <v>136</v>
      </c>
      <c r="K9" t="s">
        <v>137</v>
      </c>
    </row>
    <row r="10" spans="1:11" x14ac:dyDescent="0.25">
      <c r="E10" t="s">
        <v>128</v>
      </c>
      <c r="F10">
        <v>45.9</v>
      </c>
      <c r="G10">
        <v>29.4</v>
      </c>
      <c r="H10">
        <f>F10*G10</f>
        <v>1349.4599999999998</v>
      </c>
      <c r="I10">
        <f>F10*G10^2</f>
        <v>39674.123999999996</v>
      </c>
      <c r="J10">
        <v>12607.9</v>
      </c>
      <c r="K10">
        <f>F10*$B$5^2</f>
        <v>42318.924509240278</v>
      </c>
    </row>
    <row r="11" spans="1:11" x14ac:dyDescent="0.25">
      <c r="E11" t="s">
        <v>129</v>
      </c>
      <c r="F11">
        <v>7.5</v>
      </c>
      <c r="G11">
        <v>58.5</v>
      </c>
      <c r="H11">
        <f t="shared" ref="H11:H13" si="0">F11*G11</f>
        <v>438.75</v>
      </c>
      <c r="I11">
        <f t="shared" ref="I11:I13" si="1">F11*G11^2</f>
        <v>25666.875</v>
      </c>
      <c r="J11">
        <v>0.3</v>
      </c>
      <c r="K11">
        <f t="shared" ref="K11:K13" si="2">F11*$B$5^2</f>
        <v>6914.8569459542941</v>
      </c>
    </row>
    <row r="12" spans="1:11" x14ac:dyDescent="0.25">
      <c r="E12" t="s">
        <v>130</v>
      </c>
      <c r="F12">
        <v>10.4</v>
      </c>
      <c r="G12">
        <v>54.8</v>
      </c>
      <c r="H12">
        <f t="shared" si="0"/>
        <v>569.91999999999996</v>
      </c>
      <c r="I12">
        <f t="shared" si="1"/>
        <v>31231.615999999995</v>
      </c>
      <c r="J12">
        <v>36.6</v>
      </c>
      <c r="K12">
        <f t="shared" si="2"/>
        <v>9588.6016317232879</v>
      </c>
    </row>
    <row r="13" spans="1:11" x14ac:dyDescent="0.25">
      <c r="E13" t="s">
        <v>131</v>
      </c>
      <c r="F13">
        <v>14</v>
      </c>
      <c r="G13">
        <v>0.3</v>
      </c>
      <c r="H13">
        <f t="shared" si="0"/>
        <v>4.2</v>
      </c>
      <c r="I13">
        <f t="shared" si="1"/>
        <v>1.26</v>
      </c>
      <c r="J13">
        <v>0.5</v>
      </c>
      <c r="K13">
        <f t="shared" si="2"/>
        <v>12907.732965781348</v>
      </c>
    </row>
    <row r="14" spans="1:11" x14ac:dyDescent="0.25">
      <c r="E14" t="s">
        <v>138</v>
      </c>
      <c r="F14">
        <f>SUM(F10:F13)</f>
        <v>77.8</v>
      </c>
      <c r="G14">
        <f t="shared" ref="G14:K14" si="3">SUM(G10:G13)</f>
        <v>143</v>
      </c>
      <c r="H14">
        <f t="shared" si="3"/>
        <v>2362.3299999999995</v>
      </c>
      <c r="I14">
        <f t="shared" si="3"/>
        <v>96573.874999999985</v>
      </c>
      <c r="J14">
        <f t="shared" si="3"/>
        <v>12645.3</v>
      </c>
      <c r="K14">
        <f t="shared" si="3"/>
        <v>71730.116052699203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D31" sqref="D31"/>
    </sheetView>
  </sheetViews>
  <sheetFormatPr defaultRowHeight="15" x14ac:dyDescent="0.25"/>
  <sheetData>
    <row r="1" spans="1:8" x14ac:dyDescent="0.25">
      <c r="A1" t="s">
        <v>145</v>
      </c>
      <c r="B1">
        <f>'Tank design calcluation'!C1</f>
        <v>45</v>
      </c>
    </row>
    <row r="2" spans="1:8" x14ac:dyDescent="0.25">
      <c r="A2" t="s">
        <v>146</v>
      </c>
      <c r="B2">
        <f>'Shell Design API 650'!B64</f>
        <v>8</v>
      </c>
    </row>
    <row r="3" spans="1:8" x14ac:dyDescent="0.25">
      <c r="A3" t="s">
        <v>125</v>
      </c>
      <c r="B3">
        <f>'Input sheet'!B44</f>
        <v>36</v>
      </c>
      <c r="C3">
        <f>B3*3.6</f>
        <v>129.6</v>
      </c>
    </row>
    <row r="4" spans="1:8" x14ac:dyDescent="0.25">
      <c r="A4" t="s">
        <v>147</v>
      </c>
      <c r="B4">
        <f>'Input sheet'!B36</f>
        <v>0.245</v>
      </c>
    </row>
    <row r="6" spans="1:8" x14ac:dyDescent="0.25">
      <c r="D6" t="s">
        <v>81</v>
      </c>
      <c r="E6" t="s">
        <v>148</v>
      </c>
      <c r="F6" t="s">
        <v>149</v>
      </c>
      <c r="G6" t="s">
        <v>150</v>
      </c>
      <c r="H6" t="s">
        <v>151</v>
      </c>
    </row>
    <row r="7" spans="1:8" x14ac:dyDescent="0.25">
      <c r="D7">
        <v>1</v>
      </c>
      <c r="E7">
        <f>'Shell Design API 650'!B5</f>
        <v>2.5625</v>
      </c>
      <c r="F7">
        <f>'Shell Design API 650'!B37</f>
        <v>21</v>
      </c>
      <c r="G7">
        <f>'Bottom plate'!B6</f>
        <v>8</v>
      </c>
      <c r="H7">
        <f>E7*((G7/F7)^5)^0.5*1000</f>
        <v>229.53060674633167</v>
      </c>
    </row>
    <row r="8" spans="1:8" x14ac:dyDescent="0.25">
      <c r="D8">
        <v>2</v>
      </c>
      <c r="E8">
        <f>E7</f>
        <v>2.5625</v>
      </c>
      <c r="F8">
        <v>18</v>
      </c>
      <c r="G8">
        <f>G7</f>
        <v>8</v>
      </c>
      <c r="H8">
        <f t="shared" ref="H8:H14" si="0">E8*((G8/F8)^5)^0.5*1000</f>
        <v>337.44855967078183</v>
      </c>
    </row>
    <row r="9" spans="1:8" x14ac:dyDescent="0.25">
      <c r="D9">
        <v>3</v>
      </c>
      <c r="E9">
        <f t="shared" ref="E9:E14" si="1">E8</f>
        <v>2.5625</v>
      </c>
      <c r="F9">
        <v>15</v>
      </c>
      <c r="G9">
        <f t="shared" ref="G9:G14" si="2">G8</f>
        <v>8</v>
      </c>
      <c r="H9">
        <f t="shared" si="0"/>
        <v>532.30518181242815</v>
      </c>
    </row>
    <row r="10" spans="1:8" x14ac:dyDescent="0.25">
      <c r="D10">
        <v>4</v>
      </c>
      <c r="E10">
        <f t="shared" si="1"/>
        <v>2.5625</v>
      </c>
      <c r="F10">
        <v>13</v>
      </c>
      <c r="G10">
        <f t="shared" si="2"/>
        <v>8</v>
      </c>
      <c r="H10">
        <f t="shared" si="0"/>
        <v>761.25553047721155</v>
      </c>
    </row>
    <row r="11" spans="1:8" x14ac:dyDescent="0.25">
      <c r="D11">
        <v>5</v>
      </c>
      <c r="E11">
        <f t="shared" si="1"/>
        <v>2.5625</v>
      </c>
      <c r="F11">
        <v>10</v>
      </c>
      <c r="G11">
        <f t="shared" si="2"/>
        <v>8</v>
      </c>
      <c r="H11">
        <f t="shared" si="0"/>
        <v>1466.8605932398625</v>
      </c>
    </row>
    <row r="12" spans="1:8" x14ac:dyDescent="0.25">
      <c r="D12">
        <v>6</v>
      </c>
      <c r="E12">
        <f t="shared" si="1"/>
        <v>2.5625</v>
      </c>
      <c r="F12">
        <v>8</v>
      </c>
      <c r="G12">
        <f t="shared" si="2"/>
        <v>8</v>
      </c>
      <c r="H12">
        <f t="shared" si="0"/>
        <v>2562.5</v>
      </c>
    </row>
    <row r="13" spans="1:8" x14ac:dyDescent="0.25">
      <c r="D13">
        <v>7</v>
      </c>
      <c r="E13">
        <f t="shared" si="1"/>
        <v>2.5625</v>
      </c>
      <c r="F13">
        <v>8</v>
      </c>
      <c r="G13">
        <f t="shared" si="2"/>
        <v>8</v>
      </c>
      <c r="H13">
        <f t="shared" si="0"/>
        <v>2562.5</v>
      </c>
    </row>
    <row r="14" spans="1:8" x14ac:dyDescent="0.25">
      <c r="D14">
        <v>8</v>
      </c>
      <c r="E14">
        <f t="shared" si="1"/>
        <v>2.5625</v>
      </c>
      <c r="F14">
        <v>8</v>
      </c>
      <c r="G14">
        <f t="shared" si="2"/>
        <v>8</v>
      </c>
      <c r="H14">
        <f t="shared" si="0"/>
        <v>2562.5</v>
      </c>
    </row>
    <row r="15" spans="1:8" x14ac:dyDescent="0.25">
      <c r="D15">
        <v>9</v>
      </c>
    </row>
    <row r="16" spans="1:8" x14ac:dyDescent="0.25">
      <c r="D16">
        <v>10</v>
      </c>
    </row>
    <row r="17" spans="2:9" x14ac:dyDescent="0.25">
      <c r="D17">
        <v>11</v>
      </c>
    </row>
    <row r="18" spans="2:9" x14ac:dyDescent="0.25">
      <c r="D18">
        <v>12</v>
      </c>
    </row>
    <row r="19" spans="2:9" x14ac:dyDescent="0.25">
      <c r="D19">
        <v>13</v>
      </c>
    </row>
    <row r="20" spans="2:9" x14ac:dyDescent="0.25">
      <c r="D20">
        <v>14</v>
      </c>
    </row>
    <row r="21" spans="2:9" x14ac:dyDescent="0.25">
      <c r="D21">
        <v>15</v>
      </c>
    </row>
    <row r="22" spans="2:9" x14ac:dyDescent="0.25">
      <c r="D22">
        <v>16</v>
      </c>
    </row>
    <row r="23" spans="2:9" x14ac:dyDescent="0.25">
      <c r="H23">
        <f>SUM(H7:H14)</f>
        <v>11014.900471946616</v>
      </c>
      <c r="I23">
        <f>H23/1000</f>
        <v>11.014900471946616</v>
      </c>
    </row>
    <row r="26" spans="2:9" x14ac:dyDescent="0.25">
      <c r="B26" t="s">
        <v>152</v>
      </c>
      <c r="E26">
        <f>9.47*B2*(B2/45)^1.5*(190/C3)^2</f>
        <v>12.20543815981962</v>
      </c>
    </row>
    <row r="29" spans="2:9" x14ac:dyDescent="0.25">
      <c r="C29" t="s">
        <v>153</v>
      </c>
    </row>
    <row r="31" spans="2:9" x14ac:dyDescent="0.25">
      <c r="C31" t="s">
        <v>154</v>
      </c>
      <c r="D31">
        <f>I23/E26-1</f>
        <v>-9.7541577146510128E-2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 sheet</vt:lpstr>
      <vt:lpstr>Shell material types</vt:lpstr>
      <vt:lpstr>Tank design calcluation</vt:lpstr>
      <vt:lpstr>Shell Design API 650</vt:lpstr>
      <vt:lpstr>Bottom plate</vt:lpstr>
      <vt:lpstr>Primary wind girder design</vt:lpstr>
      <vt:lpstr>Stability of shell against wind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Anupam - CITG</dc:creator>
  <cp:lastModifiedBy>Srirangam Santosh Kumar</cp:lastModifiedBy>
  <cp:lastPrinted>2019-01-23T19:05:30Z</cp:lastPrinted>
  <dcterms:created xsi:type="dcterms:W3CDTF">2019-01-22T17:48:06Z</dcterms:created>
  <dcterms:modified xsi:type="dcterms:W3CDTF">2019-02-13T09:26:00Z</dcterms:modified>
</cp:coreProperties>
</file>