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3b1a04007f80a09c/Desktop/"/>
    </mc:Choice>
  </mc:AlternateContent>
  <xr:revisionPtr revIDLastSave="1794" documentId="8_{35F2B2FC-9CB0-4166-81DD-720F023DA547}" xr6:coauthVersionLast="47" xr6:coauthVersionMax="47" xr10:uidLastSave="{BC91D294-BBAC-48F7-B34A-E4130F7F21AB}"/>
  <bookViews>
    <workbookView xWindow="-108" yWindow="-108" windowWidth="23256" windowHeight="13896" xr2:uid="{00000000-000D-0000-FFFF-FFFF00000000}"/>
  </bookViews>
  <sheets>
    <sheet name="Executive Dashboard" sheetId="10" r:id="rId1"/>
    <sheet name="Operational Finance" sheetId="9" r:id="rId2"/>
    <sheet name="Master Pro-Forma" sheetId="7" r:id="rId3"/>
    <sheet name="Software Pro-Forma" sheetId="4" r:id="rId4"/>
    <sheet name="Hardware Pro-Forma" sheetId="5" r:id="rId5"/>
    <sheet name="Advertising Pro-Forma" sheetId="6" r:id="rId6"/>
    <sheet name="Software All Line Items" sheetId="1" r:id="rId7"/>
    <sheet name="Hardware All Line Items" sheetId="2" r:id="rId8"/>
    <sheet name="Advertising All Line Items" sheetId="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0" l="1"/>
  <c r="D5" i="10"/>
  <c r="E5" i="10"/>
  <c r="F5" i="10"/>
  <c r="G5" i="10"/>
  <c r="H5" i="10"/>
  <c r="I5" i="10"/>
  <c r="J5" i="10"/>
  <c r="K5" i="10"/>
  <c r="L5" i="10"/>
  <c r="B5" i="10"/>
  <c r="B4" i="10"/>
  <c r="C8" i="10"/>
  <c r="D8" i="10"/>
  <c r="E8" i="10"/>
  <c r="F8" i="10"/>
  <c r="G8" i="10"/>
  <c r="H8" i="10"/>
  <c r="I8" i="10"/>
  <c r="J8" i="10"/>
  <c r="K8" i="10"/>
  <c r="L8" i="10"/>
  <c r="B8" i="10"/>
  <c r="B6" i="10"/>
  <c r="C7" i="10"/>
  <c r="D7" i="10"/>
  <c r="E7" i="10"/>
  <c r="F7" i="10"/>
  <c r="G7" i="10"/>
  <c r="H7" i="10"/>
  <c r="I7" i="10"/>
  <c r="J7" i="10"/>
  <c r="K7" i="10"/>
  <c r="L7" i="10"/>
  <c r="B7" i="10"/>
  <c r="C6" i="10"/>
  <c r="C4" i="10" s="1"/>
  <c r="D6" i="10"/>
  <c r="D4" i="10" s="1"/>
  <c r="E6" i="10"/>
  <c r="E4" i="10" s="1"/>
  <c r="F6" i="10"/>
  <c r="F4" i="10" s="1"/>
  <c r="G6" i="10"/>
  <c r="G4" i="10" s="1"/>
  <c r="H6" i="10"/>
  <c r="H4" i="10" s="1"/>
  <c r="I6" i="10"/>
  <c r="I4" i="10" s="1"/>
  <c r="J6" i="10"/>
  <c r="J4" i="10" s="1"/>
  <c r="K6" i="10"/>
  <c r="K4" i="10" s="1"/>
  <c r="L6" i="10"/>
  <c r="L4" i="10" s="1"/>
  <c r="C3" i="10"/>
  <c r="D3" i="10"/>
  <c r="E3" i="10"/>
  <c r="F3" i="10"/>
  <c r="G3" i="10"/>
  <c r="H3" i="10"/>
  <c r="I3" i="10"/>
  <c r="J3" i="10"/>
  <c r="K3" i="10"/>
  <c r="L3" i="10"/>
  <c r="B3" i="10"/>
  <c r="J1" i="4"/>
  <c r="U8" i="4"/>
  <c r="R3" i="4"/>
  <c r="Q8" i="4"/>
  <c r="M3" i="4"/>
  <c r="L3" i="7"/>
  <c r="Q8" i="5"/>
  <c r="S3" i="5"/>
  <c r="S3" i="6"/>
  <c r="C51" i="5"/>
  <c r="D51" i="5"/>
  <c r="E51" i="5"/>
  <c r="F51" i="5"/>
  <c r="G51" i="5"/>
  <c r="H51" i="5"/>
  <c r="I51" i="5"/>
  <c r="J51" i="5"/>
  <c r="K51" i="5"/>
  <c r="L51" i="5"/>
  <c r="B51" i="5"/>
  <c r="C50" i="6"/>
  <c r="D50" i="6"/>
  <c r="E50" i="6"/>
  <c r="F50" i="6"/>
  <c r="G50" i="6"/>
  <c r="H50" i="6"/>
  <c r="I50" i="6"/>
  <c r="J50" i="6"/>
  <c r="K50" i="6"/>
  <c r="L50" i="6"/>
  <c r="M50" i="6"/>
  <c r="B50" i="6"/>
  <c r="A38" i="9" l="1"/>
  <c r="A42" i="9" s="1"/>
  <c r="A46" i="9" s="1"/>
  <c r="A37" i="9"/>
  <c r="A41" i="9" s="1"/>
  <c r="A45" i="9" s="1"/>
  <c r="A36" i="9"/>
  <c r="A40" i="9" s="1"/>
  <c r="A44" i="9" s="1"/>
  <c r="B32" i="9"/>
  <c r="B33" i="9" s="1"/>
  <c r="A27" i="9"/>
  <c r="A43" i="9" s="1"/>
  <c r="A26" i="9"/>
  <c r="A39" i="9" s="1"/>
  <c r="A25" i="9"/>
  <c r="A35" i="9" s="1"/>
  <c r="A14" i="9"/>
  <c r="A13" i="9"/>
  <c r="A12" i="9"/>
  <c r="A10" i="9"/>
  <c r="A9" i="9"/>
  <c r="A8" i="9"/>
  <c r="A6" i="9"/>
  <c r="A5" i="9"/>
  <c r="B2" i="9"/>
  <c r="B24" i="9" s="1"/>
  <c r="B34" i="9" s="1"/>
  <c r="A4" i="9"/>
  <c r="A11" i="9"/>
  <c r="A7" i="9"/>
  <c r="A3" i="9"/>
  <c r="B13" i="4"/>
  <c r="B12" i="4"/>
  <c r="B11" i="4"/>
  <c r="B10" i="4"/>
  <c r="B9" i="4"/>
  <c r="B8" i="4"/>
  <c r="B7" i="4"/>
  <c r="B4" i="4"/>
  <c r="B3" i="4"/>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B13" i="5"/>
  <c r="B12" i="5"/>
  <c r="B11" i="5"/>
  <c r="B10" i="5"/>
  <c r="B9" i="5"/>
  <c r="B8" i="5"/>
  <c r="B7" i="5"/>
  <c r="B4" i="5"/>
  <c r="B3" i="5"/>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 r="B12" i="6"/>
  <c r="B11" i="6"/>
  <c r="B9" i="6"/>
  <c r="B8" i="6"/>
  <c r="B7" i="6"/>
  <c r="B4" i="6"/>
  <c r="B3" i="6"/>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2" i="3"/>
  <c r="A52" i="5"/>
  <c r="A50" i="5"/>
  <c r="A49" i="5"/>
  <c r="A48" i="5"/>
  <c r="A47" i="5"/>
  <c r="A46" i="5"/>
  <c r="A45" i="5"/>
  <c r="A44" i="5"/>
  <c r="A43" i="5"/>
  <c r="A42" i="5"/>
  <c r="A41" i="5"/>
  <c r="A40" i="5"/>
  <c r="A39" i="5"/>
  <c r="A38" i="5"/>
  <c r="A37" i="5"/>
  <c r="A36" i="5"/>
  <c r="A35" i="5"/>
  <c r="A34" i="5"/>
  <c r="A33" i="5"/>
  <c r="A32" i="5"/>
  <c r="B26" i="5"/>
  <c r="A50" i="4"/>
  <c r="A52" i="4"/>
  <c r="A33" i="4"/>
  <c r="A34" i="4"/>
  <c r="A35" i="4"/>
  <c r="A36" i="4"/>
  <c r="A37" i="4"/>
  <c r="A38" i="4"/>
  <c r="A39" i="4"/>
  <c r="A40" i="4"/>
  <c r="A41" i="4"/>
  <c r="A42" i="4"/>
  <c r="A43" i="4"/>
  <c r="A44" i="4"/>
  <c r="A45" i="4"/>
  <c r="A46" i="4"/>
  <c r="A47" i="4"/>
  <c r="A48" i="4"/>
  <c r="A49" i="4"/>
  <c r="A32" i="4"/>
  <c r="B26" i="4"/>
  <c r="A33" i="6"/>
  <c r="A34" i="6"/>
  <c r="A35" i="6"/>
  <c r="A36" i="6"/>
  <c r="A37" i="6"/>
  <c r="A38" i="6"/>
  <c r="A39" i="6"/>
  <c r="A40" i="6"/>
  <c r="A41" i="6"/>
  <c r="A42" i="6"/>
  <c r="A43" i="6"/>
  <c r="A44" i="6"/>
  <c r="A45" i="6"/>
  <c r="A46" i="6"/>
  <c r="A47" i="6"/>
  <c r="A48" i="6"/>
  <c r="A49" i="6"/>
  <c r="A51" i="6"/>
  <c r="A32" i="6"/>
  <c r="A26" i="7"/>
  <c r="A27" i="7"/>
  <c r="A28" i="7"/>
  <c r="A29" i="7"/>
  <c r="A30" i="7"/>
  <c r="A31" i="7"/>
  <c r="A32" i="7"/>
  <c r="A33" i="7"/>
  <c r="A34" i="7"/>
  <c r="A35" i="7"/>
  <c r="A36" i="7"/>
  <c r="A38" i="7"/>
  <c r="A25" i="7"/>
  <c r="B26" i="6"/>
  <c r="B19" i="9" l="1"/>
  <c r="B6" i="9"/>
  <c r="B5" i="9"/>
  <c r="B25" i="9" s="1"/>
  <c r="B12" i="9"/>
  <c r="B4" i="9"/>
  <c r="B8" i="9"/>
  <c r="B13" i="9"/>
  <c r="B27" i="9" s="1"/>
  <c r="B10" i="9"/>
  <c r="B9" i="9"/>
  <c r="B26" i="9" s="1"/>
  <c r="B14" i="9"/>
  <c r="B19" i="7"/>
  <c r="C12" i="7"/>
  <c r="D12" i="7"/>
  <c r="E12" i="7"/>
  <c r="F12" i="7"/>
  <c r="G12" i="7"/>
  <c r="H12" i="7"/>
  <c r="I12" i="7"/>
  <c r="J12" i="7"/>
  <c r="K12" i="7"/>
  <c r="L12" i="7"/>
  <c r="B12" i="7"/>
  <c r="C11" i="7"/>
  <c r="D11" i="7"/>
  <c r="E11" i="7"/>
  <c r="F11" i="7"/>
  <c r="G11" i="7"/>
  <c r="H11" i="7"/>
  <c r="I11" i="7"/>
  <c r="J11" i="7"/>
  <c r="K11" i="7"/>
  <c r="L11" i="7"/>
  <c r="B11" i="7"/>
  <c r="C2" i="7"/>
  <c r="C19" i="7" s="1"/>
  <c r="P9" i="6"/>
  <c r="P10" i="6" s="1"/>
  <c r="P11" i="6" s="1"/>
  <c r="P12" i="6" s="1"/>
  <c r="P13" i="6" s="1"/>
  <c r="P14" i="6" s="1"/>
  <c r="P15" i="6" s="1"/>
  <c r="P16" i="6" s="1"/>
  <c r="P17" i="6" s="1"/>
  <c r="P18" i="6" s="1"/>
  <c r="P9" i="4"/>
  <c r="P10" i="4" s="1"/>
  <c r="P11" i="4" s="1"/>
  <c r="P12" i="4" s="1"/>
  <c r="P13" i="4" s="1"/>
  <c r="P14" i="4" s="1"/>
  <c r="P15" i="4" s="1"/>
  <c r="P16" i="4" s="1"/>
  <c r="P17" i="4" s="1"/>
  <c r="P18" i="4" s="1"/>
  <c r="P19" i="4" s="1"/>
  <c r="P9" i="5"/>
  <c r="P10" i="5" s="1"/>
  <c r="P11" i="5" s="1"/>
  <c r="P12" i="5" s="1"/>
  <c r="P13" i="5" s="1"/>
  <c r="P14" i="5" s="1"/>
  <c r="P15" i="5" s="1"/>
  <c r="P16" i="5" s="1"/>
  <c r="P17" i="5" s="1"/>
  <c r="P18" i="5" s="1"/>
  <c r="P19" i="5" s="1"/>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C2" i="6"/>
  <c r="C2" i="5"/>
  <c r="D2" i="7" l="1"/>
  <c r="C2" i="9"/>
  <c r="B41" i="9"/>
  <c r="B40" i="9"/>
  <c r="B37" i="9"/>
  <c r="B36" i="9"/>
  <c r="B45" i="9"/>
  <c r="B44" i="9"/>
  <c r="C13" i="5"/>
  <c r="C8" i="5"/>
  <c r="C8" i="9" s="1"/>
  <c r="C4" i="5"/>
  <c r="C10" i="9" s="1"/>
  <c r="C7" i="5"/>
  <c r="C9" i="9" s="1"/>
  <c r="C12" i="5"/>
  <c r="C9" i="5"/>
  <c r="C3" i="5"/>
  <c r="C10" i="5"/>
  <c r="C11" i="5"/>
  <c r="B39" i="5"/>
  <c r="B40" i="5"/>
  <c r="B36" i="5"/>
  <c r="B38" i="5"/>
  <c r="B37" i="5"/>
  <c r="B33" i="5"/>
  <c r="B42" i="5"/>
  <c r="B41" i="5"/>
  <c r="C9" i="6"/>
  <c r="C3" i="6"/>
  <c r="C8" i="6"/>
  <c r="C12" i="9" s="1"/>
  <c r="C4" i="6"/>
  <c r="C14" i="9" s="1"/>
  <c r="C44" i="9" s="1"/>
  <c r="C11" i="6"/>
  <c r="C10" i="6"/>
  <c r="C7" i="6"/>
  <c r="C13" i="9" s="1"/>
  <c r="C27" i="9" s="1"/>
  <c r="C12" i="6"/>
  <c r="B10" i="6"/>
  <c r="B39" i="6" s="1"/>
  <c r="D2" i="5"/>
  <c r="C26" i="5"/>
  <c r="B47" i="5"/>
  <c r="B32" i="5"/>
  <c r="B48" i="5"/>
  <c r="B5" i="6"/>
  <c r="B46" i="6"/>
  <c r="B32" i="6"/>
  <c r="B47" i="6"/>
  <c r="B33" i="6"/>
  <c r="B38" i="6"/>
  <c r="B41" i="6"/>
  <c r="B37" i="6"/>
  <c r="C26" i="6"/>
  <c r="B6" i="6"/>
  <c r="B36" i="6"/>
  <c r="B40" i="6"/>
  <c r="D2" i="6"/>
  <c r="B46" i="9" l="1"/>
  <c r="C45" i="9"/>
  <c r="C26" i="9"/>
  <c r="B42" i="9"/>
  <c r="C40" i="9"/>
  <c r="C41" i="9"/>
  <c r="C19" i="9"/>
  <c r="C24" i="9"/>
  <c r="C34" i="9" s="1"/>
  <c r="E2" i="7"/>
  <c r="D2" i="9"/>
  <c r="D19" i="7"/>
  <c r="C46" i="9"/>
  <c r="B38" i="9"/>
  <c r="E2" i="5"/>
  <c r="F2" i="5" s="1"/>
  <c r="D11" i="5"/>
  <c r="D13" i="5"/>
  <c r="D7" i="5"/>
  <c r="D9" i="9" s="1"/>
  <c r="D9" i="5"/>
  <c r="D3" i="5"/>
  <c r="D8" i="5"/>
  <c r="D8" i="9" s="1"/>
  <c r="D4" i="5"/>
  <c r="D10" i="9" s="1"/>
  <c r="D10" i="5"/>
  <c r="D12" i="5"/>
  <c r="B5" i="5"/>
  <c r="B27" i="5" s="1"/>
  <c r="C42" i="5"/>
  <c r="B6" i="5"/>
  <c r="B35" i="5" s="1"/>
  <c r="C41" i="5"/>
  <c r="D12" i="6"/>
  <c r="D9" i="6"/>
  <c r="D3" i="6"/>
  <c r="D11" i="6"/>
  <c r="D8" i="6"/>
  <c r="D12" i="9" s="1"/>
  <c r="D10" i="6"/>
  <c r="D4" i="6"/>
  <c r="D14" i="9" s="1"/>
  <c r="D7" i="6"/>
  <c r="D13" i="9" s="1"/>
  <c r="B13" i="6"/>
  <c r="B42" i="6" s="1"/>
  <c r="C5" i="6"/>
  <c r="C34" i="6" s="1"/>
  <c r="C41" i="6"/>
  <c r="C36" i="6"/>
  <c r="C38" i="6"/>
  <c r="C40" i="5"/>
  <c r="C37" i="5"/>
  <c r="C36" i="5"/>
  <c r="C5" i="5"/>
  <c r="C33" i="5"/>
  <c r="C39" i="5"/>
  <c r="D26" i="5"/>
  <c r="C47" i="5"/>
  <c r="C48" i="5"/>
  <c r="C32" i="5"/>
  <c r="C1" i="5"/>
  <c r="C38" i="5"/>
  <c r="D26" i="6"/>
  <c r="C39" i="6"/>
  <c r="C6" i="6"/>
  <c r="C37" i="6"/>
  <c r="C40" i="6"/>
  <c r="C33" i="6"/>
  <c r="B35" i="6"/>
  <c r="B27" i="6"/>
  <c r="B34" i="6"/>
  <c r="C46" i="6"/>
  <c r="C47" i="6"/>
  <c r="C32" i="6"/>
  <c r="C1" i="6"/>
  <c r="C6" i="5"/>
  <c r="E2" i="6"/>
  <c r="D27" i="9" l="1"/>
  <c r="D45" i="9"/>
  <c r="D44" i="9"/>
  <c r="D41" i="5"/>
  <c r="D39" i="5"/>
  <c r="D26" i="9"/>
  <c r="C42" i="9"/>
  <c r="D40" i="9"/>
  <c r="D41" i="9"/>
  <c r="D19" i="9"/>
  <c r="D24" i="9"/>
  <c r="D34" i="9" s="1"/>
  <c r="F2" i="7"/>
  <c r="E2" i="9"/>
  <c r="E19" i="7"/>
  <c r="B34" i="5"/>
  <c r="D40" i="5"/>
  <c r="F26" i="5"/>
  <c r="F10" i="5"/>
  <c r="F3" i="5"/>
  <c r="F8" i="5"/>
  <c r="F8" i="9" s="1"/>
  <c r="F11" i="5"/>
  <c r="F13" i="5"/>
  <c r="F4" i="5"/>
  <c r="F10" i="9" s="1"/>
  <c r="F12" i="5"/>
  <c r="F7" i="5"/>
  <c r="F9" i="9" s="1"/>
  <c r="F9" i="5"/>
  <c r="E26" i="5"/>
  <c r="E8" i="5"/>
  <c r="E11" i="5"/>
  <c r="E4" i="5"/>
  <c r="E10" i="9" s="1"/>
  <c r="E7" i="5"/>
  <c r="E9" i="9" s="1"/>
  <c r="E12" i="5"/>
  <c r="E41" i="5" s="1"/>
  <c r="E9" i="5"/>
  <c r="E13" i="5"/>
  <c r="E10" i="5"/>
  <c r="E3" i="5"/>
  <c r="B14" i="5"/>
  <c r="B43" i="5" s="1"/>
  <c r="E12" i="6"/>
  <c r="E9" i="6"/>
  <c r="E3" i="6"/>
  <c r="E8" i="6"/>
  <c r="E12" i="9" s="1"/>
  <c r="E11" i="6"/>
  <c r="E4" i="6"/>
  <c r="E14" i="9" s="1"/>
  <c r="E10" i="6"/>
  <c r="E7" i="6"/>
  <c r="E13" i="9" s="1"/>
  <c r="E27" i="9" s="1"/>
  <c r="C13" i="6"/>
  <c r="C42" i="6" s="1"/>
  <c r="C27" i="6"/>
  <c r="D33" i="5"/>
  <c r="C14" i="5"/>
  <c r="C43" i="5" s="1"/>
  <c r="C35" i="5"/>
  <c r="D47" i="5"/>
  <c r="D48" i="5"/>
  <c r="D32" i="5"/>
  <c r="D1" i="5"/>
  <c r="D5" i="5"/>
  <c r="D38" i="5"/>
  <c r="C34" i="5"/>
  <c r="C27" i="5"/>
  <c r="D42" i="5"/>
  <c r="D37" i="5"/>
  <c r="D6" i="5"/>
  <c r="D36" i="5"/>
  <c r="D46" i="6"/>
  <c r="D32" i="6"/>
  <c r="D47" i="6"/>
  <c r="D1" i="6"/>
  <c r="D33" i="6"/>
  <c r="D40" i="6"/>
  <c r="E26" i="6"/>
  <c r="D39" i="6"/>
  <c r="C35" i="6"/>
  <c r="D37" i="6"/>
  <c r="D36" i="6"/>
  <c r="D41" i="6"/>
  <c r="D38" i="6"/>
  <c r="D5" i="6"/>
  <c r="D6" i="6"/>
  <c r="F2" i="6"/>
  <c r="G2" i="5"/>
  <c r="E39" i="5" l="1"/>
  <c r="D46" i="9"/>
  <c r="E45" i="9"/>
  <c r="E44" i="9"/>
  <c r="E46" i="9" s="1"/>
  <c r="E5" i="5"/>
  <c r="D42" i="9"/>
  <c r="E33" i="5"/>
  <c r="E42" i="5"/>
  <c r="E47" i="5"/>
  <c r="E40" i="5"/>
  <c r="E32" i="5"/>
  <c r="E48" i="5"/>
  <c r="E38" i="5"/>
  <c r="E36" i="5"/>
  <c r="E37" i="5"/>
  <c r="E8" i="9"/>
  <c r="F40" i="9"/>
  <c r="F41" i="9"/>
  <c r="E41" i="9"/>
  <c r="E40" i="9"/>
  <c r="E26" i="9"/>
  <c r="E1" i="5"/>
  <c r="F26" i="9"/>
  <c r="E6" i="5"/>
  <c r="E35" i="5" s="1"/>
  <c r="G2" i="7"/>
  <c r="F2" i="9"/>
  <c r="F19" i="7"/>
  <c r="E19" i="9"/>
  <c r="E24" i="9"/>
  <c r="E34" i="9" s="1"/>
  <c r="G26" i="5"/>
  <c r="G11" i="5"/>
  <c r="G10" i="5"/>
  <c r="G12" i="5"/>
  <c r="G9" i="5"/>
  <c r="G4" i="5"/>
  <c r="G10" i="9" s="1"/>
  <c r="G7" i="5"/>
  <c r="G9" i="9" s="1"/>
  <c r="G8" i="5"/>
  <c r="G8" i="9" s="1"/>
  <c r="G13" i="5"/>
  <c r="G3" i="5"/>
  <c r="F41" i="5"/>
  <c r="F36" i="5"/>
  <c r="F38" i="5"/>
  <c r="F42" i="5"/>
  <c r="F40" i="5"/>
  <c r="F7" i="6"/>
  <c r="F13" i="9" s="1"/>
  <c r="F12" i="6"/>
  <c r="F9" i="6"/>
  <c r="F3" i="6"/>
  <c r="F11" i="6"/>
  <c r="F8" i="6"/>
  <c r="F12" i="9" s="1"/>
  <c r="F4" i="6"/>
  <c r="F14" i="9" s="1"/>
  <c r="F10" i="6"/>
  <c r="E37" i="6"/>
  <c r="E40" i="6"/>
  <c r="E36" i="6"/>
  <c r="F37" i="5"/>
  <c r="F39" i="5"/>
  <c r="F33" i="5"/>
  <c r="D14" i="5"/>
  <c r="D43" i="5" s="1"/>
  <c r="D35" i="5"/>
  <c r="F5" i="5"/>
  <c r="F48" i="5"/>
  <c r="F32" i="5"/>
  <c r="F47" i="5"/>
  <c r="F1" i="5"/>
  <c r="D34" i="5"/>
  <c r="D27" i="5"/>
  <c r="E34" i="5"/>
  <c r="E27" i="5"/>
  <c r="E33" i="6"/>
  <c r="E32" i="6"/>
  <c r="E47" i="6"/>
  <c r="E46" i="6"/>
  <c r="E1" i="6"/>
  <c r="E41" i="6"/>
  <c r="E39" i="6"/>
  <c r="D35" i="6"/>
  <c r="D13" i="6"/>
  <c r="D42" i="6" s="1"/>
  <c r="D34" i="6"/>
  <c r="D27" i="6"/>
  <c r="F26" i="6"/>
  <c r="E38" i="6"/>
  <c r="E5" i="6"/>
  <c r="E6" i="6"/>
  <c r="F6" i="5"/>
  <c r="G2" i="6"/>
  <c r="H2" i="5"/>
  <c r="E42" i="9" l="1"/>
  <c r="E14" i="5"/>
  <c r="E43" i="5" s="1"/>
  <c r="G26" i="9"/>
  <c r="F27" i="9"/>
  <c r="F45" i="9"/>
  <c r="F44" i="9"/>
  <c r="F42" i="9"/>
  <c r="G41" i="9"/>
  <c r="G40" i="9"/>
  <c r="F24" i="9"/>
  <c r="F34" i="9" s="1"/>
  <c r="F19" i="9"/>
  <c r="H2" i="7"/>
  <c r="G2" i="9"/>
  <c r="G19" i="7"/>
  <c r="H26" i="5"/>
  <c r="H13" i="5"/>
  <c r="H3" i="5"/>
  <c r="H11" i="5"/>
  <c r="H8" i="5"/>
  <c r="H8" i="9" s="1"/>
  <c r="H4" i="5"/>
  <c r="H12" i="5"/>
  <c r="H9" i="5"/>
  <c r="H10" i="5"/>
  <c r="H7" i="5"/>
  <c r="H9" i="9" s="1"/>
  <c r="G26" i="6"/>
  <c r="G7" i="6"/>
  <c r="G13" i="9" s="1"/>
  <c r="G12" i="6"/>
  <c r="G9" i="6"/>
  <c r="G3" i="6"/>
  <c r="G11" i="6"/>
  <c r="G8" i="6"/>
  <c r="G12" i="9" s="1"/>
  <c r="G4" i="6"/>
  <c r="G14" i="9" s="1"/>
  <c r="G10" i="6"/>
  <c r="F38" i="6"/>
  <c r="F37" i="6"/>
  <c r="F40" i="6"/>
  <c r="F41" i="6"/>
  <c r="F36" i="6"/>
  <c r="F39" i="6"/>
  <c r="G33" i="5"/>
  <c r="G40" i="5"/>
  <c r="G37" i="5"/>
  <c r="G48" i="5"/>
  <c r="G32" i="5"/>
  <c r="G47" i="5"/>
  <c r="G1" i="5"/>
  <c r="G38" i="5"/>
  <c r="G39" i="5"/>
  <c r="F14" i="5"/>
  <c r="F43" i="5" s="1"/>
  <c r="F35" i="5"/>
  <c r="G42" i="5"/>
  <c r="G41" i="5"/>
  <c r="G36" i="5"/>
  <c r="F27" i="5"/>
  <c r="F34" i="5"/>
  <c r="E35" i="6"/>
  <c r="F47" i="6"/>
  <c r="F32" i="6"/>
  <c r="F46" i="6"/>
  <c r="F1" i="6"/>
  <c r="E34" i="6"/>
  <c r="E27" i="6"/>
  <c r="F33" i="6"/>
  <c r="F5" i="6"/>
  <c r="F6" i="6"/>
  <c r="E13" i="6"/>
  <c r="E42" i="6" s="1"/>
  <c r="G6" i="5"/>
  <c r="G35" i="5" s="1"/>
  <c r="H2" i="6"/>
  <c r="G5" i="5"/>
  <c r="I2" i="5"/>
  <c r="G42" i="9" l="1"/>
  <c r="G27" i="9"/>
  <c r="F46" i="9"/>
  <c r="G45" i="9"/>
  <c r="G44" i="9"/>
  <c r="G46" i="9" s="1"/>
  <c r="H33" i="5"/>
  <c r="H10" i="9"/>
  <c r="H26" i="9"/>
  <c r="I2" i="7"/>
  <c r="H2" i="9"/>
  <c r="H19" i="7"/>
  <c r="G24" i="9"/>
  <c r="G34" i="9" s="1"/>
  <c r="G19" i="9"/>
  <c r="I26" i="5"/>
  <c r="I3" i="5"/>
  <c r="I8" i="5"/>
  <c r="I8" i="9" s="1"/>
  <c r="I13" i="5"/>
  <c r="I10" i="5"/>
  <c r="I12" i="5"/>
  <c r="I11" i="5"/>
  <c r="I7" i="5"/>
  <c r="I9" i="9" s="1"/>
  <c r="I9" i="5"/>
  <c r="I4" i="5"/>
  <c r="H26" i="6"/>
  <c r="H10" i="6"/>
  <c r="H7" i="6"/>
  <c r="H13" i="9" s="1"/>
  <c r="H3" i="6"/>
  <c r="H11" i="6"/>
  <c r="H12" i="6"/>
  <c r="H9" i="6"/>
  <c r="H8" i="6"/>
  <c r="H12" i="9" s="1"/>
  <c r="H4" i="6"/>
  <c r="H14" i="9" s="1"/>
  <c r="G36" i="6"/>
  <c r="G27" i="5"/>
  <c r="G34" i="5"/>
  <c r="H36" i="5"/>
  <c r="H48" i="5"/>
  <c r="H32" i="5"/>
  <c r="H47" i="5"/>
  <c r="H1" i="5"/>
  <c r="H40" i="5"/>
  <c r="H42" i="5"/>
  <c r="H38" i="5"/>
  <c r="H39" i="5"/>
  <c r="H41" i="5"/>
  <c r="H37" i="5"/>
  <c r="F35" i="6"/>
  <c r="F34" i="6"/>
  <c r="F27" i="6"/>
  <c r="G41" i="6"/>
  <c r="G39" i="6"/>
  <c r="G5" i="6"/>
  <c r="G47" i="6"/>
  <c r="G32" i="6"/>
  <c r="G46" i="6"/>
  <c r="G1" i="6"/>
  <c r="G37" i="6"/>
  <c r="G40" i="6"/>
  <c r="G33" i="6"/>
  <c r="G38" i="6"/>
  <c r="G6" i="6"/>
  <c r="F13" i="6"/>
  <c r="F42" i="6" s="1"/>
  <c r="H6" i="5"/>
  <c r="G14" i="5"/>
  <c r="G43" i="5" s="1"/>
  <c r="I2" i="6"/>
  <c r="H5" i="5"/>
  <c r="J2" i="5"/>
  <c r="H45" i="9" l="1"/>
  <c r="H44" i="9"/>
  <c r="H27" i="9"/>
  <c r="I26" i="9"/>
  <c r="I33" i="5"/>
  <c r="I10" i="9"/>
  <c r="H41" i="9"/>
  <c r="H40" i="9"/>
  <c r="H24" i="9"/>
  <c r="H34" i="9" s="1"/>
  <c r="H19" i="9"/>
  <c r="J2" i="7"/>
  <c r="I2" i="9"/>
  <c r="I19" i="7"/>
  <c r="J26" i="5"/>
  <c r="J8" i="5"/>
  <c r="J8" i="9" s="1"/>
  <c r="J10" i="5"/>
  <c r="J9" i="5"/>
  <c r="J3" i="5"/>
  <c r="J11" i="5"/>
  <c r="J4" i="5"/>
  <c r="J10" i="9" s="1"/>
  <c r="J7" i="5"/>
  <c r="J9" i="9" s="1"/>
  <c r="J12" i="5"/>
  <c r="J13" i="5"/>
  <c r="I10" i="6"/>
  <c r="I7" i="6"/>
  <c r="I13" i="9" s="1"/>
  <c r="I12" i="6"/>
  <c r="I9" i="6"/>
  <c r="I3" i="6"/>
  <c r="I11" i="6"/>
  <c r="I8" i="6"/>
  <c r="I12" i="9" s="1"/>
  <c r="I4" i="6"/>
  <c r="I14" i="9" s="1"/>
  <c r="H37" i="6"/>
  <c r="H38" i="6"/>
  <c r="H41" i="6"/>
  <c r="H40" i="6"/>
  <c r="I36" i="5"/>
  <c r="I41" i="5"/>
  <c r="I40" i="5"/>
  <c r="I37" i="5"/>
  <c r="I42" i="5"/>
  <c r="I39" i="5"/>
  <c r="I38" i="5"/>
  <c r="H14" i="5"/>
  <c r="H43" i="5" s="1"/>
  <c r="H35" i="5"/>
  <c r="H27" i="5"/>
  <c r="H34" i="5"/>
  <c r="I47" i="5"/>
  <c r="I48" i="5"/>
  <c r="I32" i="5"/>
  <c r="I1" i="5"/>
  <c r="I26" i="6"/>
  <c r="H5" i="6"/>
  <c r="H47" i="6"/>
  <c r="H46" i="6"/>
  <c r="H32" i="6"/>
  <c r="H1" i="6"/>
  <c r="H39" i="6"/>
  <c r="G13" i="6"/>
  <c r="G42" i="6" s="1"/>
  <c r="G35" i="6"/>
  <c r="H33" i="6"/>
  <c r="H36" i="6"/>
  <c r="G34" i="6"/>
  <c r="G27" i="6"/>
  <c r="H6" i="6"/>
  <c r="I6" i="5"/>
  <c r="I35" i="5" s="1"/>
  <c r="J2" i="6"/>
  <c r="I5" i="5"/>
  <c r="K2" i="5"/>
  <c r="H46" i="9" l="1"/>
  <c r="H42" i="9"/>
  <c r="J37" i="5"/>
  <c r="I44" i="9"/>
  <c r="I45" i="9"/>
  <c r="I27" i="9"/>
  <c r="I41" i="9"/>
  <c r="I40" i="9"/>
  <c r="I42" i="9" s="1"/>
  <c r="J26" i="9"/>
  <c r="J40" i="9"/>
  <c r="J41" i="9"/>
  <c r="K2" i="7"/>
  <c r="J2" i="9"/>
  <c r="J19" i="7"/>
  <c r="I24" i="9"/>
  <c r="I34" i="9" s="1"/>
  <c r="I19" i="9"/>
  <c r="K26" i="5"/>
  <c r="K9" i="5"/>
  <c r="K13" i="5"/>
  <c r="K8" i="5"/>
  <c r="K8" i="9" s="1"/>
  <c r="K3" i="5"/>
  <c r="K4" i="5"/>
  <c r="K10" i="9" s="1"/>
  <c r="K11" i="5"/>
  <c r="K12" i="5"/>
  <c r="K10" i="5"/>
  <c r="K7" i="5"/>
  <c r="K9" i="9" s="1"/>
  <c r="J10" i="6"/>
  <c r="J7" i="6"/>
  <c r="J13" i="9" s="1"/>
  <c r="J12" i="6"/>
  <c r="J9" i="6"/>
  <c r="J11" i="6"/>
  <c r="J3" i="6"/>
  <c r="J4" i="6"/>
  <c r="J14" i="9" s="1"/>
  <c r="J8" i="6"/>
  <c r="J12" i="9" s="1"/>
  <c r="I40" i="6"/>
  <c r="J39" i="5"/>
  <c r="J38" i="5"/>
  <c r="J42" i="5"/>
  <c r="J36" i="5"/>
  <c r="J32" i="5"/>
  <c r="J47" i="5"/>
  <c r="J48" i="5"/>
  <c r="J1" i="5"/>
  <c r="J33" i="5"/>
  <c r="J41" i="5"/>
  <c r="I27" i="5"/>
  <c r="I34" i="5"/>
  <c r="J40" i="5"/>
  <c r="I41" i="6"/>
  <c r="I37" i="6"/>
  <c r="I33" i="6"/>
  <c r="I38" i="6"/>
  <c r="I36" i="6"/>
  <c r="I47" i="6"/>
  <c r="I32" i="6"/>
  <c r="I46" i="6"/>
  <c r="I1" i="6"/>
  <c r="H13" i="6"/>
  <c r="H42" i="6" s="1"/>
  <c r="H35" i="6"/>
  <c r="H34" i="6"/>
  <c r="H27" i="6"/>
  <c r="J26" i="6"/>
  <c r="I39" i="6"/>
  <c r="I6" i="6"/>
  <c r="I5" i="6"/>
  <c r="J6" i="5"/>
  <c r="J35" i="5" s="1"/>
  <c r="I14" i="5"/>
  <c r="I43" i="5" s="1"/>
  <c r="K2" i="6"/>
  <c r="J5" i="5"/>
  <c r="L2" i="5"/>
  <c r="J44" i="9" l="1"/>
  <c r="J45" i="9"/>
  <c r="J27" i="9"/>
  <c r="I46" i="9"/>
  <c r="K40" i="9"/>
  <c r="K41" i="9"/>
  <c r="K26" i="9"/>
  <c r="J42" i="9"/>
  <c r="J24" i="9"/>
  <c r="J34" i="9" s="1"/>
  <c r="J19" i="9"/>
  <c r="L2" i="7"/>
  <c r="K2" i="9"/>
  <c r="K19" i="7"/>
  <c r="L26" i="5"/>
  <c r="L11" i="5"/>
  <c r="L13" i="5"/>
  <c r="L9" i="5"/>
  <c r="M2" i="5"/>
  <c r="L10" i="5"/>
  <c r="L7" i="5"/>
  <c r="L9" i="9" s="1"/>
  <c r="L12" i="5"/>
  <c r="L3" i="5"/>
  <c r="L4" i="5"/>
  <c r="L8" i="5"/>
  <c r="L8" i="9" s="1"/>
  <c r="K4" i="6"/>
  <c r="K14" i="9" s="1"/>
  <c r="K10" i="6"/>
  <c r="K7" i="6"/>
  <c r="K13" i="9" s="1"/>
  <c r="K12" i="6"/>
  <c r="K9" i="6"/>
  <c r="K3" i="6"/>
  <c r="K8" i="6"/>
  <c r="K12" i="9" s="1"/>
  <c r="K11" i="6"/>
  <c r="J39" i="6"/>
  <c r="J37" i="6"/>
  <c r="J36" i="6"/>
  <c r="J38" i="6"/>
  <c r="J41" i="6"/>
  <c r="J40" i="6"/>
  <c r="K33" i="5"/>
  <c r="K37" i="5"/>
  <c r="K39" i="5"/>
  <c r="K47" i="5"/>
  <c r="K32" i="5"/>
  <c r="K48" i="5"/>
  <c r="K1" i="5"/>
  <c r="K38" i="5"/>
  <c r="J27" i="5"/>
  <c r="J34" i="5"/>
  <c r="K36" i="5"/>
  <c r="K41" i="5"/>
  <c r="K40" i="5"/>
  <c r="K42" i="5"/>
  <c r="J33" i="6"/>
  <c r="I13" i="6"/>
  <c r="I42" i="6" s="1"/>
  <c r="I27" i="6"/>
  <c r="I34" i="6"/>
  <c r="K26" i="6"/>
  <c r="J46" i="6"/>
  <c r="J32" i="6"/>
  <c r="J47" i="6"/>
  <c r="J1" i="6"/>
  <c r="I35" i="6"/>
  <c r="J6" i="6"/>
  <c r="J5" i="6"/>
  <c r="K6" i="5"/>
  <c r="K35" i="5" s="1"/>
  <c r="J14" i="5"/>
  <c r="J43" i="5" s="1"/>
  <c r="L2" i="6"/>
  <c r="K5" i="5"/>
  <c r="L26" i="9" l="1"/>
  <c r="K27" i="9"/>
  <c r="K44" i="9"/>
  <c r="K45" i="9"/>
  <c r="J46" i="9"/>
  <c r="K42" i="9"/>
  <c r="L33" i="5"/>
  <c r="L10" i="9"/>
  <c r="K24" i="9"/>
  <c r="K34" i="9" s="1"/>
  <c r="K19" i="9"/>
  <c r="L2" i="9"/>
  <c r="L19" i="7"/>
  <c r="B15" i="5" a="1"/>
  <c r="B15" i="5" s="1"/>
  <c r="B22" i="5" s="1"/>
  <c r="M15" i="5" a="1"/>
  <c r="M15" i="5" s="1"/>
  <c r="M22" i="5" s="1"/>
  <c r="M4" i="5"/>
  <c r="M12" i="5"/>
  <c r="M13" i="5"/>
  <c r="M9" i="5"/>
  <c r="M10" i="5"/>
  <c r="M7" i="5"/>
  <c r="M3" i="5"/>
  <c r="M51" i="5" s="1"/>
  <c r="M8" i="5"/>
  <c r="M11" i="5"/>
  <c r="L8" i="6"/>
  <c r="L12" i="9" s="1"/>
  <c r="L4" i="6"/>
  <c r="L14" i="9" s="1"/>
  <c r="L10" i="6"/>
  <c r="L12" i="6"/>
  <c r="L9" i="6"/>
  <c r="L3" i="6"/>
  <c r="L7" i="6"/>
  <c r="L11" i="6"/>
  <c r="K36" i="6"/>
  <c r="K37" i="6"/>
  <c r="L26" i="6"/>
  <c r="M2" i="6"/>
  <c r="L39" i="5"/>
  <c r="L38" i="5"/>
  <c r="L48" i="5"/>
  <c r="L32" i="5"/>
  <c r="L47" i="5"/>
  <c r="L1" i="5"/>
  <c r="R3" i="5" a="1"/>
  <c r="R3" i="5" s="1"/>
  <c r="S19" i="5"/>
  <c r="L41" i="5"/>
  <c r="L37" i="5"/>
  <c r="L36" i="5"/>
  <c r="K27" i="5"/>
  <c r="K34" i="5"/>
  <c r="L42" i="5"/>
  <c r="L40" i="5"/>
  <c r="J35" i="6"/>
  <c r="K33" i="6"/>
  <c r="K39" i="6"/>
  <c r="K32" i="6"/>
  <c r="K46" i="6"/>
  <c r="K47" i="6"/>
  <c r="K1" i="6"/>
  <c r="J13" i="6"/>
  <c r="J42" i="6" s="1"/>
  <c r="J27" i="6"/>
  <c r="J34" i="6"/>
  <c r="K38" i="6"/>
  <c r="K41" i="6"/>
  <c r="K40" i="6"/>
  <c r="K5" i="6"/>
  <c r="K6" i="6"/>
  <c r="G15" i="5" a="1"/>
  <c r="G15" i="5" s="1"/>
  <c r="G22" i="5" s="1"/>
  <c r="L15" i="5" a="1"/>
  <c r="L15" i="5" s="1"/>
  <c r="L22" i="5" s="1"/>
  <c r="C15" i="5" a="1"/>
  <c r="C15" i="5" s="1"/>
  <c r="C22" i="5" s="1"/>
  <c r="E15" i="5" a="1"/>
  <c r="E15" i="5" s="1"/>
  <c r="E22" i="5" s="1"/>
  <c r="J15" i="5" a="1"/>
  <c r="J15" i="5" s="1"/>
  <c r="J22" i="5" s="1"/>
  <c r="D15" i="5" a="1"/>
  <c r="D15" i="5" s="1"/>
  <c r="D22" i="5" s="1"/>
  <c r="F15" i="5" a="1"/>
  <c r="F15" i="5" s="1"/>
  <c r="F22" i="5" s="1"/>
  <c r="K15" i="5" a="1"/>
  <c r="K15" i="5" s="1"/>
  <c r="K22" i="5" s="1"/>
  <c r="H15" i="5" a="1"/>
  <c r="H15" i="5" s="1"/>
  <c r="H22" i="5" s="1"/>
  <c r="I15" i="5" a="1"/>
  <c r="I15" i="5" s="1"/>
  <c r="I22" i="5" s="1"/>
  <c r="L6" i="5"/>
  <c r="L35" i="5" s="1"/>
  <c r="K14" i="5"/>
  <c r="K43" i="5" s="1"/>
  <c r="L5" i="5"/>
  <c r="L40" i="6" l="1"/>
  <c r="L36" i="6"/>
  <c r="L13" i="9"/>
  <c r="L27" i="9" s="1"/>
  <c r="L44" i="9"/>
  <c r="L45" i="9"/>
  <c r="K46" i="9"/>
  <c r="L44" i="5"/>
  <c r="K44" i="5"/>
  <c r="L41" i="9"/>
  <c r="L40" i="9"/>
  <c r="M40" i="5"/>
  <c r="L24" i="9"/>
  <c r="L34" i="9" s="1"/>
  <c r="L19" i="9"/>
  <c r="M37" i="5"/>
  <c r="M32" i="5"/>
  <c r="M47" i="5"/>
  <c r="M48" i="5"/>
  <c r="M5" i="5"/>
  <c r="M39" i="5"/>
  <c r="M33" i="5"/>
  <c r="M42" i="5"/>
  <c r="M6" i="5"/>
  <c r="M35" i="5" s="1"/>
  <c r="M36" i="5"/>
  <c r="M38" i="5"/>
  <c r="M41" i="5"/>
  <c r="M44" i="5"/>
  <c r="L38" i="6"/>
  <c r="L39" i="6"/>
  <c r="L46" i="6"/>
  <c r="L47" i="6"/>
  <c r="M14" i="6" a="1"/>
  <c r="M14" i="6" s="1"/>
  <c r="M21" i="6" s="1"/>
  <c r="L33" i="6"/>
  <c r="M7" i="6"/>
  <c r="M8" i="6"/>
  <c r="M9" i="6"/>
  <c r="M10" i="6"/>
  <c r="M11" i="6"/>
  <c r="M12" i="6"/>
  <c r="M3" i="6"/>
  <c r="M4" i="6"/>
  <c r="L41" i="6"/>
  <c r="L37" i="6"/>
  <c r="S8" i="5"/>
  <c r="T8" i="5" s="1"/>
  <c r="Q9" i="5" s="1"/>
  <c r="S17" i="5"/>
  <c r="S12" i="5"/>
  <c r="S16" i="5"/>
  <c r="S14" i="5"/>
  <c r="S18" i="5"/>
  <c r="S9" i="5"/>
  <c r="S10" i="5"/>
  <c r="S13" i="5"/>
  <c r="S15" i="5"/>
  <c r="S11" i="5"/>
  <c r="E16" i="5"/>
  <c r="E44" i="5"/>
  <c r="G16" i="5"/>
  <c r="G44" i="5"/>
  <c r="D16" i="5"/>
  <c r="D44" i="5"/>
  <c r="H16" i="5"/>
  <c r="H44" i="5"/>
  <c r="B16" i="5"/>
  <c r="B44" i="5"/>
  <c r="J16" i="5"/>
  <c r="J44" i="5"/>
  <c r="C16" i="5"/>
  <c r="C44" i="5"/>
  <c r="L34" i="5"/>
  <c r="L27" i="5"/>
  <c r="M27" i="5" s="1"/>
  <c r="I16" i="5"/>
  <c r="I44" i="5"/>
  <c r="F16" i="5"/>
  <c r="F44" i="5"/>
  <c r="K27" i="6"/>
  <c r="K34" i="6"/>
  <c r="K35" i="6"/>
  <c r="L32" i="6"/>
  <c r="L1" i="6"/>
  <c r="R3" i="6" a="1"/>
  <c r="R3" i="6" s="1"/>
  <c r="Q8" i="6" s="1"/>
  <c r="S19" i="6"/>
  <c r="K16" i="5"/>
  <c r="L14" i="5"/>
  <c r="L5" i="6"/>
  <c r="L34" i="6" s="1"/>
  <c r="L14" i="6" a="1"/>
  <c r="L14" i="6" s="1"/>
  <c r="C14" i="6" a="1"/>
  <c r="C14" i="6" s="1"/>
  <c r="C21" i="6" s="1"/>
  <c r="D14" i="6" a="1"/>
  <c r="D14" i="6" s="1"/>
  <c r="D21" i="6" s="1"/>
  <c r="B14" i="6" a="1"/>
  <c r="B14" i="6" s="1"/>
  <c r="B21" i="6" s="1"/>
  <c r="F14" i="6" a="1"/>
  <c r="F14" i="6" s="1"/>
  <c r="F21" i="6" s="1"/>
  <c r="K14" i="6" a="1"/>
  <c r="K14" i="6" s="1"/>
  <c r="K21" i="6" s="1"/>
  <c r="G14" i="6" a="1"/>
  <c r="G14" i="6" s="1"/>
  <c r="G21" i="6" s="1"/>
  <c r="E14" i="6" a="1"/>
  <c r="E14" i="6" s="1"/>
  <c r="E21" i="6" s="1"/>
  <c r="J14" i="6" a="1"/>
  <c r="J14" i="6" s="1"/>
  <c r="J21" i="6" s="1"/>
  <c r="I14" i="6" a="1"/>
  <c r="I14" i="6" s="1"/>
  <c r="I21" i="6" s="1"/>
  <c r="H14" i="6" a="1"/>
  <c r="H14" i="6" s="1"/>
  <c r="H21" i="6" s="1"/>
  <c r="L6" i="6"/>
  <c r="L35" i="6" s="1"/>
  <c r="K13" i="6"/>
  <c r="L42" i="9" l="1"/>
  <c r="L43" i="6"/>
  <c r="L21" i="6"/>
  <c r="L46" i="9"/>
  <c r="M33" i="6"/>
  <c r="M14" i="5"/>
  <c r="M34" i="5"/>
  <c r="U8" i="5"/>
  <c r="M41" i="6"/>
  <c r="M38" i="6"/>
  <c r="M32" i="6"/>
  <c r="M46" i="6"/>
  <c r="M47" i="6"/>
  <c r="M5" i="6"/>
  <c r="M40" i="6"/>
  <c r="M6" i="6"/>
  <c r="M35" i="6" s="1"/>
  <c r="M36" i="6"/>
  <c r="M39" i="6"/>
  <c r="M37" i="6"/>
  <c r="M43" i="6"/>
  <c r="I28" i="5"/>
  <c r="I45" i="5"/>
  <c r="C45" i="5"/>
  <c r="C28" i="5"/>
  <c r="B45" i="5"/>
  <c r="B28" i="5"/>
  <c r="D45" i="5"/>
  <c r="D28" i="5"/>
  <c r="L16" i="5"/>
  <c r="L43" i="5"/>
  <c r="K45" i="5"/>
  <c r="K28" i="5"/>
  <c r="F28" i="5"/>
  <c r="F45" i="5"/>
  <c r="E45" i="5"/>
  <c r="E28" i="5"/>
  <c r="J45" i="5"/>
  <c r="J28" i="5"/>
  <c r="H45" i="5"/>
  <c r="H28" i="5"/>
  <c r="G28" i="5"/>
  <c r="G45" i="5"/>
  <c r="T9" i="5"/>
  <c r="Q10" i="5" s="1"/>
  <c r="S17" i="6"/>
  <c r="S12" i="6"/>
  <c r="S10" i="6"/>
  <c r="S15" i="6"/>
  <c r="S14" i="6"/>
  <c r="S11" i="6"/>
  <c r="S9" i="6"/>
  <c r="S18" i="6"/>
  <c r="S13" i="6"/>
  <c r="S8" i="6"/>
  <c r="T8" i="6" s="1"/>
  <c r="Q9" i="6" s="1"/>
  <c r="S16" i="6"/>
  <c r="B15" i="6"/>
  <c r="B43" i="6"/>
  <c r="F15" i="6"/>
  <c r="F43" i="6"/>
  <c r="I15" i="6"/>
  <c r="I43" i="6"/>
  <c r="G15" i="6"/>
  <c r="G43" i="6"/>
  <c r="K43" i="6"/>
  <c r="C15" i="6"/>
  <c r="C43" i="6"/>
  <c r="H15" i="6"/>
  <c r="H43" i="6"/>
  <c r="D15" i="6"/>
  <c r="D43" i="6"/>
  <c r="K15" i="6"/>
  <c r="K42" i="6"/>
  <c r="J15" i="6"/>
  <c r="J43" i="6"/>
  <c r="E15" i="6"/>
  <c r="E43" i="6"/>
  <c r="L27" i="6"/>
  <c r="M27" i="6" s="1"/>
  <c r="L13" i="6"/>
  <c r="L42" i="6" s="1"/>
  <c r="B17" i="5" l="1"/>
  <c r="B20" i="5" s="1"/>
  <c r="M16" i="5"/>
  <c r="M43" i="5"/>
  <c r="U9" i="5"/>
  <c r="M34" i="6"/>
  <c r="M13" i="6"/>
  <c r="L45" i="5"/>
  <c r="L28" i="5"/>
  <c r="M28" i="5" s="1"/>
  <c r="B49" i="5"/>
  <c r="B21" i="5"/>
  <c r="B50" i="5" s="1"/>
  <c r="T10" i="5"/>
  <c r="Q11" i="5" s="1"/>
  <c r="E44" i="6"/>
  <c r="E28" i="6"/>
  <c r="J44" i="6"/>
  <c r="J28" i="6"/>
  <c r="K28" i="6"/>
  <c r="K44" i="6"/>
  <c r="L15" i="6"/>
  <c r="L44" i="6" s="1"/>
  <c r="C28" i="6"/>
  <c r="C44" i="6"/>
  <c r="T9" i="6"/>
  <c r="Q10" i="6" s="1"/>
  <c r="G28" i="6"/>
  <c r="G44" i="6"/>
  <c r="I44" i="6"/>
  <c r="I28" i="6"/>
  <c r="B44" i="6"/>
  <c r="B28" i="6"/>
  <c r="D28" i="6"/>
  <c r="D44" i="6"/>
  <c r="U8" i="6"/>
  <c r="H44" i="6"/>
  <c r="H28" i="6"/>
  <c r="F44" i="6"/>
  <c r="F28" i="6"/>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C2" i="4"/>
  <c r="R3" i="3"/>
  <c r="S3" i="3"/>
  <c r="T3" i="3"/>
  <c r="U3" i="3"/>
  <c r="V3" i="3"/>
  <c r="R4" i="3"/>
  <c r="S4" i="3"/>
  <c r="T4" i="3"/>
  <c r="U4" i="3"/>
  <c r="V4" i="3"/>
  <c r="R5" i="3"/>
  <c r="S5" i="3"/>
  <c r="T5" i="3"/>
  <c r="U5" i="3"/>
  <c r="V5" i="3"/>
  <c r="R6" i="3"/>
  <c r="S6" i="3"/>
  <c r="T6" i="3"/>
  <c r="U6" i="3"/>
  <c r="V6" i="3"/>
  <c r="R7" i="3"/>
  <c r="S7" i="3"/>
  <c r="T7" i="3"/>
  <c r="U7" i="3"/>
  <c r="V7" i="3"/>
  <c r="R8" i="3"/>
  <c r="S8" i="3"/>
  <c r="T8" i="3"/>
  <c r="U8" i="3"/>
  <c r="V8" i="3"/>
  <c r="R9" i="3"/>
  <c r="S9" i="3"/>
  <c r="T9" i="3"/>
  <c r="U9" i="3"/>
  <c r="V9" i="3"/>
  <c r="R10" i="3"/>
  <c r="S10" i="3"/>
  <c r="T10" i="3"/>
  <c r="U10" i="3"/>
  <c r="V10" i="3"/>
  <c r="R11" i="3"/>
  <c r="S11" i="3"/>
  <c r="T11" i="3"/>
  <c r="U11" i="3"/>
  <c r="V11" i="3"/>
  <c r="R12" i="3"/>
  <c r="S12" i="3"/>
  <c r="T12" i="3"/>
  <c r="U12" i="3"/>
  <c r="V12" i="3"/>
  <c r="R13" i="3"/>
  <c r="S13" i="3"/>
  <c r="T13" i="3"/>
  <c r="U13" i="3"/>
  <c r="V13" i="3"/>
  <c r="R14" i="3"/>
  <c r="S14" i="3"/>
  <c r="T14" i="3"/>
  <c r="U14" i="3"/>
  <c r="V14" i="3"/>
  <c r="R15" i="3"/>
  <c r="S15" i="3"/>
  <c r="T15" i="3"/>
  <c r="U15" i="3"/>
  <c r="V15" i="3"/>
  <c r="R16" i="3"/>
  <c r="S16" i="3"/>
  <c r="T16" i="3"/>
  <c r="U16" i="3"/>
  <c r="V16" i="3"/>
  <c r="R17" i="3"/>
  <c r="S17" i="3"/>
  <c r="T17" i="3"/>
  <c r="U17" i="3"/>
  <c r="V17" i="3"/>
  <c r="R18" i="3"/>
  <c r="S18" i="3"/>
  <c r="T18" i="3"/>
  <c r="U18" i="3"/>
  <c r="V18" i="3"/>
  <c r="R19" i="3"/>
  <c r="S19" i="3"/>
  <c r="T19" i="3"/>
  <c r="U19" i="3"/>
  <c r="V19" i="3"/>
  <c r="R20" i="3"/>
  <c r="S20" i="3"/>
  <c r="T20" i="3"/>
  <c r="U20" i="3"/>
  <c r="V20" i="3"/>
  <c r="R21" i="3"/>
  <c r="S21" i="3"/>
  <c r="T21" i="3"/>
  <c r="U21" i="3"/>
  <c r="V21" i="3"/>
  <c r="R22" i="3"/>
  <c r="S22" i="3"/>
  <c r="T22" i="3"/>
  <c r="U22" i="3"/>
  <c r="V22" i="3"/>
  <c r="R23" i="3"/>
  <c r="S23" i="3"/>
  <c r="T23" i="3"/>
  <c r="U23" i="3"/>
  <c r="V23" i="3"/>
  <c r="R24" i="3"/>
  <c r="S24" i="3"/>
  <c r="T24" i="3"/>
  <c r="U24" i="3"/>
  <c r="V24" i="3"/>
  <c r="R25" i="3"/>
  <c r="S25" i="3"/>
  <c r="T25" i="3"/>
  <c r="U25" i="3"/>
  <c r="V25" i="3"/>
  <c r="R26" i="3"/>
  <c r="S26" i="3"/>
  <c r="T26" i="3"/>
  <c r="U26" i="3"/>
  <c r="V26" i="3"/>
  <c r="R27" i="3"/>
  <c r="S27" i="3"/>
  <c r="T27" i="3"/>
  <c r="U27" i="3"/>
  <c r="V27" i="3"/>
  <c r="R28" i="3"/>
  <c r="S28" i="3"/>
  <c r="T28" i="3"/>
  <c r="U28" i="3"/>
  <c r="V28" i="3"/>
  <c r="R29" i="3"/>
  <c r="S29" i="3"/>
  <c r="T29" i="3"/>
  <c r="U29" i="3"/>
  <c r="V29" i="3"/>
  <c r="R30" i="3"/>
  <c r="S30" i="3"/>
  <c r="T30" i="3"/>
  <c r="U30" i="3"/>
  <c r="V30" i="3"/>
  <c r="R31" i="3"/>
  <c r="S31" i="3"/>
  <c r="T31" i="3"/>
  <c r="U31" i="3"/>
  <c r="V31" i="3"/>
  <c r="R32" i="3"/>
  <c r="S32" i="3"/>
  <c r="T32" i="3"/>
  <c r="U32" i="3"/>
  <c r="V32" i="3"/>
  <c r="R33" i="3"/>
  <c r="S33" i="3"/>
  <c r="T33" i="3"/>
  <c r="U33" i="3"/>
  <c r="V33" i="3"/>
  <c r="R34" i="3"/>
  <c r="S34" i="3"/>
  <c r="T34" i="3"/>
  <c r="U34" i="3"/>
  <c r="V34" i="3"/>
  <c r="R35" i="3"/>
  <c r="S35" i="3"/>
  <c r="T35" i="3"/>
  <c r="U35" i="3"/>
  <c r="V35" i="3"/>
  <c r="R36" i="3"/>
  <c r="S36" i="3"/>
  <c r="T36" i="3"/>
  <c r="U36" i="3"/>
  <c r="V36" i="3"/>
  <c r="R37" i="3"/>
  <c r="S37" i="3"/>
  <c r="T37" i="3"/>
  <c r="U37" i="3"/>
  <c r="V37" i="3"/>
  <c r="R38" i="3"/>
  <c r="S38" i="3"/>
  <c r="T38" i="3"/>
  <c r="U38" i="3"/>
  <c r="V38" i="3"/>
  <c r="R39" i="3"/>
  <c r="S39" i="3"/>
  <c r="T39" i="3"/>
  <c r="U39" i="3"/>
  <c r="V39" i="3"/>
  <c r="R40" i="3"/>
  <c r="S40" i="3"/>
  <c r="T40" i="3"/>
  <c r="U40" i="3"/>
  <c r="V40" i="3"/>
  <c r="R41" i="3"/>
  <c r="S41" i="3"/>
  <c r="T41" i="3"/>
  <c r="U41" i="3"/>
  <c r="V41" i="3"/>
  <c r="R42" i="3"/>
  <c r="S42" i="3"/>
  <c r="T42" i="3"/>
  <c r="U42" i="3"/>
  <c r="V42" i="3"/>
  <c r="R43" i="3"/>
  <c r="S43" i="3"/>
  <c r="T43" i="3"/>
  <c r="U43" i="3"/>
  <c r="V43" i="3"/>
  <c r="R44" i="3"/>
  <c r="S44" i="3"/>
  <c r="T44" i="3"/>
  <c r="U44" i="3"/>
  <c r="V44" i="3"/>
  <c r="R45" i="3"/>
  <c r="S45" i="3"/>
  <c r="T45" i="3"/>
  <c r="U45" i="3"/>
  <c r="V45" i="3"/>
  <c r="R46" i="3"/>
  <c r="S46" i="3"/>
  <c r="T46" i="3"/>
  <c r="U46" i="3"/>
  <c r="V46" i="3"/>
  <c r="R47" i="3"/>
  <c r="S47" i="3"/>
  <c r="T47" i="3"/>
  <c r="U47" i="3"/>
  <c r="V47" i="3"/>
  <c r="R48" i="3"/>
  <c r="S48" i="3"/>
  <c r="T48" i="3"/>
  <c r="U48" i="3"/>
  <c r="V48" i="3"/>
  <c r="R49" i="3"/>
  <c r="S49" i="3"/>
  <c r="T49" i="3"/>
  <c r="U49" i="3"/>
  <c r="V49" i="3"/>
  <c r="R50" i="3"/>
  <c r="S50" i="3"/>
  <c r="T50" i="3"/>
  <c r="U50" i="3"/>
  <c r="V50" i="3"/>
  <c r="R51" i="3"/>
  <c r="S51" i="3"/>
  <c r="T51" i="3"/>
  <c r="U51" i="3"/>
  <c r="V51" i="3"/>
  <c r="R52" i="3"/>
  <c r="S52" i="3"/>
  <c r="T52" i="3"/>
  <c r="U52" i="3"/>
  <c r="V52" i="3"/>
  <c r="R53" i="3"/>
  <c r="S53" i="3"/>
  <c r="T53" i="3"/>
  <c r="U53" i="3"/>
  <c r="V53" i="3"/>
  <c r="R54" i="3"/>
  <c r="S54" i="3"/>
  <c r="T54" i="3"/>
  <c r="U54" i="3"/>
  <c r="V54" i="3"/>
  <c r="R55" i="3"/>
  <c r="S55" i="3"/>
  <c r="T55" i="3"/>
  <c r="U55" i="3"/>
  <c r="V55" i="3"/>
  <c r="R56" i="3"/>
  <c r="S56" i="3"/>
  <c r="T56" i="3"/>
  <c r="U56" i="3"/>
  <c r="V56" i="3"/>
  <c r="R57" i="3"/>
  <c r="S57" i="3"/>
  <c r="T57" i="3"/>
  <c r="U57" i="3"/>
  <c r="V57" i="3"/>
  <c r="R58" i="3"/>
  <c r="S58" i="3"/>
  <c r="T58" i="3"/>
  <c r="U58" i="3"/>
  <c r="V58" i="3"/>
  <c r="R59" i="3"/>
  <c r="S59" i="3"/>
  <c r="T59" i="3"/>
  <c r="U59" i="3"/>
  <c r="V59" i="3"/>
  <c r="R60" i="3"/>
  <c r="S60" i="3"/>
  <c r="T60" i="3"/>
  <c r="U60" i="3"/>
  <c r="V60" i="3"/>
  <c r="R61" i="3"/>
  <c r="S61" i="3"/>
  <c r="T61" i="3"/>
  <c r="U61" i="3"/>
  <c r="V61" i="3"/>
  <c r="R62" i="3"/>
  <c r="S62" i="3"/>
  <c r="T62" i="3"/>
  <c r="U62" i="3"/>
  <c r="V62" i="3"/>
  <c r="R63" i="3"/>
  <c r="S63" i="3"/>
  <c r="T63" i="3"/>
  <c r="U63" i="3"/>
  <c r="V63" i="3"/>
  <c r="R64" i="3"/>
  <c r="S64" i="3"/>
  <c r="T64" i="3"/>
  <c r="U64" i="3"/>
  <c r="V64" i="3"/>
  <c r="R65" i="3"/>
  <c r="S65" i="3"/>
  <c r="T65" i="3"/>
  <c r="U65" i="3"/>
  <c r="V65" i="3"/>
  <c r="R66" i="3"/>
  <c r="S66" i="3"/>
  <c r="T66" i="3"/>
  <c r="U66" i="3"/>
  <c r="V66" i="3"/>
  <c r="R67" i="3"/>
  <c r="S67" i="3"/>
  <c r="T67" i="3"/>
  <c r="U67" i="3"/>
  <c r="V67" i="3"/>
  <c r="R68" i="3"/>
  <c r="S68" i="3"/>
  <c r="T68" i="3"/>
  <c r="U68" i="3"/>
  <c r="V68" i="3"/>
  <c r="R69" i="3"/>
  <c r="S69" i="3"/>
  <c r="T69" i="3"/>
  <c r="U69" i="3"/>
  <c r="V69" i="3"/>
  <c r="R70" i="3"/>
  <c r="S70" i="3"/>
  <c r="T70" i="3"/>
  <c r="U70" i="3"/>
  <c r="V70" i="3"/>
  <c r="R71" i="3"/>
  <c r="S71" i="3"/>
  <c r="T71" i="3"/>
  <c r="U71" i="3"/>
  <c r="V71" i="3"/>
  <c r="R72" i="3"/>
  <c r="S72" i="3"/>
  <c r="T72" i="3"/>
  <c r="U72" i="3"/>
  <c r="V72" i="3"/>
  <c r="R73" i="3"/>
  <c r="S73" i="3"/>
  <c r="T73" i="3"/>
  <c r="U73" i="3"/>
  <c r="V73" i="3"/>
  <c r="R74" i="3"/>
  <c r="S74" i="3"/>
  <c r="T74" i="3"/>
  <c r="U74" i="3"/>
  <c r="V74" i="3"/>
  <c r="R75" i="3"/>
  <c r="S75" i="3"/>
  <c r="T75" i="3"/>
  <c r="U75" i="3"/>
  <c r="V75" i="3"/>
  <c r="R76" i="3"/>
  <c r="S76" i="3"/>
  <c r="T76" i="3"/>
  <c r="U76" i="3"/>
  <c r="V76" i="3"/>
  <c r="R77" i="3"/>
  <c r="S77" i="3"/>
  <c r="T77" i="3"/>
  <c r="U77" i="3"/>
  <c r="V77" i="3"/>
  <c r="R78" i="3"/>
  <c r="S78" i="3"/>
  <c r="T78" i="3"/>
  <c r="U78" i="3"/>
  <c r="V78" i="3"/>
  <c r="R79" i="3"/>
  <c r="S79" i="3"/>
  <c r="T79" i="3"/>
  <c r="U79" i="3"/>
  <c r="V79" i="3"/>
  <c r="R80" i="3"/>
  <c r="S80" i="3"/>
  <c r="T80" i="3"/>
  <c r="U80" i="3"/>
  <c r="V80" i="3"/>
  <c r="R81" i="3"/>
  <c r="S81" i="3"/>
  <c r="T81" i="3"/>
  <c r="U81" i="3"/>
  <c r="V81" i="3"/>
  <c r="R82" i="3"/>
  <c r="S82" i="3"/>
  <c r="T82" i="3"/>
  <c r="U82" i="3"/>
  <c r="V82" i="3"/>
  <c r="R83" i="3"/>
  <c r="S83" i="3"/>
  <c r="T83" i="3"/>
  <c r="U83" i="3"/>
  <c r="V83" i="3"/>
  <c r="R84" i="3"/>
  <c r="S84" i="3"/>
  <c r="T84" i="3"/>
  <c r="U84" i="3"/>
  <c r="V84" i="3"/>
  <c r="R85" i="3"/>
  <c r="S85" i="3"/>
  <c r="T85" i="3"/>
  <c r="U85" i="3"/>
  <c r="V85" i="3"/>
  <c r="R86" i="3"/>
  <c r="S86" i="3"/>
  <c r="T86" i="3"/>
  <c r="U86" i="3"/>
  <c r="V86" i="3"/>
  <c r="R87" i="3"/>
  <c r="S87" i="3"/>
  <c r="T87" i="3"/>
  <c r="U87" i="3"/>
  <c r="V87" i="3"/>
  <c r="R88" i="3"/>
  <c r="S88" i="3"/>
  <c r="T88" i="3"/>
  <c r="U88" i="3"/>
  <c r="V88" i="3"/>
  <c r="R89" i="3"/>
  <c r="S89" i="3"/>
  <c r="T89" i="3"/>
  <c r="U89" i="3"/>
  <c r="V89" i="3"/>
  <c r="R90" i="3"/>
  <c r="S90" i="3"/>
  <c r="T90" i="3"/>
  <c r="U90" i="3"/>
  <c r="V90" i="3"/>
  <c r="R91" i="3"/>
  <c r="S91" i="3"/>
  <c r="T91" i="3"/>
  <c r="U91" i="3"/>
  <c r="V91" i="3"/>
  <c r="R92" i="3"/>
  <c r="S92" i="3"/>
  <c r="T92" i="3"/>
  <c r="U92" i="3"/>
  <c r="V92" i="3"/>
  <c r="R93" i="3"/>
  <c r="S93" i="3"/>
  <c r="T93" i="3"/>
  <c r="U93" i="3"/>
  <c r="V93" i="3"/>
  <c r="R94" i="3"/>
  <c r="S94" i="3"/>
  <c r="T94" i="3"/>
  <c r="U94" i="3"/>
  <c r="V94" i="3"/>
  <c r="R95" i="3"/>
  <c r="S95" i="3"/>
  <c r="T95" i="3"/>
  <c r="U95" i="3"/>
  <c r="V95" i="3"/>
  <c r="R96" i="3"/>
  <c r="S96" i="3"/>
  <c r="T96" i="3"/>
  <c r="U96" i="3"/>
  <c r="V96" i="3"/>
  <c r="R97" i="3"/>
  <c r="S97" i="3"/>
  <c r="T97" i="3"/>
  <c r="U97" i="3"/>
  <c r="V97" i="3"/>
  <c r="R98" i="3"/>
  <c r="S98" i="3"/>
  <c r="T98" i="3"/>
  <c r="U98" i="3"/>
  <c r="V98" i="3"/>
  <c r="R99" i="3"/>
  <c r="S99" i="3"/>
  <c r="T99" i="3"/>
  <c r="U99" i="3"/>
  <c r="V99" i="3"/>
  <c r="R100" i="3"/>
  <c r="S100" i="3"/>
  <c r="T100" i="3"/>
  <c r="U100" i="3"/>
  <c r="V100" i="3"/>
  <c r="R101" i="3"/>
  <c r="S101" i="3"/>
  <c r="T101" i="3"/>
  <c r="U101" i="3"/>
  <c r="V101" i="3"/>
  <c r="R102" i="3"/>
  <c r="S102" i="3"/>
  <c r="T102" i="3"/>
  <c r="U102" i="3"/>
  <c r="V102" i="3"/>
  <c r="R103" i="3"/>
  <c r="S103" i="3"/>
  <c r="T103" i="3"/>
  <c r="U103" i="3"/>
  <c r="V103" i="3"/>
  <c r="R104" i="3"/>
  <c r="S104" i="3"/>
  <c r="T104" i="3"/>
  <c r="U104" i="3"/>
  <c r="V104" i="3"/>
  <c r="R105" i="3"/>
  <c r="S105" i="3"/>
  <c r="T105" i="3"/>
  <c r="U105" i="3"/>
  <c r="V105" i="3"/>
  <c r="R106" i="3"/>
  <c r="S106" i="3"/>
  <c r="T106" i="3"/>
  <c r="U106" i="3"/>
  <c r="V106" i="3"/>
  <c r="R107" i="3"/>
  <c r="S107" i="3"/>
  <c r="T107" i="3"/>
  <c r="U107" i="3"/>
  <c r="V107" i="3"/>
  <c r="R108" i="3"/>
  <c r="S108" i="3"/>
  <c r="T108" i="3"/>
  <c r="U108" i="3"/>
  <c r="V108" i="3"/>
  <c r="R109" i="3"/>
  <c r="S109" i="3"/>
  <c r="T109" i="3"/>
  <c r="U109" i="3"/>
  <c r="V109" i="3"/>
  <c r="R110" i="3"/>
  <c r="S110" i="3"/>
  <c r="T110" i="3"/>
  <c r="U110" i="3"/>
  <c r="V110" i="3"/>
  <c r="R111" i="3"/>
  <c r="S111" i="3"/>
  <c r="T111" i="3"/>
  <c r="U111" i="3"/>
  <c r="V111" i="3"/>
  <c r="R112" i="3"/>
  <c r="S112" i="3"/>
  <c r="T112" i="3"/>
  <c r="U112" i="3"/>
  <c r="V112" i="3"/>
  <c r="R113" i="3"/>
  <c r="S113" i="3"/>
  <c r="T113" i="3"/>
  <c r="U113" i="3"/>
  <c r="V113" i="3"/>
  <c r="R114" i="3"/>
  <c r="S114" i="3"/>
  <c r="T114" i="3"/>
  <c r="U114" i="3"/>
  <c r="V114" i="3"/>
  <c r="R115" i="3"/>
  <c r="S115" i="3"/>
  <c r="T115" i="3"/>
  <c r="U115" i="3"/>
  <c r="V115" i="3"/>
  <c r="R116" i="3"/>
  <c r="S116" i="3"/>
  <c r="T116" i="3"/>
  <c r="U116" i="3"/>
  <c r="V116" i="3"/>
  <c r="R117" i="3"/>
  <c r="S117" i="3"/>
  <c r="T117" i="3"/>
  <c r="U117" i="3"/>
  <c r="V117" i="3"/>
  <c r="R118" i="3"/>
  <c r="S118" i="3"/>
  <c r="T118" i="3"/>
  <c r="U118" i="3"/>
  <c r="V118" i="3"/>
  <c r="V2" i="3"/>
  <c r="U2" i="3"/>
  <c r="T2" i="3"/>
  <c r="S2" i="3"/>
  <c r="R2" i="3"/>
  <c r="T3" i="1"/>
  <c r="U3" i="1"/>
  <c r="V3" i="1"/>
  <c r="T4" i="1"/>
  <c r="U4" i="1"/>
  <c r="V4" i="1"/>
  <c r="T5" i="1"/>
  <c r="U5" i="1"/>
  <c r="V5" i="1"/>
  <c r="T6" i="1"/>
  <c r="U6" i="1"/>
  <c r="V6" i="1"/>
  <c r="T7" i="1"/>
  <c r="U7" i="1"/>
  <c r="V7" i="1"/>
  <c r="T8" i="1"/>
  <c r="U8" i="1"/>
  <c r="V8" i="1"/>
  <c r="T9" i="1"/>
  <c r="U9" i="1"/>
  <c r="V9" i="1"/>
  <c r="T10" i="1"/>
  <c r="U10" i="1"/>
  <c r="V10" i="1"/>
  <c r="T11" i="1"/>
  <c r="U11" i="1"/>
  <c r="V11" i="1"/>
  <c r="T12" i="1"/>
  <c r="U12" i="1"/>
  <c r="V12" i="1"/>
  <c r="T13" i="1"/>
  <c r="U13" i="1"/>
  <c r="V13" i="1"/>
  <c r="T14" i="1"/>
  <c r="U14" i="1"/>
  <c r="V14" i="1"/>
  <c r="T15" i="1"/>
  <c r="U15" i="1"/>
  <c r="V15" i="1"/>
  <c r="T16" i="1"/>
  <c r="U16" i="1"/>
  <c r="V16" i="1"/>
  <c r="T17" i="1"/>
  <c r="U17" i="1"/>
  <c r="V17" i="1"/>
  <c r="T18" i="1"/>
  <c r="U18" i="1"/>
  <c r="V18" i="1"/>
  <c r="T19" i="1"/>
  <c r="U19" i="1"/>
  <c r="V19" i="1"/>
  <c r="T20" i="1"/>
  <c r="U20" i="1"/>
  <c r="V20" i="1"/>
  <c r="T21" i="1"/>
  <c r="U21" i="1"/>
  <c r="V21" i="1"/>
  <c r="T22" i="1"/>
  <c r="U22" i="1"/>
  <c r="V22" i="1"/>
  <c r="T23" i="1"/>
  <c r="U23" i="1"/>
  <c r="V23" i="1"/>
  <c r="T24" i="1"/>
  <c r="U24" i="1"/>
  <c r="V24" i="1"/>
  <c r="T25" i="1"/>
  <c r="U25" i="1"/>
  <c r="V25" i="1"/>
  <c r="T26" i="1"/>
  <c r="U26" i="1"/>
  <c r="V26" i="1"/>
  <c r="T27" i="1"/>
  <c r="U27" i="1"/>
  <c r="V27" i="1"/>
  <c r="T28" i="1"/>
  <c r="U28" i="1"/>
  <c r="V28" i="1"/>
  <c r="T29" i="1"/>
  <c r="U29" i="1"/>
  <c r="V29" i="1"/>
  <c r="T30" i="1"/>
  <c r="U30" i="1"/>
  <c r="V30" i="1"/>
  <c r="T31" i="1"/>
  <c r="U31" i="1"/>
  <c r="V31" i="1"/>
  <c r="T32" i="1"/>
  <c r="U32" i="1"/>
  <c r="V32" i="1"/>
  <c r="T33" i="1"/>
  <c r="U33" i="1"/>
  <c r="V33" i="1"/>
  <c r="T34" i="1"/>
  <c r="U34" i="1"/>
  <c r="V34" i="1"/>
  <c r="T35" i="1"/>
  <c r="U35" i="1"/>
  <c r="V35" i="1"/>
  <c r="T36" i="1"/>
  <c r="U36" i="1"/>
  <c r="V36" i="1"/>
  <c r="T37" i="1"/>
  <c r="U37" i="1"/>
  <c r="V37" i="1"/>
  <c r="T38" i="1"/>
  <c r="U38" i="1"/>
  <c r="V38" i="1"/>
  <c r="T39" i="1"/>
  <c r="U39" i="1"/>
  <c r="V39" i="1"/>
  <c r="T40" i="1"/>
  <c r="U40" i="1"/>
  <c r="V40" i="1"/>
  <c r="T41" i="1"/>
  <c r="U41" i="1"/>
  <c r="V41" i="1"/>
  <c r="T42" i="1"/>
  <c r="U42" i="1"/>
  <c r="V42" i="1"/>
  <c r="T43" i="1"/>
  <c r="U43" i="1"/>
  <c r="V43" i="1"/>
  <c r="T44" i="1"/>
  <c r="U44" i="1"/>
  <c r="V44" i="1"/>
  <c r="T45" i="1"/>
  <c r="U45" i="1"/>
  <c r="V45" i="1"/>
  <c r="T46" i="1"/>
  <c r="U46" i="1"/>
  <c r="V46" i="1"/>
  <c r="T47" i="1"/>
  <c r="U47" i="1"/>
  <c r="V47" i="1"/>
  <c r="T48" i="1"/>
  <c r="U48" i="1"/>
  <c r="V48" i="1"/>
  <c r="T49" i="1"/>
  <c r="U49" i="1"/>
  <c r="V49" i="1"/>
  <c r="T50" i="1"/>
  <c r="U50" i="1"/>
  <c r="V50" i="1"/>
  <c r="T51" i="1"/>
  <c r="U51" i="1"/>
  <c r="V51" i="1"/>
  <c r="T52" i="1"/>
  <c r="U52" i="1"/>
  <c r="V52" i="1"/>
  <c r="T53" i="1"/>
  <c r="U53" i="1"/>
  <c r="V53" i="1"/>
  <c r="T54" i="1"/>
  <c r="U54" i="1"/>
  <c r="V54" i="1"/>
  <c r="T55" i="1"/>
  <c r="U55" i="1"/>
  <c r="V55" i="1"/>
  <c r="T56" i="1"/>
  <c r="U56" i="1"/>
  <c r="V56" i="1"/>
  <c r="T57" i="1"/>
  <c r="U57" i="1"/>
  <c r="V57" i="1"/>
  <c r="T58" i="1"/>
  <c r="U58" i="1"/>
  <c r="V58" i="1"/>
  <c r="T59" i="1"/>
  <c r="U59" i="1"/>
  <c r="V59" i="1"/>
  <c r="T60" i="1"/>
  <c r="U60" i="1"/>
  <c r="V60" i="1"/>
  <c r="T61" i="1"/>
  <c r="U61" i="1"/>
  <c r="V61" i="1"/>
  <c r="T62" i="1"/>
  <c r="U62" i="1"/>
  <c r="V62" i="1"/>
  <c r="T63" i="1"/>
  <c r="U63" i="1"/>
  <c r="V63" i="1"/>
  <c r="T64" i="1"/>
  <c r="U64" i="1"/>
  <c r="V64" i="1"/>
  <c r="T65" i="1"/>
  <c r="U65" i="1"/>
  <c r="V65" i="1"/>
  <c r="T66" i="1"/>
  <c r="U66" i="1"/>
  <c r="V66" i="1"/>
  <c r="T67" i="1"/>
  <c r="U67" i="1"/>
  <c r="V67" i="1"/>
  <c r="T68" i="1"/>
  <c r="U68" i="1"/>
  <c r="V68" i="1"/>
  <c r="T69" i="1"/>
  <c r="U69" i="1"/>
  <c r="V69" i="1"/>
  <c r="T70" i="1"/>
  <c r="U70" i="1"/>
  <c r="V70" i="1"/>
  <c r="T71" i="1"/>
  <c r="U71" i="1"/>
  <c r="V71" i="1"/>
  <c r="T72" i="1"/>
  <c r="U72" i="1"/>
  <c r="V72" i="1"/>
  <c r="T73" i="1"/>
  <c r="U73" i="1"/>
  <c r="V73" i="1"/>
  <c r="T74" i="1"/>
  <c r="U74" i="1"/>
  <c r="V74" i="1"/>
  <c r="T75" i="1"/>
  <c r="U75" i="1"/>
  <c r="V75" i="1"/>
  <c r="T76" i="1"/>
  <c r="U76" i="1"/>
  <c r="V76" i="1"/>
  <c r="T77" i="1"/>
  <c r="U77" i="1"/>
  <c r="V77" i="1"/>
  <c r="T78" i="1"/>
  <c r="U78" i="1"/>
  <c r="V78" i="1"/>
  <c r="T79" i="1"/>
  <c r="U79" i="1"/>
  <c r="V79" i="1"/>
  <c r="T80" i="1"/>
  <c r="U80" i="1"/>
  <c r="V80" i="1"/>
  <c r="T81" i="1"/>
  <c r="U81" i="1"/>
  <c r="V81" i="1"/>
  <c r="T82" i="1"/>
  <c r="U82" i="1"/>
  <c r="V82" i="1"/>
  <c r="T83" i="1"/>
  <c r="U83" i="1"/>
  <c r="V83" i="1"/>
  <c r="T84" i="1"/>
  <c r="U84" i="1"/>
  <c r="V84" i="1"/>
  <c r="T85" i="1"/>
  <c r="U85" i="1"/>
  <c r="V85" i="1"/>
  <c r="T86" i="1"/>
  <c r="U86" i="1"/>
  <c r="V86" i="1"/>
  <c r="T87" i="1"/>
  <c r="U87" i="1"/>
  <c r="V87" i="1"/>
  <c r="T88" i="1"/>
  <c r="U88" i="1"/>
  <c r="V88" i="1"/>
  <c r="T89" i="1"/>
  <c r="U89" i="1"/>
  <c r="V89" i="1"/>
  <c r="T90" i="1"/>
  <c r="U90" i="1"/>
  <c r="V90" i="1"/>
  <c r="T91" i="1"/>
  <c r="U91" i="1"/>
  <c r="V91" i="1"/>
  <c r="T92" i="1"/>
  <c r="U92" i="1"/>
  <c r="V92" i="1"/>
  <c r="T93" i="1"/>
  <c r="U93" i="1"/>
  <c r="V93" i="1"/>
  <c r="T94" i="1"/>
  <c r="U94" i="1"/>
  <c r="V94" i="1"/>
  <c r="T95" i="1"/>
  <c r="U95" i="1"/>
  <c r="V95" i="1"/>
  <c r="T96" i="1"/>
  <c r="U96" i="1"/>
  <c r="V96" i="1"/>
  <c r="T97" i="1"/>
  <c r="U97" i="1"/>
  <c r="V97" i="1"/>
  <c r="T98" i="1"/>
  <c r="U98" i="1"/>
  <c r="V98" i="1"/>
  <c r="T99" i="1"/>
  <c r="U99" i="1"/>
  <c r="V99" i="1"/>
  <c r="T100" i="1"/>
  <c r="U100" i="1"/>
  <c r="V100" i="1"/>
  <c r="T101" i="1"/>
  <c r="U101" i="1"/>
  <c r="V101" i="1"/>
  <c r="T102" i="1"/>
  <c r="U102" i="1"/>
  <c r="V102" i="1"/>
  <c r="T103" i="1"/>
  <c r="U103" i="1"/>
  <c r="V103" i="1"/>
  <c r="T104" i="1"/>
  <c r="U104" i="1"/>
  <c r="V104" i="1"/>
  <c r="T105" i="1"/>
  <c r="U105" i="1"/>
  <c r="V105" i="1"/>
  <c r="T106" i="1"/>
  <c r="U106" i="1"/>
  <c r="V106" i="1"/>
  <c r="T107" i="1"/>
  <c r="U107" i="1"/>
  <c r="V107" i="1"/>
  <c r="T108" i="1"/>
  <c r="U108" i="1"/>
  <c r="V108" i="1"/>
  <c r="T109" i="1"/>
  <c r="U109" i="1"/>
  <c r="V109" i="1"/>
  <c r="T110" i="1"/>
  <c r="U110" i="1"/>
  <c r="V110" i="1"/>
  <c r="T111" i="1"/>
  <c r="U111" i="1"/>
  <c r="V111" i="1"/>
  <c r="T112" i="1"/>
  <c r="U112" i="1"/>
  <c r="V112" i="1"/>
  <c r="T113" i="1"/>
  <c r="U113" i="1"/>
  <c r="V113" i="1"/>
  <c r="T114" i="1"/>
  <c r="U114" i="1"/>
  <c r="V114" i="1"/>
  <c r="T115" i="1"/>
  <c r="U115" i="1"/>
  <c r="V115" i="1"/>
  <c r="T116" i="1"/>
  <c r="U116" i="1"/>
  <c r="V116" i="1"/>
  <c r="T117" i="1"/>
  <c r="U117" i="1"/>
  <c r="V117" i="1"/>
  <c r="T118" i="1"/>
  <c r="U118" i="1"/>
  <c r="V118" i="1"/>
  <c r="T3" i="2"/>
  <c r="U3" i="2"/>
  <c r="V3" i="2"/>
  <c r="T4" i="2"/>
  <c r="U4" i="2"/>
  <c r="V4" i="2"/>
  <c r="T5" i="2"/>
  <c r="U5" i="2"/>
  <c r="V5" i="2"/>
  <c r="T6" i="2"/>
  <c r="U6" i="2"/>
  <c r="V6" i="2"/>
  <c r="T7" i="2"/>
  <c r="U7" i="2"/>
  <c r="V7" i="2"/>
  <c r="T8" i="2"/>
  <c r="U8" i="2"/>
  <c r="V8" i="2"/>
  <c r="T9" i="2"/>
  <c r="U9" i="2"/>
  <c r="V9" i="2"/>
  <c r="T10" i="2"/>
  <c r="U10" i="2"/>
  <c r="V10" i="2"/>
  <c r="T11" i="2"/>
  <c r="U11" i="2"/>
  <c r="V11" i="2"/>
  <c r="T12" i="2"/>
  <c r="U12" i="2"/>
  <c r="V12" i="2"/>
  <c r="T13" i="2"/>
  <c r="U13" i="2"/>
  <c r="V13" i="2"/>
  <c r="T14" i="2"/>
  <c r="U14" i="2"/>
  <c r="V14" i="2"/>
  <c r="T15" i="2"/>
  <c r="U15" i="2"/>
  <c r="V15" i="2"/>
  <c r="T16" i="2"/>
  <c r="U16" i="2"/>
  <c r="V16" i="2"/>
  <c r="T17" i="2"/>
  <c r="U17" i="2"/>
  <c r="V17" i="2"/>
  <c r="T18" i="2"/>
  <c r="U18" i="2"/>
  <c r="V18" i="2"/>
  <c r="T19" i="2"/>
  <c r="U19" i="2"/>
  <c r="V19" i="2"/>
  <c r="T20" i="2"/>
  <c r="U20" i="2"/>
  <c r="V20" i="2"/>
  <c r="T21" i="2"/>
  <c r="U21" i="2"/>
  <c r="V21" i="2"/>
  <c r="T22" i="2"/>
  <c r="U22" i="2"/>
  <c r="V22" i="2"/>
  <c r="T23" i="2"/>
  <c r="U23" i="2"/>
  <c r="V23" i="2"/>
  <c r="T24" i="2"/>
  <c r="U24" i="2"/>
  <c r="V24" i="2"/>
  <c r="T25" i="2"/>
  <c r="U25" i="2"/>
  <c r="V25" i="2"/>
  <c r="T26" i="2"/>
  <c r="U26" i="2"/>
  <c r="V26" i="2"/>
  <c r="T27" i="2"/>
  <c r="U27" i="2"/>
  <c r="V27" i="2"/>
  <c r="T28" i="2"/>
  <c r="U28" i="2"/>
  <c r="V28" i="2"/>
  <c r="T29" i="2"/>
  <c r="U29" i="2"/>
  <c r="V29" i="2"/>
  <c r="T30" i="2"/>
  <c r="U30" i="2"/>
  <c r="V30" i="2"/>
  <c r="T31" i="2"/>
  <c r="U31" i="2"/>
  <c r="V31" i="2"/>
  <c r="T32" i="2"/>
  <c r="U32" i="2"/>
  <c r="V32" i="2"/>
  <c r="T33" i="2"/>
  <c r="U33" i="2"/>
  <c r="V33" i="2"/>
  <c r="T34" i="2"/>
  <c r="U34" i="2"/>
  <c r="V34" i="2"/>
  <c r="T35" i="2"/>
  <c r="U35" i="2"/>
  <c r="V35" i="2"/>
  <c r="T36" i="2"/>
  <c r="U36" i="2"/>
  <c r="V36" i="2"/>
  <c r="T37" i="2"/>
  <c r="U37" i="2"/>
  <c r="V37" i="2"/>
  <c r="T38" i="2"/>
  <c r="U38" i="2"/>
  <c r="V38" i="2"/>
  <c r="T39" i="2"/>
  <c r="U39" i="2"/>
  <c r="V39" i="2"/>
  <c r="T40" i="2"/>
  <c r="U40" i="2"/>
  <c r="V40" i="2"/>
  <c r="T41" i="2"/>
  <c r="U41" i="2"/>
  <c r="V41" i="2"/>
  <c r="T42" i="2"/>
  <c r="U42" i="2"/>
  <c r="V42" i="2"/>
  <c r="T43" i="2"/>
  <c r="U43" i="2"/>
  <c r="V43" i="2"/>
  <c r="T44" i="2"/>
  <c r="U44" i="2"/>
  <c r="V44" i="2"/>
  <c r="T45" i="2"/>
  <c r="U45" i="2"/>
  <c r="V45" i="2"/>
  <c r="T46" i="2"/>
  <c r="U46" i="2"/>
  <c r="V46" i="2"/>
  <c r="T47" i="2"/>
  <c r="U47" i="2"/>
  <c r="V47" i="2"/>
  <c r="T48" i="2"/>
  <c r="U48" i="2"/>
  <c r="V48" i="2"/>
  <c r="T49" i="2"/>
  <c r="U49" i="2"/>
  <c r="V49" i="2"/>
  <c r="T50" i="2"/>
  <c r="U50" i="2"/>
  <c r="V50" i="2"/>
  <c r="T51" i="2"/>
  <c r="U51" i="2"/>
  <c r="V51" i="2"/>
  <c r="T52" i="2"/>
  <c r="U52" i="2"/>
  <c r="V52" i="2"/>
  <c r="T53" i="2"/>
  <c r="U53" i="2"/>
  <c r="V53" i="2"/>
  <c r="T54" i="2"/>
  <c r="U54" i="2"/>
  <c r="V54" i="2"/>
  <c r="T55" i="2"/>
  <c r="U55" i="2"/>
  <c r="V55" i="2"/>
  <c r="T56" i="2"/>
  <c r="U56" i="2"/>
  <c r="V56" i="2"/>
  <c r="T57" i="2"/>
  <c r="U57" i="2"/>
  <c r="V57" i="2"/>
  <c r="T58" i="2"/>
  <c r="U58" i="2"/>
  <c r="V58" i="2"/>
  <c r="T59" i="2"/>
  <c r="U59" i="2"/>
  <c r="V59" i="2"/>
  <c r="T60" i="2"/>
  <c r="U60" i="2"/>
  <c r="V60" i="2"/>
  <c r="T61" i="2"/>
  <c r="U61" i="2"/>
  <c r="V61" i="2"/>
  <c r="T62" i="2"/>
  <c r="U62" i="2"/>
  <c r="V62" i="2"/>
  <c r="T63" i="2"/>
  <c r="U63" i="2"/>
  <c r="V63" i="2"/>
  <c r="T64" i="2"/>
  <c r="U64" i="2"/>
  <c r="V64" i="2"/>
  <c r="T65" i="2"/>
  <c r="U65" i="2"/>
  <c r="V65" i="2"/>
  <c r="T66" i="2"/>
  <c r="U66" i="2"/>
  <c r="V66" i="2"/>
  <c r="T67" i="2"/>
  <c r="U67" i="2"/>
  <c r="V67" i="2"/>
  <c r="T68" i="2"/>
  <c r="U68" i="2"/>
  <c r="V68" i="2"/>
  <c r="T69" i="2"/>
  <c r="U69" i="2"/>
  <c r="V69" i="2"/>
  <c r="T70" i="2"/>
  <c r="U70" i="2"/>
  <c r="V70" i="2"/>
  <c r="T71" i="2"/>
  <c r="U71" i="2"/>
  <c r="V71" i="2"/>
  <c r="T72" i="2"/>
  <c r="U72" i="2"/>
  <c r="V72" i="2"/>
  <c r="T73" i="2"/>
  <c r="U73" i="2"/>
  <c r="V73" i="2"/>
  <c r="T74" i="2"/>
  <c r="U74" i="2"/>
  <c r="V74" i="2"/>
  <c r="T75" i="2"/>
  <c r="U75" i="2"/>
  <c r="V75" i="2"/>
  <c r="T76" i="2"/>
  <c r="U76" i="2"/>
  <c r="V76" i="2"/>
  <c r="T77" i="2"/>
  <c r="U77" i="2"/>
  <c r="V77" i="2"/>
  <c r="T78" i="2"/>
  <c r="U78" i="2"/>
  <c r="V78" i="2"/>
  <c r="T79" i="2"/>
  <c r="U79" i="2"/>
  <c r="V79" i="2"/>
  <c r="T80" i="2"/>
  <c r="U80" i="2"/>
  <c r="V80" i="2"/>
  <c r="T81" i="2"/>
  <c r="U81" i="2"/>
  <c r="V81" i="2"/>
  <c r="T82" i="2"/>
  <c r="U82" i="2"/>
  <c r="V82" i="2"/>
  <c r="T83" i="2"/>
  <c r="U83" i="2"/>
  <c r="V83" i="2"/>
  <c r="T84" i="2"/>
  <c r="U84" i="2"/>
  <c r="V84" i="2"/>
  <c r="T85" i="2"/>
  <c r="U85" i="2"/>
  <c r="V85" i="2"/>
  <c r="T86" i="2"/>
  <c r="U86" i="2"/>
  <c r="V86" i="2"/>
  <c r="T87" i="2"/>
  <c r="U87" i="2"/>
  <c r="V87" i="2"/>
  <c r="T88" i="2"/>
  <c r="U88" i="2"/>
  <c r="V88" i="2"/>
  <c r="T89" i="2"/>
  <c r="U89" i="2"/>
  <c r="V89" i="2"/>
  <c r="T90" i="2"/>
  <c r="U90" i="2"/>
  <c r="V90" i="2"/>
  <c r="T91" i="2"/>
  <c r="U91" i="2"/>
  <c r="V91" i="2"/>
  <c r="T92" i="2"/>
  <c r="U92" i="2"/>
  <c r="V92" i="2"/>
  <c r="T93" i="2"/>
  <c r="U93" i="2"/>
  <c r="V93" i="2"/>
  <c r="T94" i="2"/>
  <c r="U94" i="2"/>
  <c r="V94" i="2"/>
  <c r="T95" i="2"/>
  <c r="U95" i="2"/>
  <c r="V95" i="2"/>
  <c r="T96" i="2"/>
  <c r="U96" i="2"/>
  <c r="V96" i="2"/>
  <c r="T97" i="2"/>
  <c r="U97" i="2"/>
  <c r="V97" i="2"/>
  <c r="T98" i="2"/>
  <c r="U98" i="2"/>
  <c r="V98" i="2"/>
  <c r="T99" i="2"/>
  <c r="U99" i="2"/>
  <c r="V99" i="2"/>
  <c r="T100" i="2"/>
  <c r="U100" i="2"/>
  <c r="V100" i="2"/>
  <c r="T101" i="2"/>
  <c r="U101" i="2"/>
  <c r="V101" i="2"/>
  <c r="T102" i="2"/>
  <c r="U102" i="2"/>
  <c r="V102" i="2"/>
  <c r="T103" i="2"/>
  <c r="U103" i="2"/>
  <c r="V103" i="2"/>
  <c r="T104" i="2"/>
  <c r="U104" i="2"/>
  <c r="V104" i="2"/>
  <c r="T105" i="2"/>
  <c r="U105" i="2"/>
  <c r="V105" i="2"/>
  <c r="T106" i="2"/>
  <c r="U106" i="2"/>
  <c r="V106" i="2"/>
  <c r="T107" i="2"/>
  <c r="U107" i="2"/>
  <c r="V107" i="2"/>
  <c r="T108" i="2"/>
  <c r="U108" i="2"/>
  <c r="V108" i="2"/>
  <c r="T109" i="2"/>
  <c r="U109" i="2"/>
  <c r="V109" i="2"/>
  <c r="T110" i="2"/>
  <c r="U110" i="2"/>
  <c r="V110" i="2"/>
  <c r="T111" i="2"/>
  <c r="U111" i="2"/>
  <c r="V111" i="2"/>
  <c r="T112" i="2"/>
  <c r="U112" i="2"/>
  <c r="V112" i="2"/>
  <c r="T113" i="2"/>
  <c r="U113" i="2"/>
  <c r="V113" i="2"/>
  <c r="T114" i="2"/>
  <c r="U114" i="2"/>
  <c r="V114" i="2"/>
  <c r="T115" i="2"/>
  <c r="U115" i="2"/>
  <c r="V115" i="2"/>
  <c r="T116" i="2"/>
  <c r="U116" i="2"/>
  <c r="V116" i="2"/>
  <c r="T117" i="2"/>
  <c r="U117" i="2"/>
  <c r="V117" i="2"/>
  <c r="T118" i="2"/>
  <c r="U118" i="2"/>
  <c r="V118" i="2"/>
  <c r="V2" i="1"/>
  <c r="V2" i="2"/>
  <c r="U2" i="1"/>
  <c r="U2" i="2"/>
  <c r="T2" i="1"/>
  <c r="T2" i="2"/>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2" i="1"/>
  <c r="S2" i="2"/>
  <c r="R2" i="1"/>
  <c r="R2" i="2"/>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B23" i="5" l="1"/>
  <c r="U10" i="5"/>
  <c r="D17" i="5" s="1"/>
  <c r="D46" i="5" s="1"/>
  <c r="C12" i="4"/>
  <c r="C7" i="4"/>
  <c r="C5" i="9" s="1"/>
  <c r="C25" i="9" s="1"/>
  <c r="C9" i="4"/>
  <c r="C3" i="4"/>
  <c r="C10" i="4"/>
  <c r="C11" i="4"/>
  <c r="C4" i="4"/>
  <c r="C8" i="4"/>
  <c r="C13" i="4"/>
  <c r="B6" i="4"/>
  <c r="B6" i="7" s="1"/>
  <c r="B41" i="4"/>
  <c r="M45" i="5"/>
  <c r="C17" i="5"/>
  <c r="C20" i="5" s="1"/>
  <c r="B46" i="5"/>
  <c r="B16" i="6"/>
  <c r="B19" i="6" s="1"/>
  <c r="M42" i="6"/>
  <c r="M15" i="6"/>
  <c r="B33" i="4"/>
  <c r="B4" i="7"/>
  <c r="D2" i="4"/>
  <c r="C26" i="4"/>
  <c r="B52" i="5"/>
  <c r="D20" i="5"/>
  <c r="B29" i="5"/>
  <c r="T11" i="5"/>
  <c r="Q12" i="5" s="1"/>
  <c r="U9" i="6"/>
  <c r="C16" i="6" s="1"/>
  <c r="L28" i="6"/>
  <c r="M28" i="6" s="1"/>
  <c r="T10" i="6"/>
  <c r="Q11" i="6" s="1"/>
  <c r="B45" i="6" l="1"/>
  <c r="C6" i="4"/>
  <c r="C4" i="9"/>
  <c r="C5" i="4"/>
  <c r="C6" i="9"/>
  <c r="D4" i="4"/>
  <c r="D7" i="4"/>
  <c r="D5" i="9" s="1"/>
  <c r="D10" i="4"/>
  <c r="D12" i="4"/>
  <c r="D13" i="4"/>
  <c r="D9" i="4"/>
  <c r="D3" i="4"/>
  <c r="D47" i="4" s="1"/>
  <c r="D11" i="4"/>
  <c r="D8" i="4"/>
  <c r="B39" i="4"/>
  <c r="B42" i="4"/>
  <c r="B37" i="4"/>
  <c r="B3" i="7"/>
  <c r="B28" i="7" s="1"/>
  <c r="B35" i="4"/>
  <c r="B40" i="4"/>
  <c r="B38" i="4"/>
  <c r="B48" i="4"/>
  <c r="B32" i="4"/>
  <c r="B36" i="4"/>
  <c r="B5" i="4"/>
  <c r="B27" i="4" s="1"/>
  <c r="B47" i="4"/>
  <c r="C49" i="5"/>
  <c r="C21" i="5"/>
  <c r="C50" i="5" s="1"/>
  <c r="C46" i="5"/>
  <c r="B48" i="6"/>
  <c r="B20" i="6"/>
  <c r="M44" i="6"/>
  <c r="C42" i="4"/>
  <c r="C39" i="4"/>
  <c r="C40" i="4"/>
  <c r="C33" i="4"/>
  <c r="C4" i="7"/>
  <c r="E2" i="4"/>
  <c r="D26" i="4"/>
  <c r="C47" i="4"/>
  <c r="C48" i="4"/>
  <c r="C32" i="4"/>
  <c r="C1" i="4"/>
  <c r="C3" i="7"/>
  <c r="C37" i="4"/>
  <c r="C36" i="4"/>
  <c r="C41" i="4"/>
  <c r="C38" i="4"/>
  <c r="D49" i="5"/>
  <c r="D21" i="5"/>
  <c r="D50" i="5" s="1"/>
  <c r="U11" i="5"/>
  <c r="E17" i="5" s="1"/>
  <c r="T12" i="5"/>
  <c r="Q13" i="5" s="1"/>
  <c r="U10" i="6"/>
  <c r="D16" i="6" s="1"/>
  <c r="T11" i="6"/>
  <c r="Q12" i="6" s="1"/>
  <c r="C45" i="6"/>
  <c r="C19" i="6"/>
  <c r="D23" i="5" l="1"/>
  <c r="C23" i="5"/>
  <c r="C29" i="5" s="1"/>
  <c r="B22" i="6"/>
  <c r="B51" i="6" s="1"/>
  <c r="B49" i="6"/>
  <c r="D32" i="4"/>
  <c r="B34" i="4"/>
  <c r="D25" i="9"/>
  <c r="D48" i="4"/>
  <c r="C36" i="9"/>
  <c r="C37" i="9"/>
  <c r="D5" i="4"/>
  <c r="D34" i="4" s="1"/>
  <c r="D6" i="9"/>
  <c r="D6" i="4"/>
  <c r="D4" i="9"/>
  <c r="E4" i="4"/>
  <c r="E7" i="4"/>
  <c r="E5" i="9" s="1"/>
  <c r="E13" i="4"/>
  <c r="E12" i="4"/>
  <c r="E9" i="4"/>
  <c r="E3" i="4"/>
  <c r="E11" i="4"/>
  <c r="E10" i="4"/>
  <c r="E8" i="4"/>
  <c r="E4" i="9" s="1"/>
  <c r="D4" i="7"/>
  <c r="D36" i="4"/>
  <c r="D40" i="4"/>
  <c r="D33" i="4"/>
  <c r="D41" i="4"/>
  <c r="D37" i="4"/>
  <c r="B5" i="7"/>
  <c r="B20" i="7" s="1"/>
  <c r="B34" i="7"/>
  <c r="B33" i="7"/>
  <c r="D42" i="4"/>
  <c r="D3" i="7"/>
  <c r="D34" i="7" s="1"/>
  <c r="B25" i="7"/>
  <c r="D1" i="4"/>
  <c r="D39" i="4"/>
  <c r="B14" i="4"/>
  <c r="B43" i="4" s="1"/>
  <c r="B26" i="7"/>
  <c r="C52" i="5"/>
  <c r="U12" i="5"/>
  <c r="F17" i="5" s="1"/>
  <c r="D29" i="5"/>
  <c r="C1" i="7"/>
  <c r="C25" i="7"/>
  <c r="C33" i="7"/>
  <c r="C5" i="7"/>
  <c r="C34" i="7"/>
  <c r="C26" i="7"/>
  <c r="C34" i="4"/>
  <c r="C27" i="4"/>
  <c r="D38" i="4"/>
  <c r="F2" i="4"/>
  <c r="E26" i="4"/>
  <c r="C14" i="4"/>
  <c r="C35" i="4"/>
  <c r="C6" i="7"/>
  <c r="C28" i="7" s="1"/>
  <c r="E46" i="5"/>
  <c r="E20" i="5"/>
  <c r="F46" i="5"/>
  <c r="F20" i="5"/>
  <c r="T13" i="5"/>
  <c r="Q14" i="5" s="1"/>
  <c r="D52" i="5"/>
  <c r="U11" i="6"/>
  <c r="E16" i="6" s="1"/>
  <c r="C48" i="6"/>
  <c r="C20" i="6"/>
  <c r="C22" i="6" s="1"/>
  <c r="T12" i="6"/>
  <c r="Q13" i="6" s="1"/>
  <c r="D19" i="6"/>
  <c r="D45" i="6"/>
  <c r="B29" i="6" l="1"/>
  <c r="B7" i="7"/>
  <c r="B29" i="7" s="1"/>
  <c r="B27" i="7"/>
  <c r="E6" i="4"/>
  <c r="D37" i="9"/>
  <c r="D36" i="9"/>
  <c r="D1" i="7"/>
  <c r="E5" i="4"/>
  <c r="E6" i="9"/>
  <c r="C38" i="9"/>
  <c r="E25" i="9"/>
  <c r="F10" i="4"/>
  <c r="F4" i="4"/>
  <c r="F7" i="4"/>
  <c r="F5" i="9" s="1"/>
  <c r="F12" i="4"/>
  <c r="F9" i="4"/>
  <c r="F3" i="4"/>
  <c r="F8" i="4"/>
  <c r="F4" i="9" s="1"/>
  <c r="F11" i="4"/>
  <c r="F13" i="4"/>
  <c r="D25" i="7"/>
  <c r="D27" i="4"/>
  <c r="D26" i="7"/>
  <c r="D5" i="7"/>
  <c r="D20" i="7" s="1"/>
  <c r="D33" i="7"/>
  <c r="E41" i="4"/>
  <c r="E39" i="4"/>
  <c r="C20" i="7"/>
  <c r="C27" i="7"/>
  <c r="C7" i="7"/>
  <c r="E32" i="4"/>
  <c r="E47" i="4"/>
  <c r="E48" i="4"/>
  <c r="E1" i="4"/>
  <c r="E3" i="7"/>
  <c r="E42" i="4"/>
  <c r="E36" i="4"/>
  <c r="E33" i="4"/>
  <c r="E4" i="7"/>
  <c r="D14" i="4"/>
  <c r="D35" i="4"/>
  <c r="D6" i="7"/>
  <c r="D28" i="7" s="1"/>
  <c r="E37" i="4"/>
  <c r="E38" i="4"/>
  <c r="E40" i="4"/>
  <c r="G2" i="4"/>
  <c r="F26" i="4"/>
  <c r="C43" i="4"/>
  <c r="T14" i="5"/>
  <c r="Q15" i="5" s="1"/>
  <c r="U14" i="5"/>
  <c r="H17" i="5" s="1"/>
  <c r="F49" i="5"/>
  <c r="F21" i="5"/>
  <c r="F50" i="5" s="1"/>
  <c r="U13" i="5"/>
  <c r="G17" i="5" s="1"/>
  <c r="E49" i="5"/>
  <c r="E21" i="5"/>
  <c r="E50" i="5" s="1"/>
  <c r="U12" i="6"/>
  <c r="F16" i="6" s="1"/>
  <c r="D48" i="6"/>
  <c r="D20" i="6"/>
  <c r="D22" i="6" s="1"/>
  <c r="C49" i="6"/>
  <c r="E19" i="6"/>
  <c r="E45" i="6"/>
  <c r="T13" i="6"/>
  <c r="Q14" i="6" s="1"/>
  <c r="D38" i="9" l="1"/>
  <c r="E23" i="5"/>
  <c r="F23" i="5"/>
  <c r="F39" i="4"/>
  <c r="F42" i="4"/>
  <c r="F25" i="9"/>
  <c r="E37" i="9"/>
  <c r="E36" i="9"/>
  <c r="F37" i="4"/>
  <c r="G10" i="4"/>
  <c r="G13" i="4"/>
  <c r="G4" i="4"/>
  <c r="G7" i="4"/>
  <c r="G12" i="4"/>
  <c r="G9" i="4"/>
  <c r="G8" i="4"/>
  <c r="G4" i="9" s="1"/>
  <c r="G3" i="4"/>
  <c r="G11" i="4"/>
  <c r="F36" i="4"/>
  <c r="F6" i="4"/>
  <c r="F5" i="4"/>
  <c r="F6" i="9"/>
  <c r="D27" i="7"/>
  <c r="F41" i="4"/>
  <c r="E29" i="5"/>
  <c r="E26" i="7"/>
  <c r="F40" i="4"/>
  <c r="H2" i="4"/>
  <c r="G26" i="4"/>
  <c r="C29" i="7"/>
  <c r="D43" i="4"/>
  <c r="F33" i="4"/>
  <c r="F4" i="7"/>
  <c r="F38" i="4"/>
  <c r="E27" i="4"/>
  <c r="E34" i="4"/>
  <c r="E1" i="7"/>
  <c r="E33" i="7"/>
  <c r="E5" i="7"/>
  <c r="E25" i="7"/>
  <c r="E34" i="7"/>
  <c r="D7" i="7"/>
  <c r="F47" i="4"/>
  <c r="F32" i="4"/>
  <c r="F48" i="4"/>
  <c r="F1" i="4"/>
  <c r="F3" i="7"/>
  <c r="E14" i="4"/>
  <c r="E35" i="4"/>
  <c r="E6" i="7"/>
  <c r="E28" i="7" s="1"/>
  <c r="F52" i="5"/>
  <c r="G46" i="5"/>
  <c r="G20" i="5"/>
  <c r="H46" i="5"/>
  <c r="H20" i="5"/>
  <c r="E52" i="5"/>
  <c r="F29" i="5"/>
  <c r="T15" i="5"/>
  <c r="Q16" i="5" s="1"/>
  <c r="T14" i="6"/>
  <c r="Q15" i="6" s="1"/>
  <c r="E48" i="6"/>
  <c r="E20" i="6"/>
  <c r="E22" i="6" s="1"/>
  <c r="F19" i="6"/>
  <c r="F45" i="6"/>
  <c r="U13" i="6"/>
  <c r="G16" i="6" s="1"/>
  <c r="D49" i="6"/>
  <c r="C29" i="6"/>
  <c r="C51" i="6"/>
  <c r="E38" i="9" l="1"/>
  <c r="F37" i="9"/>
  <c r="F36" i="9"/>
  <c r="G6" i="4"/>
  <c r="G5" i="9"/>
  <c r="G25" i="9" s="1"/>
  <c r="H13" i="4"/>
  <c r="H10" i="4"/>
  <c r="H4" i="4"/>
  <c r="H7" i="4"/>
  <c r="H11" i="4"/>
  <c r="H12" i="4"/>
  <c r="H9" i="4"/>
  <c r="H3" i="4"/>
  <c r="H8" i="4"/>
  <c r="H4" i="9" s="1"/>
  <c r="G5" i="4"/>
  <c r="G6" i="9"/>
  <c r="F26" i="7"/>
  <c r="U15" i="5"/>
  <c r="I17" i="5" s="1"/>
  <c r="G41" i="4"/>
  <c r="D29" i="7"/>
  <c r="G36" i="4"/>
  <c r="G38" i="4"/>
  <c r="G37" i="4"/>
  <c r="G39" i="4"/>
  <c r="G32" i="4"/>
  <c r="G47" i="4"/>
  <c r="G48" i="4"/>
  <c r="G1" i="4"/>
  <c r="G3" i="7"/>
  <c r="E27" i="7"/>
  <c r="E7" i="7"/>
  <c r="E20" i="7"/>
  <c r="G40" i="4"/>
  <c r="F14" i="4"/>
  <c r="F35" i="4"/>
  <c r="F6" i="7"/>
  <c r="F28" i="7" s="1"/>
  <c r="F34" i="4"/>
  <c r="F27" i="4"/>
  <c r="I2" i="4"/>
  <c r="H26" i="4"/>
  <c r="G33" i="4"/>
  <c r="G4" i="7"/>
  <c r="G42" i="4"/>
  <c r="E43" i="4"/>
  <c r="F25" i="7"/>
  <c r="F5" i="7"/>
  <c r="F34" i="7"/>
  <c r="F33" i="7"/>
  <c r="F1" i="7"/>
  <c r="T16" i="5"/>
  <c r="Q17" i="5" s="1"/>
  <c r="I46" i="5"/>
  <c r="I20" i="5"/>
  <c r="H49" i="5"/>
  <c r="H21" i="5"/>
  <c r="H23" i="5" s="1"/>
  <c r="G49" i="5"/>
  <c r="G21" i="5"/>
  <c r="G50" i="5" s="1"/>
  <c r="G45" i="6"/>
  <c r="G19" i="6"/>
  <c r="E49" i="6"/>
  <c r="T15" i="6"/>
  <c r="Q16" i="6" s="1"/>
  <c r="F48" i="6"/>
  <c r="F20" i="6"/>
  <c r="F22" i="6" s="1"/>
  <c r="D29" i="6"/>
  <c r="D51" i="6"/>
  <c r="U14" i="6"/>
  <c r="H16" i="6" s="1"/>
  <c r="G23" i="5" l="1"/>
  <c r="I11" i="4"/>
  <c r="I13" i="4"/>
  <c r="I10" i="4"/>
  <c r="I4" i="4"/>
  <c r="I6" i="9" s="1"/>
  <c r="I7" i="4"/>
  <c r="I12" i="4"/>
  <c r="I9" i="4"/>
  <c r="I8" i="4"/>
  <c r="I4" i="9" s="1"/>
  <c r="I3" i="4"/>
  <c r="I5" i="4" s="1"/>
  <c r="G36" i="9"/>
  <c r="G37" i="9"/>
  <c r="H5" i="4"/>
  <c r="H6" i="9"/>
  <c r="H6" i="4"/>
  <c r="H5" i="9"/>
  <c r="H25" i="9" s="1"/>
  <c r="F38" i="9"/>
  <c r="G26" i="7"/>
  <c r="H39" i="4"/>
  <c r="H33" i="4"/>
  <c r="H4" i="7"/>
  <c r="G27" i="4"/>
  <c r="G34" i="4"/>
  <c r="H42" i="4"/>
  <c r="H40" i="4"/>
  <c r="F43" i="4"/>
  <c r="H37" i="4"/>
  <c r="H38" i="4"/>
  <c r="H48" i="4"/>
  <c r="H32" i="4"/>
  <c r="H47" i="4"/>
  <c r="H1" i="4"/>
  <c r="H3" i="7"/>
  <c r="G25" i="7"/>
  <c r="G5" i="7"/>
  <c r="G1" i="7"/>
  <c r="G33" i="7"/>
  <c r="G34" i="7"/>
  <c r="E29" i="7"/>
  <c r="H41" i="4"/>
  <c r="G14" i="4"/>
  <c r="G35" i="4"/>
  <c r="G6" i="7"/>
  <c r="G28" i="7" s="1"/>
  <c r="J2" i="4"/>
  <c r="I26" i="4"/>
  <c r="H36" i="4"/>
  <c r="F27" i="7"/>
  <c r="F20" i="7"/>
  <c r="F7" i="7"/>
  <c r="I49" i="5"/>
  <c r="I21" i="5"/>
  <c r="I23" i="5" s="1"/>
  <c r="G52" i="5"/>
  <c r="U16" i="5"/>
  <c r="J17" i="5" s="1"/>
  <c r="G29" i="5"/>
  <c r="H29" i="5"/>
  <c r="H50" i="5"/>
  <c r="H52" i="5" s="1"/>
  <c r="T17" i="5"/>
  <c r="Q18" i="5" s="1"/>
  <c r="T18" i="5" s="1"/>
  <c r="F49" i="6"/>
  <c r="U15" i="6"/>
  <c r="I16" i="6" s="1"/>
  <c r="H45" i="6"/>
  <c r="H19" i="6"/>
  <c r="E51" i="6"/>
  <c r="E29" i="6"/>
  <c r="T16" i="6"/>
  <c r="Q17" i="6" s="1"/>
  <c r="G48" i="6"/>
  <c r="G20" i="6"/>
  <c r="G22" i="6" s="1"/>
  <c r="H36" i="9" l="1"/>
  <c r="H37" i="9"/>
  <c r="J8" i="4"/>
  <c r="J4" i="9" s="1"/>
  <c r="J13" i="4"/>
  <c r="J10" i="4"/>
  <c r="J4" i="4"/>
  <c r="J6" i="9" s="1"/>
  <c r="J7" i="4"/>
  <c r="J12" i="4"/>
  <c r="J3" i="4"/>
  <c r="J5" i="4" s="1"/>
  <c r="J11" i="4"/>
  <c r="J9" i="4"/>
  <c r="G38" i="9"/>
  <c r="I6" i="4"/>
  <c r="I5" i="9"/>
  <c r="I25" i="9" s="1"/>
  <c r="I36" i="9"/>
  <c r="I37" i="9"/>
  <c r="U18" i="5"/>
  <c r="L17" i="5" s="1"/>
  <c r="L46" i="5" s="1"/>
  <c r="Q19" i="5"/>
  <c r="T19" i="5" s="1"/>
  <c r="U19" i="5" s="1"/>
  <c r="M17" i="5" s="1"/>
  <c r="U16" i="6"/>
  <c r="H26" i="7"/>
  <c r="I41" i="4"/>
  <c r="I33" i="4"/>
  <c r="I4" i="7"/>
  <c r="I42" i="4"/>
  <c r="I40" i="4"/>
  <c r="H25" i="7"/>
  <c r="H34" i="7"/>
  <c r="H33" i="7"/>
  <c r="H1" i="7"/>
  <c r="H5" i="7"/>
  <c r="I48" i="4"/>
  <c r="I32" i="4"/>
  <c r="I47" i="4"/>
  <c r="I1" i="4"/>
  <c r="I3" i="7"/>
  <c r="I38" i="4"/>
  <c r="I36" i="4"/>
  <c r="H14" i="4"/>
  <c r="H35" i="4"/>
  <c r="H6" i="7"/>
  <c r="H28" i="7" s="1"/>
  <c r="G20" i="7"/>
  <c r="G27" i="7"/>
  <c r="G7" i="7"/>
  <c r="K2" i="4"/>
  <c r="J26" i="4"/>
  <c r="I39" i="4"/>
  <c r="H34" i="4"/>
  <c r="H27" i="4"/>
  <c r="F29" i="7"/>
  <c r="I37" i="4"/>
  <c r="G43" i="4"/>
  <c r="J46" i="5"/>
  <c r="J20" i="5"/>
  <c r="I29" i="5"/>
  <c r="I50" i="5"/>
  <c r="I52" i="5" s="1"/>
  <c r="U17" i="5"/>
  <c r="K17" i="5" s="1"/>
  <c r="I19" i="6"/>
  <c r="I45" i="6"/>
  <c r="G49" i="6"/>
  <c r="H48" i="6"/>
  <c r="H20" i="6"/>
  <c r="H22" i="6" s="1"/>
  <c r="F51" i="6"/>
  <c r="F29" i="6"/>
  <c r="T17" i="6"/>
  <c r="Q18" i="6" s="1"/>
  <c r="L20" i="5" l="1"/>
  <c r="I38" i="9"/>
  <c r="K8" i="4"/>
  <c r="K4" i="9" s="1"/>
  <c r="K13" i="4"/>
  <c r="K10" i="4"/>
  <c r="K3" i="4"/>
  <c r="K4" i="4"/>
  <c r="K6" i="9" s="1"/>
  <c r="K7" i="4"/>
  <c r="K11" i="4"/>
  <c r="K12" i="4"/>
  <c r="K9" i="4"/>
  <c r="J37" i="9"/>
  <c r="J36" i="9"/>
  <c r="J6" i="4"/>
  <c r="J5" i="9"/>
  <c r="J25" i="9" s="1"/>
  <c r="H38" i="9"/>
  <c r="J39" i="4"/>
  <c r="J36" i="4"/>
  <c r="J40" i="4"/>
  <c r="J38" i="4"/>
  <c r="M46" i="5"/>
  <c r="M20" i="5"/>
  <c r="J16" i="6"/>
  <c r="J19" i="6" s="1"/>
  <c r="J41" i="4"/>
  <c r="J42" i="4"/>
  <c r="I27" i="4"/>
  <c r="I34" i="4"/>
  <c r="I1" i="7"/>
  <c r="I25" i="7"/>
  <c r="I34" i="7"/>
  <c r="I5" i="7"/>
  <c r="I33" i="7"/>
  <c r="H27" i="7"/>
  <c r="H7" i="7"/>
  <c r="H20" i="7"/>
  <c r="L2" i="4"/>
  <c r="K26" i="4"/>
  <c r="G29" i="7"/>
  <c r="J48" i="4"/>
  <c r="J32" i="4"/>
  <c r="J47" i="4"/>
  <c r="J3" i="7"/>
  <c r="H43" i="4"/>
  <c r="I14" i="4"/>
  <c r="I35" i="4"/>
  <c r="I6" i="7"/>
  <c r="I28" i="7" s="1"/>
  <c r="J37" i="4"/>
  <c r="J33" i="4"/>
  <c r="J4" i="7"/>
  <c r="I26" i="7"/>
  <c r="K46" i="5"/>
  <c r="K20" i="5"/>
  <c r="J49" i="5"/>
  <c r="J21" i="5"/>
  <c r="J23" i="5" s="1"/>
  <c r="L49" i="5"/>
  <c r="L21" i="5"/>
  <c r="H49" i="6"/>
  <c r="T18" i="6"/>
  <c r="U17" i="6"/>
  <c r="K16" i="6" s="1"/>
  <c r="G51" i="6"/>
  <c r="G29" i="6"/>
  <c r="I48" i="6"/>
  <c r="I20" i="6"/>
  <c r="I22" i="6" s="1"/>
  <c r="J38" i="9" l="1"/>
  <c r="L23" i="5"/>
  <c r="K37" i="9"/>
  <c r="K36" i="9"/>
  <c r="K5" i="4"/>
  <c r="K6" i="4"/>
  <c r="K5" i="9"/>
  <c r="K25" i="9" s="1"/>
  <c r="L11" i="4"/>
  <c r="L8" i="4"/>
  <c r="L4" i="9" s="1"/>
  <c r="L9" i="4"/>
  <c r="L13" i="4"/>
  <c r="L10" i="4"/>
  <c r="L4" i="4"/>
  <c r="L6" i="9" s="1"/>
  <c r="L7" i="4"/>
  <c r="L3" i="4"/>
  <c r="M15" i="4" s="1" a="1"/>
  <c r="M15" i="4" s="1"/>
  <c r="M22" i="4" s="1"/>
  <c r="L12" i="4"/>
  <c r="M2" i="4"/>
  <c r="K41" i="4"/>
  <c r="K39" i="4"/>
  <c r="M21" i="5"/>
  <c r="M23" i="5" s="1"/>
  <c r="M52" i="5" s="1"/>
  <c r="M49" i="5"/>
  <c r="J48" i="6"/>
  <c r="J20" i="6"/>
  <c r="J22" i="6" s="1"/>
  <c r="J45" i="6"/>
  <c r="U18" i="6"/>
  <c r="L16" i="6" s="1"/>
  <c r="L45" i="6" s="1"/>
  <c r="Q19" i="6"/>
  <c r="T19" i="6" s="1"/>
  <c r="U19" i="6" s="1"/>
  <c r="M16" i="6" s="1"/>
  <c r="J27" i="4"/>
  <c r="J34" i="4"/>
  <c r="J1" i="7"/>
  <c r="J25" i="7"/>
  <c r="J33" i="7"/>
  <c r="J5" i="7"/>
  <c r="J34" i="7"/>
  <c r="J26" i="7"/>
  <c r="J14" i="4"/>
  <c r="J35" i="4"/>
  <c r="J6" i="7"/>
  <c r="J28" i="7" s="1"/>
  <c r="K37" i="4"/>
  <c r="L26" i="4"/>
  <c r="H29" i="7"/>
  <c r="K47" i="4"/>
  <c r="K48" i="4"/>
  <c r="K32" i="4"/>
  <c r="K1" i="4"/>
  <c r="K3" i="7"/>
  <c r="K33" i="4"/>
  <c r="K4" i="7"/>
  <c r="K38" i="4"/>
  <c r="K36" i="4"/>
  <c r="K40" i="4"/>
  <c r="I7" i="7"/>
  <c r="I27" i="7"/>
  <c r="I20" i="7"/>
  <c r="I43" i="4"/>
  <c r="K42" i="4"/>
  <c r="L29" i="5"/>
  <c r="L50" i="5"/>
  <c r="L52" i="5" s="1"/>
  <c r="J29" i="5"/>
  <c r="J50" i="5"/>
  <c r="J52" i="5" s="1"/>
  <c r="K49" i="5"/>
  <c r="K21" i="5"/>
  <c r="K23" i="5" s="1"/>
  <c r="J49" i="6"/>
  <c r="I49" i="6"/>
  <c r="K19" i="6"/>
  <c r="K45" i="6"/>
  <c r="H51" i="6"/>
  <c r="H29" i="6"/>
  <c r="L5" i="4" l="1"/>
  <c r="L37" i="9"/>
  <c r="L36" i="9"/>
  <c r="L6" i="4"/>
  <c r="L5" i="9"/>
  <c r="L25" i="9" s="1"/>
  <c r="M7" i="4"/>
  <c r="M10" i="4"/>
  <c r="M9" i="4"/>
  <c r="M11" i="4"/>
  <c r="M8" i="4"/>
  <c r="M13" i="4"/>
  <c r="M12" i="4"/>
  <c r="K38" i="9"/>
  <c r="M51" i="4"/>
  <c r="L41" i="4"/>
  <c r="L36" i="4"/>
  <c r="M50" i="5"/>
  <c r="M45" i="6"/>
  <c r="M19" i="6"/>
  <c r="L19" i="6"/>
  <c r="K27" i="4"/>
  <c r="K34" i="4"/>
  <c r="K34" i="7"/>
  <c r="K1" i="7"/>
  <c r="K25" i="7"/>
  <c r="K33" i="7"/>
  <c r="K5" i="7"/>
  <c r="J43" i="4"/>
  <c r="I29" i="7"/>
  <c r="L48" i="4"/>
  <c r="L32" i="4"/>
  <c r="L47" i="4"/>
  <c r="L1" i="4"/>
  <c r="S3" i="4" a="1"/>
  <c r="S3" i="4" s="1"/>
  <c r="G15" i="4" a="1"/>
  <c r="G15" i="4" s="1"/>
  <c r="G22" i="4" s="1"/>
  <c r="G51" i="4" s="1"/>
  <c r="C15" i="4" a="1"/>
  <c r="C15" i="4" s="1"/>
  <c r="C22" i="4" s="1"/>
  <c r="C51" i="4" s="1"/>
  <c r="K15" i="4" a="1"/>
  <c r="K15" i="4" s="1"/>
  <c r="K22" i="4" s="1"/>
  <c r="K51" i="4" s="1"/>
  <c r="L15" i="4" a="1"/>
  <c r="L15" i="4" s="1"/>
  <c r="L22" i="4" s="1"/>
  <c r="L51" i="4" s="1"/>
  <c r="H15" i="4" a="1"/>
  <c r="H15" i="4" s="1"/>
  <c r="H22" i="4" s="1"/>
  <c r="H51" i="4" s="1"/>
  <c r="J15" i="4" a="1"/>
  <c r="J15" i="4" s="1"/>
  <c r="J22" i="4" s="1"/>
  <c r="J51" i="4" s="1"/>
  <c r="I15" i="4" a="1"/>
  <c r="I15" i="4" s="1"/>
  <c r="I22" i="4" s="1"/>
  <c r="I51" i="4" s="1"/>
  <c r="B15" i="4" a="1"/>
  <c r="B15" i="4" s="1"/>
  <c r="B22" i="4" s="1"/>
  <c r="B51" i="4" s="1"/>
  <c r="E15" i="4" a="1"/>
  <c r="E15" i="4" s="1"/>
  <c r="E22" i="4" s="1"/>
  <c r="E51" i="4" s="1"/>
  <c r="D15" i="4" a="1"/>
  <c r="D15" i="4" s="1"/>
  <c r="D22" i="4" s="1"/>
  <c r="D51" i="4" s="1"/>
  <c r="F15" i="4" a="1"/>
  <c r="F15" i="4" s="1"/>
  <c r="F22" i="4" s="1"/>
  <c r="F51" i="4" s="1"/>
  <c r="J27" i="7"/>
  <c r="J20" i="7"/>
  <c r="J7" i="7"/>
  <c r="K14" i="4"/>
  <c r="K35" i="4"/>
  <c r="K6" i="7"/>
  <c r="K28" i="7" s="1"/>
  <c r="L42" i="4"/>
  <c r="L37" i="4"/>
  <c r="L40" i="4"/>
  <c r="K26" i="7"/>
  <c r="L38" i="4"/>
  <c r="L33" i="4"/>
  <c r="L4" i="7"/>
  <c r="L39" i="4"/>
  <c r="K29" i="5"/>
  <c r="M29" i="5" s="1"/>
  <c r="K50" i="5"/>
  <c r="K52" i="5" s="1"/>
  <c r="K48" i="6"/>
  <c r="K20" i="6"/>
  <c r="K22" i="6" s="1"/>
  <c r="J29" i="6"/>
  <c r="J51" i="6"/>
  <c r="I29" i="6"/>
  <c r="I51" i="6"/>
  <c r="L20" i="6"/>
  <c r="S19" i="4" l="1"/>
  <c r="S8" i="4"/>
  <c r="T8" i="4" s="1"/>
  <c r="L48" i="6"/>
  <c r="L22" i="6"/>
  <c r="L38" i="9"/>
  <c r="M5" i="4"/>
  <c r="M34" i="4" s="1"/>
  <c r="M32" i="4"/>
  <c r="M41" i="4"/>
  <c r="M48" i="4"/>
  <c r="M47" i="4"/>
  <c r="M40" i="4"/>
  <c r="M44" i="4"/>
  <c r="M42" i="4"/>
  <c r="M33" i="4"/>
  <c r="M36" i="4"/>
  <c r="M39" i="4"/>
  <c r="M37" i="4"/>
  <c r="M38" i="4"/>
  <c r="M6" i="4"/>
  <c r="L51" i="6"/>
  <c r="L49" i="6"/>
  <c r="M48" i="6"/>
  <c r="M20" i="6"/>
  <c r="M49" i="6" s="1"/>
  <c r="L26" i="7"/>
  <c r="L44" i="4"/>
  <c r="L8" i="7"/>
  <c r="L34" i="7"/>
  <c r="L33" i="7"/>
  <c r="L5" i="7"/>
  <c r="L25" i="7"/>
  <c r="L1" i="7"/>
  <c r="F44" i="4"/>
  <c r="F8" i="7"/>
  <c r="F15" i="7" s="1"/>
  <c r="F37" i="7" s="1"/>
  <c r="F16" i="4"/>
  <c r="D44" i="4"/>
  <c r="D8" i="7"/>
  <c r="D15" i="7" s="1"/>
  <c r="D37" i="7" s="1"/>
  <c r="D16" i="4"/>
  <c r="E44" i="4"/>
  <c r="E8" i="7"/>
  <c r="E15" i="7" s="1"/>
  <c r="E37" i="7" s="1"/>
  <c r="E16" i="4"/>
  <c r="B44" i="4"/>
  <c r="B8" i="7"/>
  <c r="B15" i="7" s="1"/>
  <c r="B37" i="7" s="1"/>
  <c r="B16" i="4"/>
  <c r="J44" i="4"/>
  <c r="J8" i="7"/>
  <c r="J16" i="4"/>
  <c r="H44" i="4"/>
  <c r="H8" i="7"/>
  <c r="H15" i="7" s="1"/>
  <c r="H37" i="7" s="1"/>
  <c r="H16" i="4"/>
  <c r="K27" i="7"/>
  <c r="K20" i="7"/>
  <c r="K7" i="7"/>
  <c r="L14" i="4"/>
  <c r="L35" i="4"/>
  <c r="L6" i="7"/>
  <c r="L28" i="7" s="1"/>
  <c r="C44" i="4"/>
  <c r="C8" i="7"/>
  <c r="C15" i="7" s="1"/>
  <c r="C37" i="7" s="1"/>
  <c r="C16" i="4"/>
  <c r="G44" i="4"/>
  <c r="G8" i="7"/>
  <c r="G15" i="7" s="1"/>
  <c r="G37" i="7" s="1"/>
  <c r="G16" i="4"/>
  <c r="K44" i="4"/>
  <c r="K8" i="7"/>
  <c r="K43" i="4"/>
  <c r="K16" i="4"/>
  <c r="I44" i="4"/>
  <c r="I8" i="7"/>
  <c r="I15" i="7" s="1"/>
  <c r="I37" i="7" s="1"/>
  <c r="I16" i="4"/>
  <c r="S14" i="4"/>
  <c r="S11" i="4"/>
  <c r="S9" i="4"/>
  <c r="S12" i="4"/>
  <c r="S15" i="4"/>
  <c r="S17" i="4"/>
  <c r="S13" i="4"/>
  <c r="S16" i="4"/>
  <c r="S18" i="4"/>
  <c r="S10" i="4"/>
  <c r="J29" i="7"/>
  <c r="L34" i="4"/>
  <c r="L27" i="4"/>
  <c r="M27" i="4" s="1"/>
  <c r="L29" i="6"/>
  <c r="K49" i="6"/>
  <c r="Q9" i="4" l="1"/>
  <c r="L30" i="7"/>
  <c r="L15" i="7"/>
  <c r="L37" i="7" s="1"/>
  <c r="K30" i="7"/>
  <c r="K15" i="7"/>
  <c r="K37" i="7" s="1"/>
  <c r="J30" i="7"/>
  <c r="J15" i="7"/>
  <c r="J37" i="7" s="1"/>
  <c r="M22" i="6"/>
  <c r="M51" i="6" s="1"/>
  <c r="M14" i="4"/>
  <c r="M35" i="4"/>
  <c r="J9" i="7"/>
  <c r="J31" i="7" s="1"/>
  <c r="L43" i="4"/>
  <c r="L16" i="4"/>
  <c r="I45" i="4"/>
  <c r="I28" i="4"/>
  <c r="K9" i="7"/>
  <c r="K29" i="7"/>
  <c r="D30" i="7"/>
  <c r="D9" i="7"/>
  <c r="K28" i="4"/>
  <c r="K45" i="4"/>
  <c r="B17" i="4"/>
  <c r="I30" i="7"/>
  <c r="I9" i="7"/>
  <c r="F45" i="4"/>
  <c r="F28" i="4"/>
  <c r="H28" i="4"/>
  <c r="H45" i="4"/>
  <c r="J28" i="4"/>
  <c r="J45" i="4"/>
  <c r="B28" i="4"/>
  <c r="B45" i="4"/>
  <c r="D28" i="4"/>
  <c r="D45" i="4"/>
  <c r="E30" i="7"/>
  <c r="E9" i="7"/>
  <c r="F30" i="7"/>
  <c r="F9" i="7"/>
  <c r="H30" i="7"/>
  <c r="H9" i="7"/>
  <c r="G28" i="4"/>
  <c r="G45" i="4"/>
  <c r="C28" i="4"/>
  <c r="C45" i="4"/>
  <c r="B30" i="7"/>
  <c r="B9" i="7"/>
  <c r="C30" i="7"/>
  <c r="C9" i="7"/>
  <c r="T9" i="4"/>
  <c r="Q10" i="4" s="1"/>
  <c r="L20" i="7"/>
  <c r="M20" i="7" s="1"/>
  <c r="L27" i="7"/>
  <c r="L7" i="7"/>
  <c r="G30" i="7"/>
  <c r="G9" i="7"/>
  <c r="E28" i="4"/>
  <c r="E45" i="4"/>
  <c r="K29" i="6"/>
  <c r="M29" i="6" s="1"/>
  <c r="K51" i="6"/>
  <c r="J21" i="7" l="1"/>
  <c r="M16" i="4"/>
  <c r="M43" i="4"/>
  <c r="E31" i="7"/>
  <c r="E21" i="7"/>
  <c r="B21" i="7"/>
  <c r="B31" i="7"/>
  <c r="D21" i="7"/>
  <c r="D31" i="7"/>
  <c r="G31" i="7"/>
  <c r="G21" i="7"/>
  <c r="F31" i="7"/>
  <c r="F21" i="7"/>
  <c r="B46" i="4"/>
  <c r="B10" i="7"/>
  <c r="B32" i="7" s="1"/>
  <c r="H31" i="7"/>
  <c r="H21" i="7"/>
  <c r="B20" i="4"/>
  <c r="L29" i="7"/>
  <c r="L9" i="7"/>
  <c r="L28" i="4"/>
  <c r="L45" i="4"/>
  <c r="I31" i="7"/>
  <c r="I21" i="7"/>
  <c r="M28" i="4"/>
  <c r="K31" i="7"/>
  <c r="K21" i="7"/>
  <c r="T10" i="4"/>
  <c r="Q11" i="4" s="1"/>
  <c r="U9" i="4"/>
  <c r="C17" i="4" s="1"/>
  <c r="C31" i="7"/>
  <c r="C21" i="7"/>
  <c r="B21" i="4" l="1"/>
  <c r="B23" i="4" s="1"/>
  <c r="B29" i="4" s="1"/>
  <c r="M45" i="4"/>
  <c r="B13" i="7"/>
  <c r="U10" i="4"/>
  <c r="D17" i="4" s="1"/>
  <c r="D46" i="4" s="1"/>
  <c r="L31" i="7"/>
  <c r="L21" i="7"/>
  <c r="M21" i="7" s="1"/>
  <c r="B49" i="4"/>
  <c r="T11" i="4"/>
  <c r="Q12" i="4" s="1"/>
  <c r="C46" i="4"/>
  <c r="C10" i="7"/>
  <c r="C20" i="4"/>
  <c r="D20" i="4" l="1"/>
  <c r="B35" i="7"/>
  <c r="D10" i="7"/>
  <c r="D32" i="7" s="1"/>
  <c r="C32" i="7"/>
  <c r="C13" i="7"/>
  <c r="D49" i="4"/>
  <c r="D21" i="4"/>
  <c r="D50" i="4" s="1"/>
  <c r="C49" i="4"/>
  <c r="C21" i="4"/>
  <c r="T12" i="4"/>
  <c r="Q13" i="4" s="1"/>
  <c r="B50" i="4"/>
  <c r="B52" i="4" s="1"/>
  <c r="B14" i="7"/>
  <c r="B16" i="7" s="1"/>
  <c r="D13" i="7"/>
  <c r="U11" i="4"/>
  <c r="E17" i="4" s="1"/>
  <c r="C23" i="4" l="1"/>
  <c r="C29" i="4" s="1"/>
  <c r="C50" i="4"/>
  <c r="E46" i="4"/>
  <c r="E10" i="7"/>
  <c r="E20" i="4"/>
  <c r="D35" i="7"/>
  <c r="T13" i="4"/>
  <c r="Q14" i="4" s="1"/>
  <c r="U12" i="4"/>
  <c r="F17" i="4" s="1"/>
  <c r="D52" i="4"/>
  <c r="D14" i="7"/>
  <c r="D36" i="7" s="1"/>
  <c r="D23" i="4"/>
  <c r="D29" i="4" s="1"/>
  <c r="C35" i="7"/>
  <c r="B36" i="7"/>
  <c r="C52" i="4"/>
  <c r="C14" i="7"/>
  <c r="C36" i="7" s="1"/>
  <c r="C16" i="7" l="1"/>
  <c r="D16" i="7"/>
  <c r="C38" i="7"/>
  <c r="F46" i="4"/>
  <c r="F10" i="7"/>
  <c r="F20" i="4"/>
  <c r="U13" i="4"/>
  <c r="G17" i="4" s="1"/>
  <c r="T14" i="4"/>
  <c r="Q15" i="4" s="1"/>
  <c r="E49" i="4"/>
  <c r="E21" i="4"/>
  <c r="E50" i="4" s="1"/>
  <c r="E32" i="7"/>
  <c r="E13" i="7"/>
  <c r="B38" i="7"/>
  <c r="B22" i="7"/>
  <c r="C22" i="7" l="1"/>
  <c r="E52" i="4"/>
  <c r="E14" i="7"/>
  <c r="E36" i="7" s="1"/>
  <c r="D38" i="7"/>
  <c r="D22" i="7"/>
  <c r="G46" i="4"/>
  <c r="G10" i="7"/>
  <c r="G20" i="4"/>
  <c r="F49" i="4"/>
  <c r="F21" i="4"/>
  <c r="F50" i="4" s="1"/>
  <c r="F32" i="7"/>
  <c r="F13" i="7"/>
  <c r="E35" i="7"/>
  <c r="E23" i="4"/>
  <c r="E29" i="4" s="1"/>
  <c r="T15" i="4"/>
  <c r="Q16" i="4" s="1"/>
  <c r="U14" i="4"/>
  <c r="H17" i="4" s="1"/>
  <c r="E16" i="7" l="1"/>
  <c r="E38" i="7"/>
  <c r="F35" i="7"/>
  <c r="F52" i="4"/>
  <c r="F14" i="7"/>
  <c r="F36" i="7" s="1"/>
  <c r="F23" i="4"/>
  <c r="F29" i="4" s="1"/>
  <c r="G49" i="4"/>
  <c r="G21" i="4"/>
  <c r="G50" i="4" s="1"/>
  <c r="G32" i="7"/>
  <c r="G13" i="7"/>
  <c r="H46" i="4"/>
  <c r="H10" i="7"/>
  <c r="H20" i="4"/>
  <c r="T16" i="4"/>
  <c r="Q17" i="4" s="1"/>
  <c r="U15" i="4"/>
  <c r="I17" i="4" s="1"/>
  <c r="F16" i="7" l="1"/>
  <c r="E22" i="7"/>
  <c r="I46" i="4"/>
  <c r="I10" i="7"/>
  <c r="I20" i="4"/>
  <c r="G35" i="7"/>
  <c r="G14" i="7"/>
  <c r="G36" i="7" s="1"/>
  <c r="T17" i="4"/>
  <c r="Q18" i="4" s="1"/>
  <c r="U16" i="4"/>
  <c r="J17" i="4" s="1"/>
  <c r="H32" i="7"/>
  <c r="H13" i="7"/>
  <c r="G23" i="4"/>
  <c r="G29" i="4" s="1"/>
  <c r="G52" i="4"/>
  <c r="H49" i="4"/>
  <c r="H21" i="4"/>
  <c r="H50" i="4" s="1"/>
  <c r="G16" i="7" l="1"/>
  <c r="F38" i="7"/>
  <c r="F22" i="7"/>
  <c r="H35" i="7"/>
  <c r="J46" i="4"/>
  <c r="J10" i="7"/>
  <c r="J20" i="4"/>
  <c r="T18" i="4"/>
  <c r="U17" i="4"/>
  <c r="K17" i="4" s="1"/>
  <c r="I49" i="4"/>
  <c r="I21" i="4"/>
  <c r="I50" i="4" s="1"/>
  <c r="H23" i="4"/>
  <c r="H29" i="4" s="1"/>
  <c r="H52" i="4"/>
  <c r="H14" i="7"/>
  <c r="H36" i="7" s="1"/>
  <c r="I32" i="7"/>
  <c r="I13" i="7"/>
  <c r="H16" i="7" l="1"/>
  <c r="U18" i="4"/>
  <c r="L17" i="4" s="1"/>
  <c r="L46" i="4" s="1"/>
  <c r="Q19" i="4"/>
  <c r="T19" i="4" s="1"/>
  <c r="U19" i="4" s="1"/>
  <c r="M17" i="4" s="1"/>
  <c r="I23" i="4"/>
  <c r="I29" i="4" s="1"/>
  <c r="I14" i="7"/>
  <c r="I36" i="7" s="1"/>
  <c r="G22" i="7"/>
  <c r="G38" i="7"/>
  <c r="J49" i="4"/>
  <c r="J21" i="4"/>
  <c r="J50" i="4" s="1"/>
  <c r="K46" i="4"/>
  <c r="K10" i="7"/>
  <c r="K20" i="4"/>
  <c r="I52" i="4"/>
  <c r="J32" i="7"/>
  <c r="J13" i="7"/>
  <c r="I35" i="7"/>
  <c r="I16" i="7" l="1"/>
  <c r="L20" i="4"/>
  <c r="L49" i="4" s="1"/>
  <c r="L10" i="7"/>
  <c r="L32" i="7" s="1"/>
  <c r="M46" i="4"/>
  <c r="M20" i="4"/>
  <c r="J23" i="4"/>
  <c r="J29" i="4" s="1"/>
  <c r="J14" i="7"/>
  <c r="J36" i="7" s="1"/>
  <c r="K49" i="4"/>
  <c r="K21" i="4"/>
  <c r="K50" i="4" s="1"/>
  <c r="K32" i="7"/>
  <c r="K13" i="7"/>
  <c r="J52" i="4"/>
  <c r="H38" i="7"/>
  <c r="H22" i="7"/>
  <c r="J35" i="7"/>
  <c r="L21" i="4" l="1"/>
  <c r="L50" i="4" s="1"/>
  <c r="L52" i="4" s="1"/>
  <c r="J16" i="7"/>
  <c r="L13" i="7"/>
  <c r="M49" i="4"/>
  <c r="M21" i="4"/>
  <c r="M50" i="4" s="1"/>
  <c r="I38" i="7"/>
  <c r="I22" i="7"/>
  <c r="L35" i="7"/>
  <c r="K35" i="7"/>
  <c r="K23" i="4"/>
  <c r="K29" i="4" s="1"/>
  <c r="K52" i="4"/>
  <c r="K14" i="7"/>
  <c r="K36" i="7" s="1"/>
  <c r="L14" i="7" l="1"/>
  <c r="L36" i="7" s="1"/>
  <c r="L23" i="4"/>
  <c r="L29" i="4" s="1"/>
  <c r="M23" i="4"/>
  <c r="M52" i="4" s="1"/>
  <c r="K16" i="7"/>
  <c r="J22" i="7"/>
  <c r="J38" i="7"/>
  <c r="M29" i="4"/>
  <c r="L16" i="7" l="1"/>
  <c r="L38" i="7" s="1"/>
  <c r="L22" i="7"/>
  <c r="K22" i="7"/>
  <c r="K38" i="7"/>
  <c r="M22"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tc={91D9978D-2B34-4A15-9B86-2F925C9D74CF}</author>
  </authors>
  <commentList>
    <comment ref="P2" authorId="0" shapeId="0" xr:uid="{91D9978D-2B34-4A15-9B86-2F925C9D74CF}">
      <text>
        <t xml:space="preserve">[Threaded comment]
Your version of Excel allows you to read this threaded comment; however, any edits to it will get removed if the file is opened in a newer version of Excel. Learn more: https://go.microsoft.com/fwlink/?linkid=870924
Comment:
    U.S. Effective Average → ~25–27% after adding state taxes.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tc={20232B5E-06D5-4E97-A960-73701B20240E}</author>
  </authors>
  <commentList>
    <comment ref="P2" authorId="0" shapeId="0" xr:uid="{20232B5E-06D5-4E97-A960-73701B20240E}">
      <text>
        <t xml:space="preserve">[Threaded comment]
Your version of Excel allows you to read this threaded comment; however, any edits to it will get removed if the file is opened in a newer version of Excel. Learn more: https://go.microsoft.com/fwlink/?linkid=870924
Comment:
    U.S. Effective Average → ~25–27% after adding state taxes.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tc={9D612119-DF48-4D03-BB41-93AE3BFC3322}</author>
    <author>tc={EA30DEE6-E3D3-4865-86CA-5DCAD3CB9ED3}</author>
  </authors>
  <commentList>
    <comment ref="P2" authorId="0" shapeId="0" xr:uid="{9D612119-DF48-4D03-BB41-93AE3BFC3322}">
      <text>
        <t xml:space="preserve">[Threaded comment]
Your version of Excel allows you to read this threaded comment; however, any edits to it will get removed if the file is opened in a newer version of Excel. Learn more: https://go.microsoft.com/fwlink/?linkid=870924
Comment:
    U.S. Effective Average → ~25–27% after adding state taxes. </t>
      </text>
    </comment>
    <comment ref="A14" authorId="1" shapeId="0" xr:uid="{EA30DEE6-E3D3-4865-86CA-5DCAD3CB9ED3}">
      <text>
        <t>[Threaded comment]
Your version of Excel allows you to read this threaded comment; however, any edits to it will get removed if the file is opened in a newer version of Excel. Learn more: https://go.microsoft.com/fwlink/?linkid=870924
Comment:
    10–30% of annual revenue for service-heavy / advertising / software businesses. 
Reply:
    30 year straight line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<sst xmlns="http://schemas.openxmlformats.org/spreadsheetml/2006/main" count="954" uniqueCount="96">
  <si>
    <t>Account</t>
  </si>
  <si>
    <t>Year</t>
  </si>
  <si>
    <t>Scenario</t>
  </si>
  <si>
    <t>Jan</t>
  </si>
  <si>
    <t>Feb</t>
  </si>
  <si>
    <t>Mar</t>
  </si>
  <si>
    <t>Apr</t>
  </si>
  <si>
    <t>May</t>
  </si>
  <si>
    <t>Jun</t>
  </si>
  <si>
    <t>Jul</t>
  </si>
  <si>
    <t>Aug</t>
  </si>
  <si>
    <t>Sep</t>
  </si>
  <si>
    <t>Oct</t>
  </si>
  <si>
    <t>Nov</t>
  </si>
  <si>
    <t>Dec</t>
  </si>
  <si>
    <t>Sales</t>
  </si>
  <si>
    <t>Actuals</t>
  </si>
  <si>
    <t>Commissions Expense</t>
  </si>
  <si>
    <t>Payroll Expense</t>
  </si>
  <si>
    <t>Travel &amp; Entertainment Expense</t>
  </si>
  <si>
    <t>R&amp;D Expense</t>
  </si>
  <si>
    <t>Consulting Expense</t>
  </si>
  <si>
    <t>Software/Hardware Expense</t>
  </si>
  <si>
    <t>Marketing Expense</t>
  </si>
  <si>
    <t>Budget</t>
  </si>
  <si>
    <t>Forecast</t>
  </si>
  <si>
    <t>Sofware Pro-Forma</t>
  </si>
  <si>
    <t>Hardware Pro-Forma</t>
  </si>
  <si>
    <t>Advertising Pro-Forma</t>
  </si>
  <si>
    <t>Total</t>
  </si>
  <si>
    <t>Q1</t>
  </si>
  <si>
    <t>Q2</t>
  </si>
  <si>
    <t>Q4</t>
  </si>
  <si>
    <t>Q3</t>
  </si>
  <si>
    <t>COGS</t>
  </si>
  <si>
    <t>Control Account</t>
  </si>
  <si>
    <t>Gross Profit</t>
  </si>
  <si>
    <t>Sales YOY Growth</t>
  </si>
  <si>
    <t>Selling, General, Admin (SGA)</t>
  </si>
  <si>
    <t>Income before Depr. &amp; Amort. (EBITDA)</t>
  </si>
  <si>
    <t>less Depr. &amp; Amort. (DA)</t>
  </si>
  <si>
    <t>Operating Profit</t>
  </si>
  <si>
    <t>Interest Expense</t>
  </si>
  <si>
    <t>Debt Balance</t>
  </si>
  <si>
    <t xml:space="preserve">Debt Schedule </t>
  </si>
  <si>
    <t>Beginning Debt</t>
  </si>
  <si>
    <t>New Debt</t>
  </si>
  <si>
    <t>Repayments</t>
  </si>
  <si>
    <t xml:space="preserve">Ending Debt </t>
  </si>
  <si>
    <t>Repayment</t>
  </si>
  <si>
    <t>Nonoperating Income (Expense)</t>
  </si>
  <si>
    <t>Special Items</t>
  </si>
  <si>
    <t>Income before Taxes (EBT)</t>
  </si>
  <si>
    <t xml:space="preserve">  less Income Taxes</t>
  </si>
  <si>
    <t>Tax Rate</t>
  </si>
  <si>
    <t>Interest Rate</t>
  </si>
  <si>
    <t>Net Income</t>
  </si>
  <si>
    <t>Master Pro-Forma</t>
  </si>
  <si>
    <t>Gross Margin (GM)</t>
  </si>
  <si>
    <t>Operating Margin (OM)</t>
  </si>
  <si>
    <t>Profit Marging (PM)</t>
  </si>
  <si>
    <t xml:space="preserve">Time Series Margin Analysis </t>
  </si>
  <si>
    <t>Avg.</t>
  </si>
  <si>
    <t xml:space="preserve">Ratio Analysis </t>
  </si>
  <si>
    <t>Classifier</t>
  </si>
  <si>
    <t>CHANGE ME-&gt;</t>
  </si>
  <si>
    <t>Visual Trend</t>
  </si>
  <si>
    <t xml:space="preserve">Year </t>
  </si>
  <si>
    <t>Year (Column)</t>
  </si>
  <si>
    <t>Master Labor Forecasting</t>
  </si>
  <si>
    <t>Labor</t>
  </si>
  <si>
    <t>Materials</t>
  </si>
  <si>
    <t xml:space="preserve">Total </t>
  </si>
  <si>
    <t>COGS Distribution</t>
  </si>
  <si>
    <t xml:space="preserve">Commissions Expense (Tied to Revenue) </t>
  </si>
  <si>
    <t>FTE</t>
  </si>
  <si>
    <t>Material Cost</t>
  </si>
  <si>
    <t xml:space="preserve">Units Sold </t>
  </si>
  <si>
    <t>FTE Growth</t>
  </si>
  <si>
    <t>Time Series Unit Economics Analysis (Evaluate ECOS, indirect negioration leverage assessment)</t>
  </si>
  <si>
    <t xml:space="preserve">Salary </t>
  </si>
  <si>
    <r>
      <rPr>
        <b/>
        <sz val="11"/>
        <color rgb="FFFF0000"/>
        <rFont val="Times New Roman"/>
        <family val="1"/>
      </rPr>
      <t>DISCLAIMER&lt;-</t>
    </r>
    <r>
      <rPr>
        <sz val="11"/>
        <color theme="1"/>
        <rFont val="Times New Roman"/>
        <family val="1"/>
      </rPr>
      <t>Static (Doesn't Simulate Real world dynamic YOY, retention)</t>
    </r>
  </si>
  <si>
    <t>DISCLAIMER &lt;- Doesn’t Account for Reterntion (Floor &amp; Front-Line Workers and Differences in Salaries)</t>
  </si>
  <si>
    <t>DISCLAIMER&lt;-</t>
  </si>
  <si>
    <t>add Depreciation</t>
  </si>
  <si>
    <t>&lt;-VLOOKUP(CONCATENATE($M$2," ",$N$1," ",$A3),'Software All Line Items'!$C$1:$W$118,16,FALSE)</t>
  </si>
  <si>
    <t xml:space="preserve">Segment Profitability </t>
  </si>
  <si>
    <t xml:space="preserve">Software </t>
  </si>
  <si>
    <t>Hardware</t>
  </si>
  <si>
    <t>Advertising</t>
  </si>
  <si>
    <t>Validation</t>
  </si>
  <si>
    <t>. Risks &amp; Opportunities (Small Box)</t>
  </si>
  <si>
    <r>
      <t>Risks:</t>
    </r>
    <r>
      <rPr>
        <sz val="11"/>
        <color theme="1"/>
        <rFont val="Times New Roman"/>
        <family val="1"/>
      </rPr>
      <t xml:space="preserve"> labor cost growth, slower revenue, material price volatility.</t>
    </r>
  </si>
  <si>
    <r>
      <t>Opportunities:</t>
    </r>
    <r>
      <rPr>
        <sz val="11"/>
        <color theme="1"/>
        <rFont val="Times New Roman"/>
        <family val="1"/>
      </rPr>
      <t xml:space="preserve"> CI projects, automation, AI-driven efficiencies.</t>
    </r>
  </si>
  <si>
    <t>This Pro-Forma model integrates finance and operations across Software, Hardware, and Advertising segments to provide a full view of profitability, margins, and cost structure. Software drives the majority of earnings, while Hardware and Advertising provide stable contributions. Gross margins average ~50%, operating margins ~16–18%, and net margins ~11–12%, reflecting disciplined expense control. Labor represents 59% of COGS, making workforce productivity the key margin lever, while commissions remain stable at ~4.5% of revenue. A debt schedule with fixed repayments and declining interest expense demonstrates financial sustainability, and a scenario manager allows testing of growth, tax, and cost assumptions under best, base, and worst cases. Together, the model shows resilience, clear cost levers, and strategic optionality, positioning it as both a financial analysis and a decision-support tool.</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</si>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</sst>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5" formatCode="0.0%"/>
  </numFmts>
  <fonts count="12" x14ac:knownFonts="1">
    <font>
      <sz val="11"/>
      <color theme="1"/>
      <name val="Calibri"/>
      <family val="2"/>
      <scheme val="minor"/>
    </font>
    <font>
      <sz val="11"/>
      <color theme="1"/>
      <name val="Calibri"/>
      <family val="2"/>
      <scheme val="minor"/>
    </font>
    <font>
      <b/>
      <sz val="11"/>
      <name val="Times New Roman"/>
      <family val="1"/>
    </font>
    <font>
      <sz val="11"/>
      <color theme="1"/>
      <name val="Times New Roman"/>
      <family val="1"/>
    </font>
    <font>
      <b/>
      <sz val="11"/>
      <color theme="1"/>
      <name val="Times New Roman"/>
      <family val="1"/>
    </font>
    <font>
      <b/>
      <sz val="11"/>
      <color rgb="FF00B050"/>
      <name val="Times New Roman"/>
      <family val="1"/>
    </font>
    <font>
      <b/>
      <sz val="11"/>
      <color indexed="17"/>
      <name val="Times New Roman"/>
      <family val="1"/>
    </font>
    <font>
      <sz val="11"/>
      <name val="Times New Roman"/>
      <family val="1"/>
    </font>
    <font>
      <b/>
      <sz val="11"/>
      <color rgb="FF0070C0"/>
      <name val="Times New Roman"/>
      <family val="1"/>
    </font>
    <font>
      <sz val="16"/>
      <name val="Times New Roman"/>
      <family val="1"/>
    </font>
    <font>
      <b/>
      <sz val="11"/>
      <color rgb="FFFF0000"/>
      <name val="Times New Roman"/>
      <family val="1"/>
    </font>
    <font>
      <b/>
      <sz val="18"/>
      <color theme="1"/>
      <name val="Times New Roman"/>
      <family val="1"/>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rgb="FF0070C0"/>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style="thin">
        <color auto="1"/>
      </top>
      <bottom/>
      <diagonal/>
    </border>
    <border>
      <left style="medium">
        <color indexed="64"/>
      </left>
      <right style="medium">
        <color indexed="64"/>
      </right>
      <top/>
      <bottom style="thin">
        <color indexed="64"/>
      </bottom>
      <diagonal/>
    </border>
    <border>
      <left style="medium">
        <color indexed="64"/>
      </left>
      <right style="medium">
        <color indexed="64"/>
      </right>
      <top style="thin">
        <color auto="1"/>
      </top>
      <bottom/>
      <diagonal/>
    </border>
    <border>
      <left style="medium">
        <color indexed="64"/>
      </left>
      <right/>
      <top/>
      <bottom style="thin">
        <color indexed="64"/>
      </bottom>
      <diagonal/>
    </border>
    <border>
      <left style="medium">
        <color indexed="64"/>
      </left>
      <right/>
      <top style="thin">
        <color auto="1"/>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34">
    <xf numFmtId="0" fontId="0" fillId="0" borderId="0" xfId="0"/>
    <xf numFmtId="0" fontId="3" fillId="0" borderId="0" xfId="0" applyFont="1"/>
    <xf numFmtId="164" fontId="3" fillId="0" borderId="0" xfId="1" applyNumberFormat="1" applyFont="1"/>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164" fontId="3" fillId="0" borderId="5" xfId="1" applyNumberFormat="1" applyFont="1" applyBorder="1"/>
    <xf numFmtId="164" fontId="3" fillId="0" borderId="6" xfId="1" applyNumberFormat="1" applyFont="1" applyBorder="1"/>
    <xf numFmtId="0" fontId="3" fillId="0" borderId="7" xfId="0" applyFont="1" applyBorder="1"/>
    <xf numFmtId="164" fontId="3" fillId="0" borderId="0" xfId="1" applyNumberFormat="1" applyFont="1" applyBorder="1"/>
    <xf numFmtId="164" fontId="3" fillId="0" borderId="8" xfId="1" applyNumberFormat="1" applyFont="1" applyBorder="1"/>
    <xf numFmtId="0" fontId="3" fillId="0" borderId="9" xfId="0" applyFont="1" applyBorder="1"/>
    <xf numFmtId="164" fontId="3" fillId="0" borderId="10" xfId="1" applyNumberFormat="1" applyFont="1" applyBorder="1"/>
    <xf numFmtId="164" fontId="3" fillId="0" borderId="11" xfId="1" applyNumberFormat="1" applyFont="1" applyBorder="1"/>
    <xf numFmtId="0" fontId="5" fillId="0" borderId="4" xfId="0" applyFont="1" applyBorder="1"/>
    <xf numFmtId="0" fontId="5" fillId="0" borderId="7" xfId="0" applyFont="1" applyBorder="1"/>
    <xf numFmtId="0" fontId="6" fillId="0" borderId="4" xfId="0" applyFont="1" applyBorder="1"/>
    <xf numFmtId="0" fontId="6" fillId="0" borderId="7" xfId="0" applyFont="1" applyBorder="1"/>
    <xf numFmtId="0" fontId="3" fillId="0" borderId="5" xfId="0" applyFont="1" applyBorder="1" applyAlignment="1">
      <alignment horizontal="center"/>
    </xf>
    <xf numFmtId="0" fontId="3" fillId="0" borderId="0" xfId="0" applyFont="1" applyAlignment="1">
      <alignment horizontal="center"/>
    </xf>
    <xf numFmtId="0" fontId="3" fillId="0" borderId="10" xfId="0" applyFont="1" applyBorder="1" applyAlignment="1">
      <alignment horizontal="center"/>
    </xf>
    <xf numFmtId="0" fontId="2" fillId="2" borderId="3" xfId="0" applyFont="1" applyFill="1" applyBorder="1" applyAlignment="1">
      <alignment horizontal="center"/>
    </xf>
    <xf numFmtId="44" fontId="3" fillId="0" borderId="0" xfId="1" applyFont="1" applyBorder="1"/>
    <xf numFmtId="44" fontId="3" fillId="0" borderId="8" xfId="1" applyFont="1" applyBorder="1"/>
    <xf numFmtId="164" fontId="3" fillId="0" borderId="0" xfId="0" applyNumberFormat="1" applyFont="1"/>
    <xf numFmtId="0" fontId="2" fillId="3" borderId="3" xfId="0" applyFont="1" applyFill="1" applyBorder="1" applyAlignment="1">
      <alignment horizontal="center" vertical="center"/>
    </xf>
    <xf numFmtId="0" fontId="2" fillId="3" borderId="1" xfId="0" applyFont="1" applyFill="1" applyBorder="1" applyAlignment="1">
      <alignment horizontal="center" vertical="center"/>
    </xf>
    <xf numFmtId="164" fontId="3" fillId="0" borderId="4" xfId="0" applyNumberFormat="1" applyFont="1" applyBorder="1"/>
    <xf numFmtId="164" fontId="3" fillId="0" borderId="5" xfId="0" applyNumberFormat="1" applyFont="1" applyBorder="1"/>
    <xf numFmtId="164" fontId="3" fillId="0" borderId="6" xfId="0" applyNumberFormat="1" applyFont="1" applyBorder="1"/>
    <xf numFmtId="164" fontId="3" fillId="0" borderId="7" xfId="0" applyNumberFormat="1" applyFont="1" applyBorder="1"/>
    <xf numFmtId="164" fontId="3" fillId="0" borderId="8" xfId="0" applyNumberFormat="1" applyFont="1" applyBorder="1"/>
    <xf numFmtId="164" fontId="3" fillId="0" borderId="9" xfId="0" applyNumberFormat="1" applyFont="1" applyBorder="1"/>
    <xf numFmtId="164" fontId="3" fillId="0" borderId="10" xfId="0" applyNumberFormat="1" applyFont="1" applyBorder="1"/>
    <xf numFmtId="164" fontId="3" fillId="0" borderId="11" xfId="0" applyNumberFormat="1" applyFont="1" applyBorder="1"/>
    <xf numFmtId="0" fontId="7" fillId="0" borderId="0" xfId="0" applyFont="1"/>
    <xf numFmtId="0" fontId="2" fillId="2" borderId="15" xfId="0" applyFont="1" applyFill="1" applyBorder="1" applyAlignment="1">
      <alignment horizontal="center" vertical="center"/>
    </xf>
    <xf numFmtId="0" fontId="4" fillId="3" borderId="1" xfId="0" applyFont="1" applyFill="1" applyBorder="1" applyAlignment="1">
      <alignment horizontal="center" vertical="center"/>
    </xf>
    <xf numFmtId="0" fontId="3" fillId="0" borderId="16" xfId="0" applyFont="1" applyBorder="1"/>
    <xf numFmtId="0" fontId="3" fillId="0" borderId="17" xfId="0" applyFont="1" applyBorder="1"/>
    <xf numFmtId="0" fontId="7" fillId="2" borderId="1" xfId="0" applyFont="1" applyFill="1" applyBorder="1" applyAlignment="1">
      <alignment horizontal="center" vertical="center"/>
    </xf>
    <xf numFmtId="164" fontId="7" fillId="0" borderId="5" xfId="1" applyNumberFormat="1" applyFont="1" applyBorder="1"/>
    <xf numFmtId="164" fontId="7" fillId="0" borderId="18" xfId="1" applyNumberFormat="1" applyFont="1" applyBorder="1"/>
    <xf numFmtId="164" fontId="7" fillId="0" borderId="0" xfId="0" applyNumberFormat="1" applyFont="1"/>
    <xf numFmtId="164" fontId="7" fillId="0" borderId="0" xfId="1" applyNumberFormat="1" applyFont="1" applyBorder="1"/>
    <xf numFmtId="164" fontId="3" fillId="0" borderId="18" xfId="0" applyNumberFormat="1" applyFont="1" applyBorder="1"/>
    <xf numFmtId="0" fontId="4" fillId="0" borderId="14" xfId="0" applyFont="1" applyBorder="1" applyAlignment="1">
      <alignment horizontal="center" vertical="center"/>
    </xf>
    <xf numFmtId="0" fontId="4" fillId="0" borderId="1" xfId="0" applyFont="1" applyBorder="1" applyAlignment="1">
      <alignment horizontal="center" vertical="center"/>
    </xf>
    <xf numFmtId="9" fontId="3" fillId="3" borderId="1" xfId="2" applyFont="1" applyFill="1" applyBorder="1" applyAlignment="1">
      <alignment horizontal="center" vertical="center"/>
    </xf>
    <xf numFmtId="44" fontId="3" fillId="0" borderId="1" xfId="1" applyFont="1" applyBorder="1" applyAlignment="1">
      <alignment horizontal="center" vertical="center"/>
    </xf>
    <xf numFmtId="1" fontId="7" fillId="0" borderId="0" xfId="1" applyNumberFormat="1" applyFont="1" applyBorder="1" applyAlignment="1">
      <alignment horizontal="center" vertical="center"/>
    </xf>
    <xf numFmtId="1" fontId="7" fillId="0" borderId="3" xfId="1" applyNumberFormat="1" applyFont="1" applyBorder="1" applyAlignment="1">
      <alignment horizontal="center" vertical="center"/>
    </xf>
    <xf numFmtId="1" fontId="7" fillId="0" borderId="16" xfId="1" applyNumberFormat="1" applyFont="1" applyBorder="1" applyAlignment="1">
      <alignment horizontal="center" vertical="center"/>
    </xf>
    <xf numFmtId="1" fontId="7" fillId="0" borderId="17" xfId="1" applyNumberFormat="1" applyFont="1" applyBorder="1" applyAlignment="1">
      <alignment horizontal="center" vertical="center"/>
    </xf>
    <xf numFmtId="0" fontId="3" fillId="5" borderId="12"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14" xfId="0" applyFont="1" applyFill="1" applyBorder="1" applyAlignment="1">
      <alignment horizontal="center" vertical="center"/>
    </xf>
    <xf numFmtId="164" fontId="3" fillId="0" borderId="3" xfId="0" applyNumberFormat="1" applyFont="1" applyBorder="1"/>
    <xf numFmtId="164" fontId="3" fillId="0" borderId="16" xfId="0" applyNumberFormat="1" applyFont="1" applyBorder="1"/>
    <xf numFmtId="164" fontId="3" fillId="0" borderId="17" xfId="0" applyNumberFormat="1" applyFont="1" applyBorder="1"/>
    <xf numFmtId="164" fontId="3" fillId="0" borderId="3" xfId="1" applyNumberFormat="1" applyFont="1" applyBorder="1"/>
    <xf numFmtId="164" fontId="3" fillId="0" borderId="16" xfId="1" applyNumberFormat="1" applyFont="1" applyBorder="1"/>
    <xf numFmtId="164" fontId="3" fillId="0" borderId="17" xfId="1" applyNumberFormat="1" applyFont="1" applyBorder="1"/>
    <xf numFmtId="44" fontId="3" fillId="3" borderId="1" xfId="1" applyFont="1" applyFill="1" applyBorder="1" applyAlignment="1">
      <alignment horizontal="center" vertical="center"/>
    </xf>
    <xf numFmtId="44" fontId="3" fillId="0" borderId="18" xfId="1" applyFont="1" applyBorder="1"/>
    <xf numFmtId="164" fontId="3" fillId="0" borderId="15" xfId="0" applyNumberFormat="1" applyFont="1" applyBorder="1"/>
    <xf numFmtId="0" fontId="2" fillId="4" borderId="1" xfId="0" applyFont="1" applyFill="1" applyBorder="1" applyAlignment="1">
      <alignment horizontal="center" vertical="center"/>
    </xf>
    <xf numFmtId="164" fontId="7" fillId="0" borderId="6" xfId="1" applyNumberFormat="1" applyFont="1" applyBorder="1"/>
    <xf numFmtId="164" fontId="7" fillId="0" borderId="19" xfId="1" applyNumberFormat="1" applyFont="1" applyBorder="1"/>
    <xf numFmtId="164" fontId="7" fillId="0" borderId="8" xfId="0" applyNumberFormat="1" applyFont="1" applyBorder="1"/>
    <xf numFmtId="164" fontId="7" fillId="0" borderId="8" xfId="1" applyNumberFormat="1" applyFont="1" applyBorder="1"/>
    <xf numFmtId="164" fontId="3" fillId="0" borderId="19" xfId="0" applyNumberFormat="1" applyFont="1" applyBorder="1"/>
    <xf numFmtId="44" fontId="3" fillId="0" borderId="19" xfId="1" applyFont="1" applyBorder="1"/>
    <xf numFmtId="164" fontId="3" fillId="0" borderId="20" xfId="0" applyNumberFormat="1" applyFont="1" applyBorder="1"/>
    <xf numFmtId="0" fontId="7" fillId="0" borderId="3" xfId="0" applyFont="1" applyBorder="1"/>
    <xf numFmtId="0" fontId="7" fillId="0" borderId="21" xfId="0" applyFont="1" applyBorder="1"/>
    <xf numFmtId="0" fontId="8" fillId="0" borderId="16" xfId="0" applyFont="1" applyBorder="1"/>
    <xf numFmtId="0" fontId="7" fillId="0" borderId="16" xfId="0" applyFont="1" applyBorder="1"/>
    <xf numFmtId="0" fontId="3" fillId="0" borderId="16" xfId="0" applyFont="1" applyBorder="1" applyAlignment="1">
      <alignment horizontal="left" indent="1"/>
    </xf>
    <xf numFmtId="0" fontId="3" fillId="0" borderId="21" xfId="0" applyFont="1" applyBorder="1" applyAlignment="1">
      <alignment horizontal="left" indent="1"/>
    </xf>
    <xf numFmtId="0" fontId="3" fillId="0" borderId="21" xfId="0" applyFont="1" applyBorder="1"/>
    <xf numFmtId="0" fontId="3" fillId="0" borderId="22" xfId="0" applyFont="1" applyBorder="1"/>
    <xf numFmtId="0" fontId="8" fillId="0" borderId="17" xfId="0" applyFont="1" applyBorder="1"/>
    <xf numFmtId="0" fontId="7" fillId="0" borderId="21" xfId="0" applyFont="1" applyBorder="1" applyAlignment="1">
      <alignment horizontal="left" indent="1"/>
    </xf>
    <xf numFmtId="10" fontId="7" fillId="0" borderId="12" xfId="2" applyNumberFormat="1" applyFont="1" applyBorder="1" applyAlignment="1">
      <alignment horizontal="center" vertical="center"/>
    </xf>
    <xf numFmtId="10" fontId="7" fillId="0" borderId="13" xfId="2" applyNumberFormat="1" applyFont="1" applyBorder="1" applyAlignment="1">
      <alignment horizontal="center" vertical="center"/>
    </xf>
    <xf numFmtId="10" fontId="7" fillId="0" borderId="14" xfId="2" applyNumberFormat="1" applyFont="1" applyBorder="1" applyAlignment="1">
      <alignment horizontal="center" vertical="center"/>
    </xf>
    <xf numFmtId="10" fontId="7" fillId="0" borderId="0" xfId="0" applyNumberFormat="1" applyFont="1"/>
    <xf numFmtId="1" fontId="7" fillId="2" borderId="1" xfId="1" applyNumberFormat="1" applyFont="1" applyFill="1" applyBorder="1" applyAlignment="1">
      <alignment horizontal="center" vertical="center"/>
    </xf>
    <xf numFmtId="164" fontId="3" fillId="0" borderId="18" xfId="1" applyNumberFormat="1" applyFont="1" applyBorder="1"/>
    <xf numFmtId="164" fontId="3" fillId="0" borderId="15" xfId="1" applyNumberFormat="1" applyFont="1" applyBorder="1"/>
    <xf numFmtId="1" fontId="7" fillId="2" borderId="14" xfId="1" applyNumberFormat="1" applyFont="1" applyFill="1" applyBorder="1" applyAlignment="1">
      <alignment horizontal="center" vertical="center"/>
    </xf>
    <xf numFmtId="164" fontId="3" fillId="0" borderId="19" xfId="1" applyNumberFormat="1" applyFont="1" applyBorder="1"/>
    <xf numFmtId="164" fontId="3" fillId="0" borderId="20" xfId="1" applyNumberFormat="1" applyFont="1" applyBorder="1"/>
    <xf numFmtId="10" fontId="3" fillId="0" borderId="0" xfId="2" applyNumberFormat="1" applyFont="1" applyAlignment="1">
      <alignment horizontal="center" vertical="center"/>
    </xf>
    <xf numFmtId="10" fontId="3" fillId="0" borderId="0" xfId="2" applyNumberFormat="1" applyFont="1"/>
    <xf numFmtId="0" fontId="3" fillId="0" borderId="3" xfId="0" applyFont="1" applyBorder="1"/>
    <xf numFmtId="10" fontId="3" fillId="0" borderId="4" xfId="2" applyNumberFormat="1" applyFont="1" applyBorder="1" applyAlignment="1">
      <alignment horizontal="center" vertical="center"/>
    </xf>
    <xf numFmtId="10" fontId="3" fillId="0" borderId="5" xfId="2" applyNumberFormat="1" applyFont="1" applyBorder="1" applyAlignment="1">
      <alignment horizontal="center" vertical="center"/>
    </xf>
    <xf numFmtId="10" fontId="3" fillId="0" borderId="6" xfId="2" applyNumberFormat="1" applyFont="1" applyBorder="1" applyAlignment="1">
      <alignment horizontal="center" vertical="center"/>
    </xf>
    <xf numFmtId="10" fontId="3" fillId="0" borderId="7" xfId="2" applyNumberFormat="1" applyFont="1" applyBorder="1" applyAlignment="1">
      <alignment horizontal="center" vertical="center"/>
    </xf>
    <xf numFmtId="10" fontId="3" fillId="0" borderId="0" xfId="2" applyNumberFormat="1" applyFont="1" applyBorder="1" applyAlignment="1">
      <alignment horizontal="center" vertical="center"/>
    </xf>
    <xf numFmtId="10" fontId="3" fillId="0" borderId="8" xfId="2" applyNumberFormat="1" applyFont="1" applyBorder="1" applyAlignment="1">
      <alignment horizontal="center" vertical="center"/>
    </xf>
    <xf numFmtId="10" fontId="3" fillId="0" borderId="9" xfId="2" applyNumberFormat="1" applyFont="1" applyBorder="1" applyAlignment="1">
      <alignment horizontal="center" vertical="center"/>
    </xf>
    <xf numFmtId="10" fontId="3" fillId="0" borderId="10" xfId="2" applyNumberFormat="1" applyFont="1" applyBorder="1" applyAlignment="1">
      <alignment horizontal="center" vertical="center"/>
    </xf>
    <xf numFmtId="10" fontId="3" fillId="0" borderId="11" xfId="2" applyNumberFormat="1" applyFont="1" applyBorder="1" applyAlignment="1">
      <alignment horizontal="center" vertical="center"/>
    </xf>
    <xf numFmtId="0" fontId="4" fillId="2" borderId="4" xfId="0" applyFont="1" applyFill="1" applyBorder="1" applyAlignment="1">
      <alignment horizontal="center" wrapText="1"/>
    </xf>
    <xf numFmtId="1" fontId="3" fillId="2" borderId="1" xfId="0" applyNumberFormat="1" applyFont="1" applyFill="1" applyBorder="1" applyAlignment="1">
      <alignment horizontal="center" wrapText="1"/>
    </xf>
    <xf numFmtId="0" fontId="3" fillId="0" borderId="0" xfId="0" applyFont="1" applyAlignment="1">
      <alignment horizontal="center" vertical="center"/>
    </xf>
    <xf numFmtId="0" fontId="4" fillId="4" borderId="1" xfId="0" applyFont="1" applyFill="1" applyBorder="1" applyAlignment="1">
      <alignment horizontal="center" vertical="center"/>
    </xf>
    <xf numFmtId="10" fontId="3" fillId="0" borderId="3" xfId="0" applyNumberFormat="1" applyFont="1" applyBorder="1" applyAlignment="1">
      <alignment horizontal="center" vertical="center"/>
    </xf>
    <xf numFmtId="10" fontId="3" fillId="0" borderId="16" xfId="0" applyNumberFormat="1" applyFont="1" applyBorder="1" applyAlignment="1">
      <alignment horizontal="center" vertical="center"/>
    </xf>
    <xf numFmtId="10" fontId="3" fillId="0" borderId="17" xfId="0" applyNumberFormat="1" applyFont="1" applyBorder="1" applyAlignment="1">
      <alignment horizontal="center" vertical="center"/>
    </xf>
    <xf numFmtId="9" fontId="3" fillId="0" borderId="5" xfId="2" applyFont="1" applyBorder="1"/>
    <xf numFmtId="9" fontId="3" fillId="0" borderId="6" xfId="2" applyFont="1" applyBorder="1"/>
    <xf numFmtId="10" fontId="3" fillId="0" borderId="18" xfId="2" applyNumberFormat="1" applyFont="1" applyBorder="1"/>
    <xf numFmtId="10" fontId="3" fillId="0" borderId="19" xfId="2" applyNumberFormat="1" applyFont="1" applyBorder="1"/>
    <xf numFmtId="10" fontId="7" fillId="0" borderId="0" xfId="2" applyNumberFormat="1" applyFont="1"/>
    <xf numFmtId="10" fontId="7" fillId="0" borderId="8" xfId="2" applyNumberFormat="1" applyFont="1" applyBorder="1"/>
    <xf numFmtId="10" fontId="3" fillId="0" borderId="0" xfId="2" applyNumberFormat="1" applyFont="1" applyBorder="1"/>
    <xf numFmtId="10" fontId="3" fillId="0" borderId="8" xfId="2" applyNumberFormat="1" applyFont="1" applyBorder="1"/>
    <xf numFmtId="10" fontId="3" fillId="0" borderId="15" xfId="2" applyNumberFormat="1" applyFont="1" applyBorder="1"/>
    <xf numFmtId="10" fontId="3" fillId="0" borderId="20" xfId="2" applyNumberFormat="1" applyFont="1" applyBorder="1"/>
    <xf numFmtId="10" fontId="3" fillId="0" borderId="10" xfId="2" applyNumberFormat="1" applyFont="1" applyBorder="1"/>
    <xf numFmtId="10" fontId="3" fillId="0" borderId="11" xfId="2" applyNumberFormat="1" applyFont="1" applyBorder="1"/>
    <xf numFmtId="9" fontId="7" fillId="0" borderId="5" xfId="2" applyFont="1" applyBorder="1"/>
    <xf numFmtId="9" fontId="7" fillId="0" borderId="6" xfId="2" applyFont="1" applyBorder="1"/>
    <xf numFmtId="10" fontId="7" fillId="0" borderId="18" xfId="2" applyNumberFormat="1" applyFont="1" applyBorder="1"/>
    <xf numFmtId="10" fontId="7" fillId="0" borderId="19" xfId="2" applyNumberFormat="1" applyFont="1" applyBorder="1"/>
    <xf numFmtId="10" fontId="7" fillId="0" borderId="0" xfId="2" applyNumberFormat="1" applyFont="1" applyBorder="1"/>
    <xf numFmtId="10" fontId="3" fillId="0" borderId="0" xfId="0" applyNumberFormat="1" applyFont="1" applyAlignment="1">
      <alignment horizontal="center" vertical="center"/>
    </xf>
    <xf numFmtId="0" fontId="2" fillId="2" borderId="6" xfId="0" applyFont="1" applyFill="1" applyBorder="1" applyAlignment="1">
      <alignment horizontal="center"/>
    </xf>
    <xf numFmtId="0" fontId="6" fillId="0" borderId="3" xfId="0" applyFont="1" applyBorder="1"/>
    <xf numFmtId="0" fontId="6" fillId="0" borderId="16" xfId="0" applyFont="1" applyBorder="1"/>
    <xf numFmtId="164" fontId="7" fillId="0" borderId="4" xfId="1" applyNumberFormat="1" applyFont="1" applyBorder="1"/>
    <xf numFmtId="164" fontId="7" fillId="0" borderId="23" xfId="1" applyNumberFormat="1" applyFont="1" applyBorder="1"/>
    <xf numFmtId="164" fontId="7" fillId="0" borderId="7" xfId="0" applyNumberFormat="1" applyFont="1" applyBorder="1"/>
    <xf numFmtId="164" fontId="7" fillId="0" borderId="7" xfId="1" applyNumberFormat="1" applyFont="1" applyBorder="1"/>
    <xf numFmtId="164" fontId="3" fillId="0" borderId="23" xfId="0" applyNumberFormat="1" applyFont="1" applyBorder="1"/>
    <xf numFmtId="164" fontId="3" fillId="0" borderId="7" xfId="1" applyNumberFormat="1" applyFont="1" applyBorder="1"/>
    <xf numFmtId="44" fontId="3" fillId="0" borderId="7" xfId="1" applyFont="1" applyBorder="1"/>
    <xf numFmtId="44" fontId="3" fillId="0" borderId="23" xfId="1" applyFont="1" applyBorder="1"/>
    <xf numFmtId="164" fontId="3" fillId="0" borderId="24" xfId="0" applyNumberFormat="1" applyFont="1" applyBorder="1"/>
    <xf numFmtId="44" fontId="3" fillId="0" borderId="3" xfId="1" applyFont="1" applyBorder="1"/>
    <xf numFmtId="44" fontId="3" fillId="0" borderId="16" xfId="1" applyFont="1" applyBorder="1"/>
    <xf numFmtId="44" fontId="3" fillId="0" borderId="17" xfId="1" applyFont="1" applyBorder="1"/>
    <xf numFmtId="0" fontId="3" fillId="0" borderId="1" xfId="0" applyFont="1" applyBorder="1" applyAlignment="1">
      <alignment horizontal="center"/>
    </xf>
    <xf numFmtId="164" fontId="7" fillId="0" borderId="16" xfId="0" applyNumberFormat="1" applyFont="1" applyBorder="1"/>
    <xf numFmtId="164" fontId="3" fillId="0" borderId="21" xfId="0" applyNumberFormat="1" applyFont="1" applyBorder="1"/>
    <xf numFmtId="44" fontId="3" fillId="0" borderId="21" xfId="1" applyFont="1" applyBorder="1"/>
    <xf numFmtId="0" fontId="9" fillId="3" borderId="1" xfId="0" applyFont="1" applyFill="1" applyBorder="1" applyAlignment="1">
      <alignment horizontal="center" vertical="center"/>
    </xf>
    <xf numFmtId="0" fontId="2" fillId="0" borderId="1" xfId="0" applyFont="1" applyBorder="1" applyAlignment="1">
      <alignment horizontal="center" vertical="center"/>
    </xf>
    <xf numFmtId="0" fontId="3" fillId="4" borderId="0" xfId="0" applyFont="1" applyFill="1"/>
    <xf numFmtId="0" fontId="3" fillId="6" borderId="0" xfId="0" applyFont="1" applyFill="1"/>
    <xf numFmtId="0" fontId="7" fillId="2" borderId="12" xfId="0" applyFont="1" applyFill="1" applyBorder="1" applyAlignment="1">
      <alignment horizontal="center" vertical="center"/>
    </xf>
    <xf numFmtId="0" fontId="9" fillId="3" borderId="14" xfId="0" applyFont="1" applyFill="1" applyBorder="1" applyAlignment="1">
      <alignment horizontal="center" vertical="center"/>
    </xf>
    <xf numFmtId="0" fontId="3" fillId="0" borderId="3" xfId="0" applyFont="1" applyBorder="1" applyAlignment="1">
      <alignment horizontal="center" vertical="center"/>
    </xf>
    <xf numFmtId="1" fontId="4" fillId="0" borderId="0" xfId="0" applyNumberFormat="1" applyFont="1" applyAlignment="1">
      <alignment horizontal="center"/>
    </xf>
    <xf numFmtId="0" fontId="4" fillId="0" borderId="0" xfId="0" applyFont="1"/>
    <xf numFmtId="0" fontId="4" fillId="0" borderId="16" xfId="0" applyFont="1" applyBorder="1"/>
    <xf numFmtId="0" fontId="3" fillId="0" borderId="17" xfId="0" applyFont="1" applyBorder="1" applyAlignment="1">
      <alignment horizontal="left" indent="1"/>
    </xf>
    <xf numFmtId="0" fontId="3" fillId="0" borderId="8" xfId="0" applyFont="1" applyBorder="1"/>
    <xf numFmtId="0" fontId="4" fillId="2" borderId="1" xfId="0" applyFont="1" applyFill="1" applyBorder="1" applyAlignment="1">
      <alignment horizontal="center" vertical="center"/>
    </xf>
    <xf numFmtId="1" fontId="4" fillId="0" borderId="13" xfId="0" applyNumberFormat="1" applyFont="1" applyBorder="1" applyAlignment="1">
      <alignment horizontal="center" vertical="center"/>
    </xf>
    <xf numFmtId="1" fontId="4" fillId="0" borderId="14" xfId="0" applyNumberFormat="1" applyFont="1" applyBorder="1" applyAlignment="1">
      <alignment horizontal="center" vertical="center"/>
    </xf>
    <xf numFmtId="0" fontId="4" fillId="0" borderId="0" xfId="0" applyFont="1" applyAlignment="1">
      <alignment horizontal="left" vertical="top"/>
    </xf>
    <xf numFmtId="10" fontId="3" fillId="3" borderId="1" xfId="2" applyNumberFormat="1" applyFont="1" applyFill="1" applyBorder="1" applyAlignment="1">
      <alignment horizontal="center" vertical="center"/>
    </xf>
    <xf numFmtId="0" fontId="4" fillId="0" borderId="0" xfId="0" applyFont="1" applyAlignment="1">
      <alignment horizontal="center" vertical="center"/>
    </xf>
    <xf numFmtId="0" fontId="3" fillId="0" borderId="4" xfId="0" applyFont="1" applyBorder="1"/>
    <xf numFmtId="10" fontId="3" fillId="0" borderId="1" xfId="0" applyNumberFormat="1" applyFont="1" applyBorder="1" applyAlignment="1">
      <alignment horizontal="center" vertical="center"/>
    </xf>
    <xf numFmtId="1" fontId="4" fillId="2" borderId="1" xfId="0" applyNumberFormat="1" applyFont="1" applyFill="1" applyBorder="1" applyAlignment="1">
      <alignment horizontal="center" vertical="center"/>
    </xf>
    <xf numFmtId="0" fontId="4" fillId="0" borderId="1" xfId="0" applyFont="1" applyBorder="1" applyAlignment="1">
      <alignment horizontal="left" vertical="top"/>
    </xf>
    <xf numFmtId="44" fontId="3" fillId="0" borderId="0" xfId="1" applyFont="1"/>
    <xf numFmtId="44" fontId="3" fillId="0" borderId="18" xfId="0" applyNumberFormat="1" applyFont="1" applyBorder="1"/>
    <xf numFmtId="1" fontId="4" fillId="2" borderId="3" xfId="0" applyNumberFormat="1" applyFont="1" applyFill="1" applyBorder="1" applyAlignment="1">
      <alignment horizontal="center" vertical="center"/>
    </xf>
    <xf numFmtId="44" fontId="3" fillId="0" borderId="19" xfId="0" applyNumberFormat="1" applyFont="1" applyBorder="1"/>
    <xf numFmtId="44" fontId="3" fillId="0" borderId="10" xfId="0" applyNumberFormat="1" applyFont="1" applyBorder="1"/>
    <xf numFmtId="44" fontId="3" fillId="0" borderId="11" xfId="0" applyNumberFormat="1" applyFont="1" applyBorder="1"/>
    <xf numFmtId="44" fontId="3" fillId="0" borderId="4" xfId="0" applyNumberFormat="1" applyFont="1" applyBorder="1"/>
    <xf numFmtId="44" fontId="3" fillId="0" borderId="5" xfId="0" applyNumberFormat="1" applyFont="1" applyBorder="1"/>
    <xf numFmtId="44" fontId="3" fillId="0" borderId="6" xfId="0" applyNumberFormat="1" applyFont="1" applyBorder="1"/>
    <xf numFmtId="44" fontId="3" fillId="0" borderId="23" xfId="0" applyNumberFormat="1" applyFont="1" applyBorder="1"/>
    <xf numFmtId="44" fontId="3" fillId="0" borderId="9" xfId="0" applyNumberFormat="1" applyFont="1" applyBorder="1"/>
    <xf numFmtId="0" fontId="3" fillId="0" borderId="7" xfId="0" applyFont="1" applyBorder="1" applyAlignment="1">
      <alignment horizontal="right" indent="1"/>
    </xf>
    <xf numFmtId="0" fontId="3" fillId="0" borderId="7" xfId="0" applyFont="1" applyBorder="1" applyAlignment="1">
      <alignment horizontal="right"/>
    </xf>
    <xf numFmtId="0" fontId="3" fillId="0" borderId="9" xfId="0" applyFont="1" applyBorder="1" applyAlignment="1">
      <alignment horizontal="right"/>
    </xf>
    <xf numFmtId="0" fontId="3" fillId="0" borderId="0" xfId="0" applyFont="1" applyAlignment="1">
      <alignment horizontal="right"/>
    </xf>
    <xf numFmtId="0" fontId="3" fillId="0" borderId="3" xfId="0" applyFont="1" applyBorder="1" applyAlignment="1">
      <alignment horizontal="right" vertical="top"/>
    </xf>
    <xf numFmtId="0" fontId="3" fillId="0" borderId="17" xfId="0" applyFont="1" applyBorder="1" applyAlignment="1">
      <alignment horizontal="right"/>
    </xf>
    <xf numFmtId="9" fontId="3" fillId="0" borderId="1" xfId="2" applyFont="1" applyBorder="1"/>
    <xf numFmtId="0" fontId="10" fillId="0" borderId="0" xfId="0" applyFont="1"/>
    <xf numFmtId="2" fontId="3" fillId="3" borderId="1" xfId="0" applyNumberFormat="1" applyFont="1" applyFill="1" applyBorder="1"/>
    <xf numFmtId="0" fontId="3" fillId="4" borderId="8" xfId="0" applyFont="1" applyFill="1" applyBorder="1"/>
    <xf numFmtId="0" fontId="3" fillId="6" borderId="8" xfId="0" applyFont="1" applyFill="1" applyBorder="1"/>
    <xf numFmtId="0" fontId="3" fillId="0" borderId="11" xfId="0" applyFont="1" applyBorder="1"/>
    <xf numFmtId="9" fontId="7" fillId="0" borderId="3" xfId="2" applyFont="1" applyBorder="1"/>
    <xf numFmtId="10" fontId="7" fillId="0" borderId="21" xfId="2" applyNumberFormat="1" applyFont="1" applyBorder="1"/>
    <xf numFmtId="10" fontId="7" fillId="0" borderId="16" xfId="2" applyNumberFormat="1" applyFont="1" applyBorder="1"/>
    <xf numFmtId="10" fontId="3" fillId="0" borderId="16" xfId="2" applyNumberFormat="1" applyFont="1" applyBorder="1"/>
    <xf numFmtId="10" fontId="3" fillId="0" borderId="21" xfId="2" applyNumberFormat="1" applyFont="1" applyBorder="1"/>
    <xf numFmtId="10" fontId="3" fillId="0" borderId="17" xfId="2" applyNumberFormat="1" applyFont="1" applyBorder="1"/>
    <xf numFmtId="10" fontId="3" fillId="0" borderId="5" xfId="2" applyNumberFormat="1" applyFont="1" applyBorder="1"/>
    <xf numFmtId="10" fontId="3" fillId="0" borderId="6" xfId="2" applyNumberFormat="1" applyFont="1" applyBorder="1"/>
    <xf numFmtId="0" fontId="7" fillId="0" borderId="16" xfId="0" applyFont="1" applyBorder="1" applyAlignment="1">
      <alignment horizontal="left" indent="1"/>
    </xf>
    <xf numFmtId="0" fontId="8" fillId="0" borderId="3" xfId="0" applyFont="1" applyBorder="1"/>
    <xf numFmtId="165" fontId="3" fillId="0" borderId="0" xfId="2" applyNumberFormat="1" applyFont="1"/>
    <xf numFmtId="44" fontId="3" fillId="0" borderId="0" xfId="0" applyNumberFormat="1" applyFont="1"/>
    <xf numFmtId="0" fontId="3" fillId="0" borderId="0" xfId="0" applyFont="1" applyAlignment="1">
      <alignment horizontal="left"/>
    </xf>
    <xf numFmtId="1" fontId="3" fillId="0" borderId="0" xfId="0" applyNumberFormat="1" applyFont="1"/>
    <xf numFmtId="164" fontId="3" fillId="0" borderId="0" xfId="0" applyNumberFormat="1" applyFont="1" applyAlignment="1">
      <alignment horizontal="center" vertical="center"/>
    </xf>
    <xf numFmtId="0" fontId="11" fillId="0" borderId="0" xfId="0" applyFont="1" applyAlignment="1">
      <alignment vertical="center"/>
    </xf>
    <xf numFmtId="0" fontId="4" fillId="0" borderId="0" xfId="0" applyFont="1" applyAlignment="1">
      <alignment horizontal="left" vertical="center" indent="1"/>
    </xf>
    <xf numFmtId="0" fontId="4" fillId="7" borderId="12" xfId="0" applyFont="1" applyFill="1" applyBorder="1" applyAlignment="1">
      <alignment horizontal="center" vertical="center"/>
    </xf>
    <xf numFmtId="0" fontId="4" fillId="7" borderId="13" xfId="0" applyFont="1" applyFill="1" applyBorder="1" applyAlignment="1">
      <alignment horizontal="center" vertical="center"/>
    </xf>
    <xf numFmtId="0" fontId="4" fillId="7" borderId="14"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2" xfId="0" applyFont="1" applyFill="1" applyBorder="1" applyAlignment="1">
      <alignment horizontal="center" wrapText="1"/>
    </xf>
    <xf numFmtId="0" fontId="4" fillId="4" borderId="13" xfId="0" applyFont="1" applyFill="1" applyBorder="1" applyAlignment="1">
      <alignment horizontal="center" wrapText="1"/>
    </xf>
    <xf numFmtId="0" fontId="4" fillId="4" borderId="14" xfId="0" applyFont="1" applyFill="1" applyBorder="1" applyAlignment="1">
      <alignment horizontal="center" wrapText="1"/>
    </xf>
    <xf numFmtId="0" fontId="3" fillId="4" borderId="12" xfId="0" applyFont="1" applyFill="1" applyBorder="1" applyAlignment="1">
      <alignment horizontal="center" wrapText="1"/>
    </xf>
    <xf numFmtId="0" fontId="3" fillId="4" borderId="13" xfId="0" applyFont="1" applyFill="1" applyBorder="1" applyAlignment="1">
      <alignment horizontal="center" wrapText="1"/>
    </xf>
    <xf numFmtId="0" fontId="3" fillId="4" borderId="14" xfId="0" applyFont="1" applyFill="1" applyBorder="1" applyAlignment="1">
      <alignment horizontal="center" wrapText="1"/>
    </xf>
    <xf numFmtId="164" fontId="3" fillId="0" borderId="7" xfId="0" applyNumberFormat="1" applyFont="1" applyBorder="1" applyAlignment="1">
      <alignment horizontal="left" vertical="top" wrapText="1"/>
    </xf>
    <xf numFmtId="164" fontId="3" fillId="0" borderId="0" xfId="0" applyNumberFormat="1" applyFont="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0"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cellXfs>
  <cellStyles count="3">
    <cellStyle name="Currency" xfId="1" builtinId="4"/>
    <cellStyle name="Normal" xfId="0" builtinId="0"/>
    <cellStyle name="Percent" xfId="2" builtinId="5"/>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r>
              <a:rPr lang="en-US"/>
              <a:t>Segment Profitability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endParaRPr lang="en-US"/>
        </a:p>
      </c:txPr>
    </c:title>
    <c:autoTitleDeleted val="0"/>
    <c:plotArea>
      <c:layout/>
      <c:lineChart>
        <c:grouping val="standard"/>
        <c:varyColors val="0"/>
        <c:ser>
          <c:idx val="0"/>
          <c:order val="0"/>
          <c:tx>
            <c:strRef>
              <c:f>'Executive Dashboard'!$A$6</c:f>
              <c:strCache>
                <c:ptCount val="1"/>
                <c:pt idx="0">
                  <c:v>Software </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numRef>
              <c:f>'Executive Dashboard'!$B$3:$L$3</c:f>
              <c:numCache>
                <c:formatCode>0</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'Executive Dashboard'!$B$6:$L$6</c:f>
              <c:numCache>
                <c:formatCode>_("$"* #,##0_);_("$"* \(#,##0\);_("$"* "-"??_);_(@_)</c:formatCode>
                <c:ptCount val="11"/>
                <c:pt idx="0">
                  <c:v>961646659</c:v>
                </c:pt>
                <c:pt idx="1">
                  <c:v>904931992</c:v>
                </c:pt>
                <c:pt idx="2">
                  <c:v>853488073</c:v>
                </c:pt>
                <c:pt idx="3">
                  <c:v>871661019</c:v>
                </c:pt>
                <c:pt idx="4">
                  <c:v>974432082</c:v>
                </c:pt>
                <c:pt idx="5">
                  <c:v>966913536</c:v>
                </c:pt>
                <c:pt idx="6">
                  <c:v>880895253</c:v>
                </c:pt>
                <c:pt idx="7">
                  <c:v>921818453</c:v>
                </c:pt>
                <c:pt idx="8">
                  <c:v>776802076</c:v>
                </c:pt>
                <c:pt idx="9">
                  <c:v>860819143</c:v>
                </c:pt>
                <c:pt idx="10">
                  <c:v>930566005</c:v>
                </c:pt>
              </c:numCache>
            </c:numRef>
          </c:val>
          <c:smooth val="0"/>
          <c:extLst>
            <c:ext xmlns:c16="http://schemas.microsoft.com/office/drawing/2014/chart" uri="{C3380CC4-5D6E-409C-BE32-E72D297353CC}">
              <c16:uniqueId val="{00000000-DB22-4382-9BFD-1534E02AF64A}"/>
            </c:ext>
          </c:extLst>
        </c:ser>
        <c:ser>
          <c:idx val="1"/>
          <c:order val="1"/>
          <c:tx>
            <c:strRef>
              <c:f>'Executive Dashboard'!$A$7</c:f>
              <c:strCache>
                <c:ptCount val="1"/>
                <c:pt idx="0">
                  <c:v>Hardware</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cat>
            <c:numRef>
              <c:f>'Executive Dashboard'!$B$3:$L$3</c:f>
              <c:numCache>
                <c:formatCode>0</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'Executive Dashboard'!$B$7:$L$7</c:f>
              <c:numCache>
                <c:formatCode>_("$"* #,##0_);_("$"* \(#,##0\);_("$"* "-"??_);_(@_)</c:formatCode>
                <c:ptCount val="11"/>
                <c:pt idx="0">
                  <c:v>343023652.19000006</c:v>
                </c:pt>
                <c:pt idx="1">
                  <c:v>317988231.24000007</c:v>
                </c:pt>
                <c:pt idx="2">
                  <c:v>304890764.07000005</c:v>
                </c:pt>
                <c:pt idx="3">
                  <c:v>313060221.75999999</c:v>
                </c:pt>
                <c:pt idx="4">
                  <c:v>337573385.60999995</c:v>
                </c:pt>
                <c:pt idx="5">
                  <c:v>348724551.88000005</c:v>
                </c:pt>
                <c:pt idx="6">
                  <c:v>314507191.90999997</c:v>
                </c:pt>
                <c:pt idx="7">
                  <c:v>312074244.86000001</c:v>
                </c:pt>
                <c:pt idx="8">
                  <c:v>271040027.50999999</c:v>
                </c:pt>
                <c:pt idx="9">
                  <c:v>307064490.77999997</c:v>
                </c:pt>
                <c:pt idx="10">
                  <c:v>327295433.07999998</c:v>
                </c:pt>
              </c:numCache>
            </c:numRef>
          </c:val>
          <c:smooth val="0"/>
          <c:extLst>
            <c:ext xmlns:c16="http://schemas.microsoft.com/office/drawing/2014/chart" uri="{C3380CC4-5D6E-409C-BE32-E72D297353CC}">
              <c16:uniqueId val="{00000001-DB22-4382-9BFD-1534E02AF64A}"/>
            </c:ext>
          </c:extLst>
        </c:ser>
        <c:ser>
          <c:idx val="2"/>
          <c:order val="2"/>
          <c:tx>
            <c:strRef>
              <c:f>'Executive Dashboard'!$A$8</c:f>
              <c:strCache>
                <c:ptCount val="1"/>
                <c:pt idx="0">
                  <c:v>Advertising</c:v>
                </c:pt>
              </c:strCache>
            </c:strRef>
          </c:tx>
          <c:spPr>
            <a:ln w="34925" cap="rnd">
              <a:solidFill>
                <a:schemeClr val="accent3"/>
              </a:solidFill>
              <a:round/>
            </a:ln>
            <a:effectLst>
              <a:outerShdw blurRad="40000" dist="23000" dir="5400000" rotWithShape="0">
                <a:srgbClr val="000000">
                  <a:alpha val="35000"/>
                </a:srgbClr>
              </a:outerShdw>
            </a:effectLst>
          </c:spPr>
          <c:marker>
            <c:symbol val="none"/>
          </c:marker>
          <c:cat>
            <c:numRef>
              <c:f>'Executive Dashboard'!$B$3:$L$3</c:f>
              <c:numCache>
                <c:formatCode>0</c:formatCode>
                <c:ptCount val="11"/>
                <c:pt idx="0">
                  <c:v>2012</c:v>
                </c:pt>
                <c:pt idx="1">
                  <c:v>2013</c:v>
                </c:pt>
                <c:pt idx="2">
                  <c:v>2014</c:v>
                </c:pt>
                <c:pt idx="3">
                  <c:v>2015</c:v>
                </c:pt>
                <c:pt idx="4">
                  <c:v>2016</c:v>
                </c:pt>
                <c:pt idx="5">
                  <c:v>2017</c:v>
                </c:pt>
                <c:pt idx="6">
                  <c:v>2018</c:v>
                </c:pt>
                <c:pt idx="7">
                  <c:v>2019</c:v>
                </c:pt>
                <c:pt idx="8">
                  <c:v>2020</c:v>
                </c:pt>
                <c:pt idx="9">
                  <c:v>2021</c:v>
                </c:pt>
                <c:pt idx="10">
                  <c:v>2022</c:v>
                </c:pt>
              </c:numCache>
            </c:numRef>
          </c:cat>
          <c:val>
            <c:numRef>
              <c:f>'Executive Dashboard'!$B$8:$L$8</c:f>
              <c:numCache>
                <c:formatCode>_("$"* #,##0_);_("$"* \(#,##0\);_("$"* "-"??_);_(@_)</c:formatCode>
                <c:ptCount val="11"/>
                <c:pt idx="0">
                  <c:v>249390381.65000004</c:v>
                </c:pt>
                <c:pt idx="1">
                  <c:v>233063515.26000002</c:v>
                </c:pt>
                <c:pt idx="2">
                  <c:v>217348600.36000001</c:v>
                </c:pt>
                <c:pt idx="3">
                  <c:v>214317834.16999999</c:v>
                </c:pt>
                <c:pt idx="4">
                  <c:v>246801534.03999999</c:v>
                </c:pt>
                <c:pt idx="5">
                  <c:v>241211029.66</c:v>
                </c:pt>
                <c:pt idx="6">
                  <c:v>229416144.45000002</c:v>
                </c:pt>
                <c:pt idx="7">
                  <c:v>224847013.13</c:v>
                </c:pt>
                <c:pt idx="8">
                  <c:v>203814678.03</c:v>
                </c:pt>
                <c:pt idx="9">
                  <c:v>209139302.31999999</c:v>
                </c:pt>
                <c:pt idx="10">
                  <c:v>237886936.93000001</c:v>
                </c:pt>
              </c:numCache>
            </c:numRef>
          </c:val>
          <c:smooth val="0"/>
          <c:extLst>
            <c:ext xmlns:c16="http://schemas.microsoft.com/office/drawing/2014/chart" uri="{C3380CC4-5D6E-409C-BE32-E72D297353CC}">
              <c16:uniqueId val="{00000002-DB22-4382-9BFD-1534E02AF64A}"/>
            </c:ext>
          </c:extLst>
        </c:ser>
        <c:dLbls>
          <c:showLegendKey val="0"/>
          <c:showVal val="0"/>
          <c:showCatName val="0"/>
          <c:showSerName val="0"/>
          <c:showPercent val="0"/>
          <c:showBubbleSize val="0"/>
        </c:dLbls>
        <c:smooth val="0"/>
        <c:axId val="1098985167"/>
        <c:axId val="1098994287"/>
      </c:lineChart>
      <c:catAx>
        <c:axId val="1098985167"/>
        <c:scaling>
          <c:orientation val="minMax"/>
        </c:scaling>
        <c:delete val="0"/>
        <c:axPos val="b"/>
        <c:numFmt formatCode="0"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1098994287"/>
        <c:crosses val="autoZero"/>
        <c:auto val="1"/>
        <c:lblAlgn val="ctr"/>
        <c:lblOffset val="100"/>
        <c:noMultiLvlLbl val="0"/>
      </c:catAx>
      <c:valAx>
        <c:axId val="1098994287"/>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10989851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bg1"/>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t>Margin Analysis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strRef>
              <c:f>'Master Pro-Forma'!$A$20</c:f>
              <c:strCache>
                <c:ptCount val="1"/>
                <c:pt idx="0">
                  <c:v>Gross Margin (GM)</c:v>
                </c:pt>
              </c:strCache>
            </c:strRef>
          </c:tx>
          <c:spPr>
            <a:solidFill>
              <a:schemeClr val="accent1"/>
            </a:solidFill>
            <a:ln>
              <a:noFill/>
            </a:ln>
            <a:effectLst/>
          </c:spPr>
          <c:invertIfNegative val="0"/>
          <c:cat>
            <c:strRef>
              <c:f>'Master Pro-Forma'!$B$18:$L$19</c:f>
              <c:strCache>
                <c:ptCount val="11"/>
                <c:pt idx="0">
                  <c:v>2012</c:v>
                </c:pt>
                <c:pt idx="1">
                  <c:v>2013</c:v>
                </c:pt>
                <c:pt idx="2">
                  <c:v>2014</c:v>
                </c:pt>
                <c:pt idx="3">
                  <c:v>2015</c:v>
                </c:pt>
                <c:pt idx="4">
                  <c:v>2016</c:v>
                </c:pt>
                <c:pt idx="5">
                  <c:v>2017</c:v>
                </c:pt>
                <c:pt idx="6">
                  <c:v>2018</c:v>
                </c:pt>
                <c:pt idx="7">
                  <c:v>2019</c:v>
                </c:pt>
                <c:pt idx="8">
                  <c:v>2020</c:v>
                </c:pt>
                <c:pt idx="9">
                  <c:v>2021</c:v>
                </c:pt>
                <c:pt idx="10">
                  <c:v>2022</c:v>
                </c:pt>
              </c:strCache>
            </c:strRef>
          </c:cat>
          <c:val>
            <c:numRef>
              <c:f>'Master Pro-Forma'!$B$20:$L$20</c:f>
              <c:numCache>
                <c:formatCode>0.00%</c:formatCode>
                <c:ptCount val="11"/>
                <c:pt idx="0">
                  <c:v>0.54271584161792752</c:v>
                </c:pt>
                <c:pt idx="1">
                  <c:v>0.51665817184571516</c:v>
                </c:pt>
                <c:pt idx="2">
                  <c:v>0.47685529133082377</c:v>
                </c:pt>
                <c:pt idx="3">
                  <c:v>0.49762455578021619</c:v>
                </c:pt>
                <c:pt idx="4">
                  <c:v>0.55318211483681667</c:v>
                </c:pt>
                <c:pt idx="5">
                  <c:v>0.5520392186049109</c:v>
                </c:pt>
                <c:pt idx="6">
                  <c:v>0.50074960710696004</c:v>
                </c:pt>
                <c:pt idx="7">
                  <c:v>0.52469151092154342</c:v>
                </c:pt>
                <c:pt idx="8">
                  <c:v>0.44963910145814501</c:v>
                </c:pt>
                <c:pt idx="9">
                  <c:v>0.48687229757885614</c:v>
                </c:pt>
                <c:pt idx="10">
                  <c:v>0.53245305979513147</c:v>
                </c:pt>
              </c:numCache>
            </c:numRef>
          </c:val>
          <c:extLst>
            <c:ext xmlns:c16="http://schemas.microsoft.com/office/drawing/2014/chart" uri="{C3380CC4-5D6E-409C-BE32-E72D297353CC}">
              <c16:uniqueId val="{00000000-A36A-4ED2-A24E-E7FD510FF9FF}"/>
            </c:ext>
          </c:extLst>
        </c:ser>
        <c:ser>
          <c:idx val="1"/>
          <c:order val="1"/>
          <c:tx>
            <c:strRef>
              <c:f>'Master Pro-Forma'!$A$21</c:f>
              <c:strCache>
                <c:ptCount val="1"/>
                <c:pt idx="0">
                  <c:v>Operating Margin (OM)</c:v>
                </c:pt>
              </c:strCache>
            </c:strRef>
          </c:tx>
          <c:spPr>
            <a:solidFill>
              <a:schemeClr val="accent2"/>
            </a:solidFill>
            <a:ln>
              <a:noFill/>
            </a:ln>
            <a:effectLst/>
          </c:spPr>
          <c:invertIfNegative val="0"/>
          <c:cat>
            <c:strRef>
              <c:f>'Master Pro-Forma'!$B$18:$L$19</c:f>
              <c:strCache>
                <c:ptCount val="11"/>
                <c:pt idx="0">
                  <c:v>2012</c:v>
                </c:pt>
                <c:pt idx="1">
                  <c:v>2013</c:v>
                </c:pt>
                <c:pt idx="2">
                  <c:v>2014</c:v>
                </c:pt>
                <c:pt idx="3">
                  <c:v>2015</c:v>
                </c:pt>
                <c:pt idx="4">
                  <c:v>2016</c:v>
                </c:pt>
                <c:pt idx="5">
                  <c:v>2017</c:v>
                </c:pt>
                <c:pt idx="6">
                  <c:v>2018</c:v>
                </c:pt>
                <c:pt idx="7">
                  <c:v>2019</c:v>
                </c:pt>
                <c:pt idx="8">
                  <c:v>2020</c:v>
                </c:pt>
                <c:pt idx="9">
                  <c:v>2021</c:v>
                </c:pt>
                <c:pt idx="10">
                  <c:v>2022</c:v>
                </c:pt>
              </c:strCache>
            </c:strRef>
          </c:cat>
          <c:val>
            <c:numRef>
              <c:f>'Master Pro-Forma'!$B$21:$L$21</c:f>
              <c:numCache>
                <c:formatCode>0.00%</c:formatCode>
                <c:ptCount val="11"/>
                <c:pt idx="0">
                  <c:v>0.18232866112052629</c:v>
                </c:pt>
                <c:pt idx="1">
                  <c:v>0.17781294987943214</c:v>
                </c:pt>
                <c:pt idx="2">
                  <c:v>0.15734400538031601</c:v>
                </c:pt>
                <c:pt idx="3">
                  <c:v>0.17072944366843418</c:v>
                </c:pt>
                <c:pt idx="4">
                  <c:v>0.19010289983955656</c:v>
                </c:pt>
                <c:pt idx="5">
                  <c:v>0.18899860699056653</c:v>
                </c:pt>
                <c:pt idx="6">
                  <c:v>0.16590363242145217</c:v>
                </c:pt>
                <c:pt idx="7">
                  <c:v>0.18594844584059403</c:v>
                </c:pt>
                <c:pt idx="8">
                  <c:v>0.15604916799122873</c:v>
                </c:pt>
                <c:pt idx="9">
                  <c:v>0.16515628306415148</c:v>
                </c:pt>
                <c:pt idx="10">
                  <c:v>0.18255879895983182</c:v>
                </c:pt>
              </c:numCache>
            </c:numRef>
          </c:val>
          <c:extLst>
            <c:ext xmlns:c16="http://schemas.microsoft.com/office/drawing/2014/chart" uri="{C3380CC4-5D6E-409C-BE32-E72D297353CC}">
              <c16:uniqueId val="{00000001-A36A-4ED2-A24E-E7FD510FF9FF}"/>
            </c:ext>
          </c:extLst>
        </c:ser>
        <c:ser>
          <c:idx val="2"/>
          <c:order val="2"/>
          <c:tx>
            <c:strRef>
              <c:f>'Master Pro-Forma'!$A$22</c:f>
              <c:strCache>
                <c:ptCount val="1"/>
                <c:pt idx="0">
                  <c:v>Profit Marging (PM)</c:v>
                </c:pt>
              </c:strCache>
            </c:strRef>
          </c:tx>
          <c:spPr>
            <a:solidFill>
              <a:schemeClr val="accent3"/>
            </a:solidFill>
            <a:ln>
              <a:noFill/>
            </a:ln>
            <a:effectLst/>
          </c:spPr>
          <c:invertIfNegative val="0"/>
          <c:cat>
            <c:strRef>
              <c:f>'Master Pro-Forma'!$B$18:$L$19</c:f>
              <c:strCache>
                <c:ptCount val="11"/>
                <c:pt idx="0">
                  <c:v>2012</c:v>
                </c:pt>
                <c:pt idx="1">
                  <c:v>2013</c:v>
                </c:pt>
                <c:pt idx="2">
                  <c:v>2014</c:v>
                </c:pt>
                <c:pt idx="3">
                  <c:v>2015</c:v>
                </c:pt>
                <c:pt idx="4">
                  <c:v>2016</c:v>
                </c:pt>
                <c:pt idx="5">
                  <c:v>2017</c:v>
                </c:pt>
                <c:pt idx="6">
                  <c:v>2018</c:v>
                </c:pt>
                <c:pt idx="7">
                  <c:v>2019</c:v>
                </c:pt>
                <c:pt idx="8">
                  <c:v>2020</c:v>
                </c:pt>
                <c:pt idx="9">
                  <c:v>2021</c:v>
                </c:pt>
                <c:pt idx="10">
                  <c:v>2022</c:v>
                </c:pt>
              </c:strCache>
            </c:strRef>
          </c:cat>
          <c:val>
            <c:numRef>
              <c:f>'Master Pro-Forma'!$B$22:$L$22</c:f>
              <c:numCache>
                <c:formatCode>0.00%</c:formatCode>
                <c:ptCount val="11"/>
                <c:pt idx="0">
                  <c:v>0.13253802294916273</c:v>
                </c:pt>
                <c:pt idx="1">
                  <c:v>0.12957769431257016</c:v>
                </c:pt>
                <c:pt idx="2">
                  <c:v>0.11497150539762158</c:v>
                </c:pt>
                <c:pt idx="3">
                  <c:v>0.12507901591735404</c:v>
                </c:pt>
                <c:pt idx="4">
                  <c:v>0.13955777949167955</c:v>
                </c:pt>
                <c:pt idx="5">
                  <c:v>0.13908778628132304</c:v>
                </c:pt>
                <c:pt idx="6">
                  <c:v>0.12256459541527576</c:v>
                </c:pt>
                <c:pt idx="7">
                  <c:v>0.13753344978065551</c:v>
                </c:pt>
                <c:pt idx="8">
                  <c:v>0.11604311752002498</c:v>
                </c:pt>
                <c:pt idx="9">
                  <c:v>0.12302745209266479</c:v>
                </c:pt>
                <c:pt idx="10">
                  <c:v>0.13606742926591761</c:v>
                </c:pt>
              </c:numCache>
            </c:numRef>
          </c:val>
          <c:extLst>
            <c:ext xmlns:c16="http://schemas.microsoft.com/office/drawing/2014/chart" uri="{C3380CC4-5D6E-409C-BE32-E72D297353CC}">
              <c16:uniqueId val="{00000002-A36A-4ED2-A24E-E7FD510FF9FF}"/>
            </c:ext>
          </c:extLst>
        </c:ser>
        <c:dLbls>
          <c:showLegendKey val="0"/>
          <c:showVal val="0"/>
          <c:showCatName val="0"/>
          <c:showSerName val="0"/>
          <c:showPercent val="0"/>
          <c:showBubbleSize val="0"/>
        </c:dLbls>
        <c:gapWidth val="219"/>
        <c:overlap val="-27"/>
        <c:axId val="971766079"/>
        <c:axId val="971759839"/>
      </c:barChart>
      <c:catAx>
        <c:axId val="97176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971759839"/>
        <c:crosses val="autoZero"/>
        <c:auto val="1"/>
        <c:lblAlgn val="ctr"/>
        <c:lblOffset val="100"/>
        <c:noMultiLvlLbl val="0"/>
      </c:catAx>
      <c:valAx>
        <c:axId val="9717598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971766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emf"/><Relationship Id="rId5" Type="http://schemas.openxmlformats.org/officeDocument/2006/relationships/image" Target="../media/image3.png"/><Relationship Id="rId4"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563880</xdr:colOff>
      <xdr:row>0</xdr:row>
      <xdr:rowOff>152400</xdr:rowOff>
    </xdr:from>
    <xdr:to>
      <xdr:col>4</xdr:col>
      <xdr:colOff>38100</xdr:colOff>
      <xdr:row>14</xdr:row>
      <xdr:rowOff>163830</xdr:rowOff>
    </xdr:to>
    <xdr:graphicFrame macro="">
      <xdr:nvGraphicFramePr>
        <xdr:cNvPr id="2" name="Chart 1">
          <a:extLst>
            <a:ext uri="{FF2B5EF4-FFF2-40B4-BE49-F238E27FC236}">
              <a16:creationId xmlns:a16="http://schemas.microsoft.com/office/drawing/2014/main" id="{268A8491-74F7-46D2-031D-4A503F07A4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114300</xdr:colOff>
      <xdr:row>0</xdr:row>
      <xdr:rowOff>167640</xdr:rowOff>
    </xdr:from>
    <xdr:to>
      <xdr:col>6</xdr:col>
      <xdr:colOff>1074420</xdr:colOff>
      <xdr:row>14</xdr:row>
      <xdr:rowOff>68580</xdr:rowOff>
    </xdr:to>
    <xdr:graphicFrame macro="">
      <xdr:nvGraphicFramePr>
        <xdr:cNvPr id="3" name="Chart 2">
          <a:extLst>
            <a:ext uri="{FF2B5EF4-FFF2-40B4-BE49-F238E27FC236}">
              <a16:creationId xmlns:a16="http://schemas.microsoft.com/office/drawing/2014/main" id="{881686ED-756C-4983-98CB-EE718092B9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20</xdr:row>
      <xdr:rowOff>76200</xdr:rowOff>
    </xdr:from>
    <xdr:to>
      <xdr:col>7</xdr:col>
      <xdr:colOff>589306</xdr:colOff>
      <xdr:row>30</xdr:row>
      <xdr:rowOff>15239</xdr:rowOff>
    </xdr:to>
    <xdr:pic>
      <xdr:nvPicPr>
        <xdr:cNvPr id="4" name="Picture 3">
          <a:extLst>
            <a:ext uri="{FF2B5EF4-FFF2-40B4-BE49-F238E27FC236}">
              <a16:creationId xmlns:a16="http://schemas.microsoft.com/office/drawing/2014/main" id="{003DD98C-62BA-3A3E-F0B1-3CE0EC5CBDB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710940"/>
          <a:ext cx="8597926" cy="17068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68524</xdr:rowOff>
    </xdr:from>
    <xdr:to>
      <xdr:col>8</xdr:col>
      <xdr:colOff>982980</xdr:colOff>
      <xdr:row>33</xdr:row>
      <xdr:rowOff>15240</xdr:rowOff>
    </xdr:to>
    <xdr:pic>
      <xdr:nvPicPr>
        <xdr:cNvPr id="6" name="Picture 5">
          <a:extLst>
            <a:ext uri="{FF2B5EF4-FFF2-40B4-BE49-F238E27FC236}">
              <a16:creationId xmlns:a16="http://schemas.microsoft.com/office/drawing/2014/main" id="{2A7A520D-422C-730E-8EC4-6FB960891B8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5455864"/>
          <a:ext cx="10096500" cy="472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10220</xdr:rowOff>
    </xdr:from>
    <xdr:to>
      <xdr:col>2</xdr:col>
      <xdr:colOff>175945</xdr:colOff>
      <xdr:row>45</xdr:row>
      <xdr:rowOff>15788</xdr:rowOff>
    </xdr:to>
    <xdr:pic>
      <xdr:nvPicPr>
        <xdr:cNvPr id="7" name="Picture 6">
          <a:extLst>
            <a:ext uri="{FF2B5EF4-FFF2-40B4-BE49-F238E27FC236}">
              <a16:creationId xmlns:a16="http://schemas.microsoft.com/office/drawing/2014/main" id="{C0AB8BDD-DF57-2DEC-D9EE-21479AC42F4B}"/>
            </a:ext>
          </a:extLst>
        </xdr:cNvPr>
        <xdr:cNvPicPr>
          <a:picLocks noChangeAspect="1"/>
        </xdr:cNvPicPr>
      </xdr:nvPicPr>
      <xdr:blipFill>
        <a:blip xmlns:r="http://schemas.openxmlformats.org/officeDocument/2006/relationships" r:embed="rId5"/>
        <a:stretch>
          <a:fillRect/>
        </a:stretch>
      </xdr:blipFill>
      <xdr:spPr>
        <a:xfrm>
          <a:off x="0" y="5923340"/>
          <a:ext cx="2660065" cy="2123928"/>
        </a:xfrm>
        <a:prstGeom prst="rect">
          <a:avLst/>
        </a:prstGeom>
      </xdr:spPr>
    </xdr:pic>
    <xdr:clientData/>
  </xdr:twoCellAnchor>
  <xdr:twoCellAnchor editAs="oneCell">
    <xdr:from>
      <xdr:col>2</xdr:col>
      <xdr:colOff>556260</xdr:colOff>
      <xdr:row>33</xdr:row>
      <xdr:rowOff>106720</xdr:rowOff>
    </xdr:from>
    <xdr:to>
      <xdr:col>8</xdr:col>
      <xdr:colOff>358140</xdr:colOff>
      <xdr:row>48</xdr:row>
      <xdr:rowOff>106679</xdr:rowOff>
    </xdr:to>
    <xdr:pic>
      <xdr:nvPicPr>
        <xdr:cNvPr id="8" name="Picture 7">
          <a:extLst>
            <a:ext uri="{FF2B5EF4-FFF2-40B4-BE49-F238E27FC236}">
              <a16:creationId xmlns:a16="http://schemas.microsoft.com/office/drawing/2014/main" id="{CB76148E-E640-F142-687C-EAD98D29EEA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040380" y="6019840"/>
          <a:ext cx="6431280" cy="26440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kevin robinson" id="{15F7CEBA-4BA8-43A2-967E-B12F1B5BA78D}" userId="3b1a04007f80a09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2" dT="2025-09-01T12:35:43.32" personId="{15F7CEBA-4BA8-43A2-967E-B12F1B5BA78D}" id="{91D9978D-2B34-4A15-9B86-2F925C9D74CF}">
    <text xml:space="preserve">U.S. Effective Average → ~25–27% after adding state taxes. </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9-01T12:35:43.32" personId="{15F7CEBA-4BA8-43A2-967E-B12F1B5BA78D}" id="{20232B5E-06D5-4E97-A960-73701B20240E}">
    <text xml:space="preserve">U.S. Effective Average → ~25–27% after adding state taxes. </text>
  </threadedComment>
</ThreadedComments>
</file>

<file path=xl/threadedComments/threadedComment3.xml><?xml version="1.0" encoding="utf-8"?>
<ThreadedComments xmlns="http://schemas.microsoft.com/office/spreadsheetml/2018/threadedcomments" xmlns:x="http://schemas.openxmlformats.org/spreadsheetml/2006/main">
  <threadedComment ref="P2" dT="2025-09-01T12:35:43.32" personId="{15F7CEBA-4BA8-43A2-967E-B12F1B5BA78D}" id="{9D612119-DF48-4D03-BB41-93AE3BFC3322}">
    <text xml:space="preserve">U.S. Effective Average → ~25–27% after adding state taxes. </text>
  </threadedComment>
  <threadedComment ref="A14" dT="2025-09-01T11:49:00.69" personId="{15F7CEBA-4BA8-43A2-967E-B12F1B5BA78D}" id="{EA30DEE6-E3D3-4865-86CA-5DCAD3CB9ED3}">
    <text xml:space="preserve">10–30% of annual revenue for service-heavy / advertising / software businesses. </text>
  </threadedComment>
  <threadedComment ref="A14" dT="2025-09-01T11:51:16.58" personId="{15F7CEBA-4BA8-43A2-967E-B12F1B5BA78D}" id="{CD3773D5-F6AA-4E3D-9ABA-26594E4E867B}" parentId="{EA30DEE6-E3D3-4865-86CA-5DCAD3CB9ED3}">
    <text>30 year straight line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168C6-0DD0-4AA3-9D61-FBEEC0825DC7}">
  <dimension ref="A2:O37"/>
  <sheetViews>
    <sheetView tabSelected="1" topLeftCell="B24" workbookViewId="0">
      <selection activeCell="J24" sqref="J24"/>
    </sheetView>
  </sheetViews>
  <sheetFormatPr defaultRowHeight="13.8" x14ac:dyDescent="0.25"/>
  <cols>
    <col min="1" max="1" width="20.109375" style="1" bestFit="1" customWidth="1"/>
    <col min="2" max="12" width="16.109375" style="1" bestFit="1" customWidth="1"/>
    <col min="13" max="16384" width="8.88671875" style="1"/>
  </cols>
  <sheetData>
    <row r="2" spans="1:13" ht="14.4" thickBot="1" x14ac:dyDescent="0.3">
      <c r="A2" s="157" t="s">
        <v>86</v>
      </c>
    </row>
    <row r="3" spans="1:13" ht="14.4" thickBot="1" x14ac:dyDescent="0.3">
      <c r="A3" s="157" t="s">
        <v>67</v>
      </c>
      <c r="B3" s="169">
        <f>'Operational Finance'!B2</f>
        <v>2012</v>
      </c>
      <c r="C3" s="169">
        <f>'Operational Finance'!C2</f>
        <v>2013</v>
      </c>
      <c r="D3" s="169">
        <f>'Operational Finance'!D2</f>
        <v>2014</v>
      </c>
      <c r="E3" s="169">
        <f>'Operational Finance'!E2</f>
        <v>2015</v>
      </c>
      <c r="F3" s="169">
        <f>'Operational Finance'!F2</f>
        <v>2016</v>
      </c>
      <c r="G3" s="169">
        <f>'Operational Finance'!G2</f>
        <v>2017</v>
      </c>
      <c r="H3" s="169">
        <f>'Operational Finance'!H2</f>
        <v>2018</v>
      </c>
      <c r="I3" s="169">
        <f>'Operational Finance'!I2</f>
        <v>2019</v>
      </c>
      <c r="J3" s="169">
        <f>'Operational Finance'!J2</f>
        <v>2020</v>
      </c>
      <c r="K3" s="169">
        <f>'Operational Finance'!K2</f>
        <v>2021</v>
      </c>
      <c r="L3" s="169">
        <f>'Operational Finance'!L2</f>
        <v>2022</v>
      </c>
      <c r="M3" s="207"/>
    </row>
    <row r="4" spans="1:13" x14ac:dyDescent="0.25">
      <c r="A4" s="157" t="s">
        <v>29</v>
      </c>
      <c r="B4" s="23">
        <f>SUM(B6:B8)</f>
        <v>1554060692.8400002</v>
      </c>
      <c r="C4" s="23">
        <f t="shared" ref="C4:L4" si="0">SUM(C6:C8)</f>
        <v>1455983738.5</v>
      </c>
      <c r="D4" s="23">
        <f t="shared" si="0"/>
        <v>1375727437.4300003</v>
      </c>
      <c r="E4" s="23">
        <f t="shared" si="0"/>
        <v>1399039074.9300001</v>
      </c>
      <c r="F4" s="23">
        <f t="shared" si="0"/>
        <v>1558807001.6499999</v>
      </c>
      <c r="G4" s="23">
        <f t="shared" si="0"/>
        <v>1556849117.5400002</v>
      </c>
      <c r="H4" s="23">
        <f t="shared" si="0"/>
        <v>1424818589.3599999</v>
      </c>
      <c r="I4" s="23">
        <f t="shared" si="0"/>
        <v>1458739710.9900002</v>
      </c>
      <c r="J4" s="23">
        <f t="shared" si="0"/>
        <v>1251656781.54</v>
      </c>
      <c r="K4" s="23">
        <f t="shared" si="0"/>
        <v>1377022936.0999999</v>
      </c>
      <c r="L4" s="23">
        <f t="shared" si="0"/>
        <v>1495748375.01</v>
      </c>
    </row>
    <row r="5" spans="1:13" x14ac:dyDescent="0.25">
      <c r="A5" s="157" t="s">
        <v>90</v>
      </c>
      <c r="B5" s="208" t="str">
        <f>IF(B4='Master Pro-Forma'!B3, "Clear to Move","Check your Numbers")</f>
        <v>Clear to Move</v>
      </c>
      <c r="C5" s="208" t="str">
        <f>IF(C4='Master Pro-Forma'!C3, "Clear to Move","Check your Numbers")</f>
        <v>Clear to Move</v>
      </c>
      <c r="D5" s="208" t="str">
        <f>IF(D4='Master Pro-Forma'!D3, "Clear to Move","Check your Numbers")</f>
        <v>Clear to Move</v>
      </c>
      <c r="E5" s="208" t="str">
        <f>IF(E4='Master Pro-Forma'!E3, "Clear to Move","Check your Numbers")</f>
        <v>Clear to Move</v>
      </c>
      <c r="F5" s="208" t="str">
        <f>IF(F4='Master Pro-Forma'!F3, "Clear to Move","Check your Numbers")</f>
        <v>Clear to Move</v>
      </c>
      <c r="G5" s="208" t="str">
        <f>IF(G4='Master Pro-Forma'!G3, "Clear to Move","Check your Numbers")</f>
        <v>Clear to Move</v>
      </c>
      <c r="H5" s="208" t="str">
        <f>IF(H4='Master Pro-Forma'!H3, "Clear to Move","Check your Numbers")</f>
        <v>Clear to Move</v>
      </c>
      <c r="I5" s="208" t="str">
        <f>IF(I4='Master Pro-Forma'!I3, "Clear to Move","Check your Numbers")</f>
        <v>Clear to Move</v>
      </c>
      <c r="J5" s="208" t="str">
        <f>IF(J4='Master Pro-Forma'!J3, "Clear to Move","Check your Numbers")</f>
        <v>Clear to Move</v>
      </c>
      <c r="K5" s="208" t="str">
        <f>IF(K4='Master Pro-Forma'!K3, "Clear to Move","Check your Numbers")</f>
        <v>Clear to Move</v>
      </c>
      <c r="L5" s="208" t="str">
        <f>IF(L4='Master Pro-Forma'!L3, "Clear to Move","Check your Numbers")</f>
        <v>Clear to Move</v>
      </c>
    </row>
    <row r="6" spans="1:13" x14ac:dyDescent="0.25">
      <c r="A6" s="206" t="s">
        <v>87</v>
      </c>
      <c r="B6" s="2">
        <f>'Software Pro-Forma'!B3</f>
        <v>961646659</v>
      </c>
      <c r="C6" s="2">
        <f>'Software Pro-Forma'!C3</f>
        <v>904931992</v>
      </c>
      <c r="D6" s="2">
        <f>'Software Pro-Forma'!D3</f>
        <v>853488073</v>
      </c>
      <c r="E6" s="2">
        <f>'Software Pro-Forma'!E3</f>
        <v>871661019</v>
      </c>
      <c r="F6" s="2">
        <f>'Software Pro-Forma'!F3</f>
        <v>974432082</v>
      </c>
      <c r="G6" s="2">
        <f>'Software Pro-Forma'!G3</f>
        <v>966913536</v>
      </c>
      <c r="H6" s="2">
        <f>'Software Pro-Forma'!H3</f>
        <v>880895253</v>
      </c>
      <c r="I6" s="2">
        <f>'Software Pro-Forma'!I3</f>
        <v>921818453</v>
      </c>
      <c r="J6" s="2">
        <f>'Software Pro-Forma'!J3</f>
        <v>776802076</v>
      </c>
      <c r="K6" s="2">
        <f>'Software Pro-Forma'!K3</f>
        <v>860819143</v>
      </c>
      <c r="L6" s="2">
        <f>'Software Pro-Forma'!L3</f>
        <v>930566005</v>
      </c>
    </row>
    <row r="7" spans="1:13" x14ac:dyDescent="0.25">
      <c r="A7" s="206" t="s">
        <v>88</v>
      </c>
      <c r="B7" s="2">
        <f>'Hardware Pro-Forma'!B3</f>
        <v>343023652.19000006</v>
      </c>
      <c r="C7" s="2">
        <f>'Hardware Pro-Forma'!C3</f>
        <v>317988231.24000007</v>
      </c>
      <c r="D7" s="2">
        <f>'Hardware Pro-Forma'!D3</f>
        <v>304890764.07000005</v>
      </c>
      <c r="E7" s="2">
        <f>'Hardware Pro-Forma'!E3</f>
        <v>313060221.75999999</v>
      </c>
      <c r="F7" s="2">
        <f>'Hardware Pro-Forma'!F3</f>
        <v>337573385.60999995</v>
      </c>
      <c r="G7" s="2">
        <f>'Hardware Pro-Forma'!G3</f>
        <v>348724551.88000005</v>
      </c>
      <c r="H7" s="2">
        <f>'Hardware Pro-Forma'!H3</f>
        <v>314507191.90999997</v>
      </c>
      <c r="I7" s="2">
        <f>'Hardware Pro-Forma'!I3</f>
        <v>312074244.86000001</v>
      </c>
      <c r="J7" s="2">
        <f>'Hardware Pro-Forma'!J3</f>
        <v>271040027.50999999</v>
      </c>
      <c r="K7" s="2">
        <f>'Hardware Pro-Forma'!K3</f>
        <v>307064490.77999997</v>
      </c>
      <c r="L7" s="2">
        <f>'Hardware Pro-Forma'!L3</f>
        <v>327295433.07999998</v>
      </c>
    </row>
    <row r="8" spans="1:13" x14ac:dyDescent="0.25">
      <c r="A8" s="206" t="s">
        <v>89</v>
      </c>
      <c r="B8" s="2">
        <f>'Advertising Pro-Forma'!B3</f>
        <v>249390381.65000004</v>
      </c>
      <c r="C8" s="2">
        <f>'Advertising Pro-Forma'!C3</f>
        <v>233063515.26000002</v>
      </c>
      <c r="D8" s="2">
        <f>'Advertising Pro-Forma'!D3</f>
        <v>217348600.36000001</v>
      </c>
      <c r="E8" s="2">
        <f>'Advertising Pro-Forma'!E3</f>
        <v>214317834.16999999</v>
      </c>
      <c r="F8" s="2">
        <f>'Advertising Pro-Forma'!F3</f>
        <v>246801534.03999999</v>
      </c>
      <c r="G8" s="2">
        <f>'Advertising Pro-Forma'!G3</f>
        <v>241211029.66</v>
      </c>
      <c r="H8" s="2">
        <f>'Advertising Pro-Forma'!H3</f>
        <v>229416144.45000002</v>
      </c>
      <c r="I8" s="2">
        <f>'Advertising Pro-Forma'!I3</f>
        <v>224847013.13</v>
      </c>
      <c r="J8" s="2">
        <f>'Advertising Pro-Forma'!J3</f>
        <v>203814678.03</v>
      </c>
      <c r="K8" s="2">
        <f>'Advertising Pro-Forma'!K3</f>
        <v>209139302.31999999</v>
      </c>
      <c r="L8" s="2">
        <f>'Advertising Pro-Forma'!L3</f>
        <v>237886936.93000001</v>
      </c>
    </row>
    <row r="17" spans="6:15" ht="22.8" x14ac:dyDescent="0.25">
      <c r="F17" s="209" t="s">
        <v>91</v>
      </c>
    </row>
    <row r="18" spans="6:15" x14ac:dyDescent="0.25">
      <c r="F18" s="210" t="s">
        <v>92</v>
      </c>
    </row>
    <row r="19" spans="6:15" x14ac:dyDescent="0.25">
      <c r="F19" s="210" t="s">
        <v>93</v>
      </c>
    </row>
    <row r="20" spans="6:15" x14ac:dyDescent="0.25">
      <c r="F20" s="210"/>
    </row>
    <row r="21" spans="6:15" x14ac:dyDescent="0.25">
      <c r="F21" s="210"/>
    </row>
    <row r="24" spans="6:15" ht="14.4" thickBot="1" x14ac:dyDescent="0.3">
      <c r="J24" s="157" t="s">
        <v>95</v>
      </c>
    </row>
    <row r="25" spans="6:15" ht="14.4" customHeight="1" x14ac:dyDescent="0.25">
      <c r="J25" s="225" t="s">
        <v>94</v>
      </c>
      <c r="K25" s="226"/>
      <c r="L25" s="226"/>
      <c r="M25" s="226"/>
      <c r="N25" s="226"/>
      <c r="O25" s="227"/>
    </row>
    <row r="26" spans="6:15" ht="13.8" customHeight="1" x14ac:dyDescent="0.25">
      <c r="J26" s="228"/>
      <c r="K26" s="229"/>
      <c r="L26" s="229"/>
      <c r="M26" s="229"/>
      <c r="N26" s="229"/>
      <c r="O26" s="230"/>
    </row>
    <row r="27" spans="6:15" ht="13.8" customHeight="1" x14ac:dyDescent="0.25">
      <c r="J27" s="228"/>
      <c r="K27" s="229"/>
      <c r="L27" s="229"/>
      <c r="M27" s="229"/>
      <c r="N27" s="229"/>
      <c r="O27" s="230"/>
    </row>
    <row r="28" spans="6:15" ht="13.8" customHeight="1" x14ac:dyDescent="0.25">
      <c r="J28" s="228"/>
      <c r="K28" s="229"/>
      <c r="L28" s="229"/>
      <c r="M28" s="229"/>
      <c r="N28" s="229"/>
      <c r="O28" s="230"/>
    </row>
    <row r="29" spans="6:15" ht="13.8" customHeight="1" x14ac:dyDescent="0.25">
      <c r="J29" s="228"/>
      <c r="K29" s="229"/>
      <c r="L29" s="229"/>
      <c r="M29" s="229"/>
      <c r="N29" s="229"/>
      <c r="O29" s="230"/>
    </row>
    <row r="30" spans="6:15" ht="13.8" customHeight="1" x14ac:dyDescent="0.25">
      <c r="J30" s="228"/>
      <c r="K30" s="229"/>
      <c r="L30" s="229"/>
      <c r="M30" s="229"/>
      <c r="N30" s="229"/>
      <c r="O30" s="230"/>
    </row>
    <row r="31" spans="6:15" ht="13.8" customHeight="1" x14ac:dyDescent="0.25">
      <c r="J31" s="228"/>
      <c r="K31" s="229"/>
      <c r="L31" s="229"/>
      <c r="M31" s="229"/>
      <c r="N31" s="229"/>
      <c r="O31" s="230"/>
    </row>
    <row r="32" spans="6:15" ht="13.8" customHeight="1" x14ac:dyDescent="0.25">
      <c r="J32" s="228"/>
      <c r="K32" s="229"/>
      <c r="L32" s="229"/>
      <c r="M32" s="229"/>
      <c r="N32" s="229"/>
      <c r="O32" s="230"/>
    </row>
    <row r="33" spans="4:15" ht="13.8" customHeight="1" x14ac:dyDescent="0.25">
      <c r="J33" s="228"/>
      <c r="K33" s="229"/>
      <c r="L33" s="229"/>
      <c r="M33" s="229"/>
      <c r="N33" s="229"/>
      <c r="O33" s="230"/>
    </row>
    <row r="34" spans="4:15" ht="13.8" customHeight="1" x14ac:dyDescent="0.25">
      <c r="J34" s="228"/>
      <c r="K34" s="229"/>
      <c r="L34" s="229"/>
      <c r="M34" s="229"/>
      <c r="N34" s="229"/>
      <c r="O34" s="230"/>
    </row>
    <row r="35" spans="4:15" ht="13.8" customHeight="1" x14ac:dyDescent="0.25">
      <c r="J35" s="228"/>
      <c r="K35" s="229"/>
      <c r="L35" s="229"/>
      <c r="M35" s="229"/>
      <c r="N35" s="229"/>
      <c r="O35" s="230"/>
    </row>
    <row r="36" spans="4:15" ht="14.4" x14ac:dyDescent="0.3">
      <c r="D36"/>
      <c r="J36" s="228"/>
      <c r="K36" s="229"/>
      <c r="L36" s="229"/>
      <c r="M36" s="229"/>
      <c r="N36" s="229"/>
      <c r="O36" s="230"/>
    </row>
    <row r="37" spans="4:15" ht="14.4" thickBot="1" x14ac:dyDescent="0.3">
      <c r="J37" s="231"/>
      <c r="K37" s="232"/>
      <c r="L37" s="232"/>
      <c r="M37" s="232"/>
      <c r="N37" s="232"/>
      <c r="O37" s="233"/>
    </row>
  </sheetData>
  <mergeCells count="1">
    <mergeCell ref="J25:O3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A759-C73F-4495-86D3-3E62037A821E}">
  <dimension ref="A1:P46"/>
  <sheetViews>
    <sheetView zoomScale="70" workbookViewId="0">
      <selection activeCell="A24" sqref="A24:L27"/>
    </sheetView>
  </sheetViews>
  <sheetFormatPr defaultRowHeight="13.8" x14ac:dyDescent="0.25"/>
  <cols>
    <col min="1" max="1" width="40.88671875" style="1" bestFit="1" customWidth="1"/>
    <col min="2" max="12" width="16.77734375" style="1" bestFit="1" customWidth="1"/>
    <col min="13" max="13" width="16.33203125" style="1" bestFit="1" customWidth="1"/>
    <col min="14" max="14" width="12.109375" style="1" bestFit="1" customWidth="1"/>
    <col min="15" max="15" width="13.88671875" style="1" bestFit="1" customWidth="1"/>
    <col min="16" max="16384" width="8.88671875" style="1"/>
  </cols>
  <sheetData>
    <row r="1" spans="1:13" ht="15" customHeight="1" thickBot="1" x14ac:dyDescent="0.3">
      <c r="A1" s="214" t="s">
        <v>69</v>
      </c>
      <c r="B1" s="215"/>
      <c r="C1" s="215"/>
      <c r="D1" s="215"/>
      <c r="E1" s="215"/>
      <c r="F1" s="215"/>
      <c r="G1" s="215"/>
      <c r="H1" s="215"/>
      <c r="I1" s="215"/>
      <c r="J1" s="215"/>
      <c r="K1" s="215"/>
      <c r="L1" s="216"/>
    </row>
    <row r="2" spans="1:13" ht="14.4" thickBot="1" x14ac:dyDescent="0.3">
      <c r="A2" s="161" t="s">
        <v>67</v>
      </c>
      <c r="B2" s="162">
        <f>'Master Pro-Forma'!B2</f>
        <v>2012</v>
      </c>
      <c r="C2" s="162">
        <f>'Master Pro-Forma'!C2</f>
        <v>2013</v>
      </c>
      <c r="D2" s="162">
        <f>'Master Pro-Forma'!D2</f>
        <v>2014</v>
      </c>
      <c r="E2" s="162">
        <f>'Master Pro-Forma'!E2</f>
        <v>2015</v>
      </c>
      <c r="F2" s="162">
        <f>'Master Pro-Forma'!F2</f>
        <v>2016</v>
      </c>
      <c r="G2" s="162">
        <f>'Master Pro-Forma'!G2</f>
        <v>2017</v>
      </c>
      <c r="H2" s="162">
        <f>'Master Pro-Forma'!H2</f>
        <v>2018</v>
      </c>
      <c r="I2" s="162">
        <f>'Master Pro-Forma'!I2</f>
        <v>2019</v>
      </c>
      <c r="J2" s="162">
        <f>'Master Pro-Forma'!J2</f>
        <v>2020</v>
      </c>
      <c r="K2" s="162">
        <f>'Master Pro-Forma'!K2</f>
        <v>2021</v>
      </c>
      <c r="L2" s="163">
        <f>'Master Pro-Forma'!L2</f>
        <v>2022</v>
      </c>
      <c r="M2" s="156"/>
    </row>
    <row r="3" spans="1:13" x14ac:dyDescent="0.25">
      <c r="A3" s="158" t="str">
        <f>'Software Pro-Forma'!A2</f>
        <v>Sofware Pro-Forma</v>
      </c>
      <c r="L3" s="160"/>
    </row>
    <row r="4" spans="1:13" x14ac:dyDescent="0.25">
      <c r="A4" s="77" t="str">
        <f>'Software Pro-Forma'!A8</f>
        <v>Payroll Expense</v>
      </c>
      <c r="B4" s="8">
        <f>VLOOKUP($A4,'Software Pro-Forma'!$A$2:$M$23,C$15,)</f>
        <v>-107155482</v>
      </c>
      <c r="C4" s="8">
        <f>VLOOKUP($A4,'Software Pro-Forma'!$A$2:$M$23,D$15,)</f>
        <v>-102561420</v>
      </c>
      <c r="D4" s="8">
        <f>VLOOKUP($A4,'Software Pro-Forma'!$A$2:$M$23,E$15,)</f>
        <v>-94284348</v>
      </c>
      <c r="E4" s="8">
        <f>VLOOKUP($A4,'Software Pro-Forma'!$A$2:$M$23,F$15,)</f>
        <v>-98325426</v>
      </c>
      <c r="F4" s="8">
        <f>VLOOKUP($A4,'Software Pro-Forma'!$A$2:$M$23,G$15,)</f>
        <v>-108701592</v>
      </c>
      <c r="G4" s="8">
        <f>VLOOKUP($A4,'Software Pro-Forma'!$A$2:$M$23,H$15,)</f>
        <v>-109827091</v>
      </c>
      <c r="H4" s="8">
        <f>VLOOKUP($A4,'Software Pro-Forma'!$A$2:$M$23,I$15,)</f>
        <v>-101785663</v>
      </c>
      <c r="I4" s="8">
        <f>VLOOKUP($A4,'Software Pro-Forma'!$A$2:$M$23,J$15,)</f>
        <v>-101107164</v>
      </c>
      <c r="J4" s="8">
        <f>VLOOKUP($A4,'Software Pro-Forma'!$A$2:$M$23,K$15,)</f>
        <v>-89105831</v>
      </c>
      <c r="K4" s="8">
        <f>VLOOKUP($A4,'Software Pro-Forma'!$A$2:$M$23,L$15,)</f>
        <v>-96702164</v>
      </c>
      <c r="L4" s="9">
        <f>VLOOKUP($A4,'Software Pro-Forma'!$A$2:$M$23,M$15,)</f>
        <v>-104529434</v>
      </c>
    </row>
    <row r="5" spans="1:13" x14ac:dyDescent="0.25">
      <c r="A5" s="77" t="str">
        <f>'Software Pro-Forma'!A7</f>
        <v>Commissions Expense</v>
      </c>
      <c r="B5" s="8">
        <f>VLOOKUP($A5,'Software Pro-Forma'!$A$2:$M$23,C$15,)</f>
        <v>-42290914</v>
      </c>
      <c r="C5" s="8">
        <f>VLOOKUP($A5,'Software Pro-Forma'!$A$2:$M$23,D$15,)</f>
        <v>-39830584</v>
      </c>
      <c r="D5" s="8">
        <f>VLOOKUP($A5,'Software Pro-Forma'!$A$2:$M$23,E$15,)</f>
        <v>-39625326</v>
      </c>
      <c r="E5" s="8">
        <f>VLOOKUP($A5,'Software Pro-Forma'!$A$2:$M$23,F$15,)</f>
        <v>-38760270</v>
      </c>
      <c r="F5" s="8">
        <f>VLOOKUP($A5,'Software Pro-Forma'!$A$2:$M$23,G$15,)</f>
        <v>-43058876</v>
      </c>
      <c r="G5" s="8">
        <f>VLOOKUP($A5,'Software Pro-Forma'!$A$2:$M$23,H$15,)</f>
        <v>-42939915</v>
      </c>
      <c r="H5" s="8">
        <f>VLOOKUP($A5,'Software Pro-Forma'!$A$2:$M$23,I$15,)</f>
        <v>-40196754</v>
      </c>
      <c r="I5" s="8">
        <f>VLOOKUP($A5,'Software Pro-Forma'!$A$2:$M$23,J$15,)</f>
        <v>-42662149</v>
      </c>
      <c r="J5" s="8">
        <f>VLOOKUP($A5,'Software Pro-Forma'!$A$2:$M$23,K$15,)</f>
        <v>-35041351</v>
      </c>
      <c r="K5" s="8">
        <f>VLOOKUP($A5,'Software Pro-Forma'!$A$2:$M$23,L$15,)</f>
        <v>-38712335</v>
      </c>
      <c r="L5" s="9">
        <f>VLOOKUP($A5,'Software Pro-Forma'!$A$2:$M$23,M$15,)</f>
        <v>-41616973</v>
      </c>
    </row>
    <row r="6" spans="1:13" x14ac:dyDescent="0.25">
      <c r="A6" s="77" t="str">
        <f>'Master Pro-Forma'!A4</f>
        <v>COGS</v>
      </c>
      <c r="B6" s="8">
        <f>VLOOKUP($A6,'Software Pro-Forma'!$A$2:$M$23,C$15,)</f>
        <v>-440950170</v>
      </c>
      <c r="C6" s="8">
        <f>VLOOKUP($A6,'Software Pro-Forma'!$A$2:$M$23,D$15,)</f>
        <v>-403357380</v>
      </c>
      <c r="D6" s="8">
        <f>VLOOKUP($A6,'Software Pro-Forma'!$A$2:$M$23,E$15,)</f>
        <v>-403105066</v>
      </c>
      <c r="E6" s="8">
        <f>VLOOKUP($A6,'Software Pro-Forma'!$A$2:$M$23,F$15,)</f>
        <v>-385849425</v>
      </c>
      <c r="F6" s="8">
        <f>VLOOKUP($A6,'Software Pro-Forma'!$A$2:$M$23,G$15,)</f>
        <v>-436124876</v>
      </c>
      <c r="G6" s="8">
        <f>VLOOKUP($A6,'Software Pro-Forma'!$A$2:$M$23,H$15,)</f>
        <v>-437137582</v>
      </c>
      <c r="H6" s="8">
        <f>VLOOKUP($A6,'Software Pro-Forma'!$A$2:$M$23,I$15,)</f>
        <v>-402913378</v>
      </c>
      <c r="I6" s="8">
        <f>VLOOKUP($A6,'Software Pro-Forma'!$A$2:$M$23,J$15,)</f>
        <v>-403644917</v>
      </c>
      <c r="J6" s="8">
        <f>VLOOKUP($A6,'Software Pro-Forma'!$A$2:$M$23,K$15,)</f>
        <v>-337209763</v>
      </c>
      <c r="K6" s="8">
        <f>VLOOKUP($A6,'Software Pro-Forma'!$A$2:$M$23,L$15,)</f>
        <v>-389569423</v>
      </c>
      <c r="L6" s="9">
        <f>VLOOKUP($A6,'Software Pro-Forma'!$A$2:$M$23,M$15,)</f>
        <v>-416488330</v>
      </c>
    </row>
    <row r="7" spans="1:13" x14ac:dyDescent="0.25">
      <c r="A7" s="158" t="str">
        <f>'Hardware Pro-Forma'!A2</f>
        <v>Hardware Pro-Forma</v>
      </c>
      <c r="L7" s="160"/>
    </row>
    <row r="8" spans="1:13" x14ac:dyDescent="0.25">
      <c r="A8" s="77" t="str">
        <f>'Software Pro-Forma'!A8</f>
        <v>Payroll Expense</v>
      </c>
      <c r="B8" s="8">
        <f>VLOOKUP($A8,'Hardware Pro-Forma'!$A$2:$M$23,C$15,)</f>
        <v>-39458843</v>
      </c>
      <c r="C8" s="8">
        <f>VLOOKUP($A8,'Hardware Pro-Forma'!$A$2:$M$23,D$15,)</f>
        <v>-35369123</v>
      </c>
      <c r="D8" s="8">
        <f>VLOOKUP($A8,'Hardware Pro-Forma'!$A$2:$M$23,E$15,)</f>
        <v>-33749947</v>
      </c>
      <c r="E8" s="8">
        <f>VLOOKUP($A8,'Hardware Pro-Forma'!$A$2:$M$23,F$15,)</f>
        <v>-35654622</v>
      </c>
      <c r="F8" s="8">
        <f>VLOOKUP($A8,'Hardware Pro-Forma'!$A$2:$M$23,G$15,)</f>
        <v>-38606647</v>
      </c>
      <c r="G8" s="8">
        <f>VLOOKUP($A8,'Hardware Pro-Forma'!$A$2:$M$23,H$15,)</f>
        <v>-39707492</v>
      </c>
      <c r="H8" s="8">
        <f>VLOOKUP($A8,'Hardware Pro-Forma'!$A$2:$M$23,I$15,)</f>
        <v>-35545167</v>
      </c>
      <c r="I8" s="8">
        <f>VLOOKUP($A8,'Hardware Pro-Forma'!$A$2:$M$23,J$15,)</f>
        <v>-35248258</v>
      </c>
      <c r="J8" s="8">
        <f>VLOOKUP($A8,'Hardware Pro-Forma'!$A$2:$M$23,K$15,)</f>
        <v>-31060056</v>
      </c>
      <c r="K8" s="8">
        <f>VLOOKUP($A8,'Hardware Pro-Forma'!$A$2:$M$23,L$15,)</f>
        <v>-34265333</v>
      </c>
      <c r="L8" s="9">
        <f>VLOOKUP($A8,'Hardware Pro-Forma'!$A$2:$M$23,M$15,)</f>
        <v>-36367808</v>
      </c>
    </row>
    <row r="9" spans="1:13" x14ac:dyDescent="0.25">
      <c r="A9" s="77" t="str">
        <f>'Software Pro-Forma'!A7</f>
        <v>Commissions Expense</v>
      </c>
      <c r="B9" s="8">
        <f>VLOOKUP($A9,'Hardware Pro-Forma'!$A$2:$M$23,C$15,)</f>
        <v>-15380736</v>
      </c>
      <c r="C9" s="8">
        <f>VLOOKUP($A9,'Hardware Pro-Forma'!$A$2:$M$23,D$15,)</f>
        <v>-14464805</v>
      </c>
      <c r="D9" s="8">
        <f>VLOOKUP($A9,'Hardware Pro-Forma'!$A$2:$M$23,E$15,)</f>
        <v>-13511922</v>
      </c>
      <c r="E9" s="8">
        <f>VLOOKUP($A9,'Hardware Pro-Forma'!$A$2:$M$23,F$15,)</f>
        <v>-13917817</v>
      </c>
      <c r="F9" s="8">
        <f>VLOOKUP($A9,'Hardware Pro-Forma'!$A$2:$M$23,G$15,)</f>
        <v>-14901546</v>
      </c>
      <c r="G9" s="8">
        <f>VLOOKUP($A9,'Hardware Pro-Forma'!$A$2:$M$23,H$15,)</f>
        <v>-15789617</v>
      </c>
      <c r="H9" s="8">
        <f>VLOOKUP($A9,'Hardware Pro-Forma'!$A$2:$M$23,I$15,)</f>
        <v>-14624838</v>
      </c>
      <c r="I9" s="8">
        <f>VLOOKUP($A9,'Hardware Pro-Forma'!$A$2:$M$23,J$15,)</f>
        <v>-14043921</v>
      </c>
      <c r="J9" s="8">
        <f>VLOOKUP($A9,'Hardware Pro-Forma'!$A$2:$M$23,K$15,)</f>
        <v>-12036495</v>
      </c>
      <c r="K9" s="8">
        <f>VLOOKUP($A9,'Hardware Pro-Forma'!$A$2:$M$23,L$15,)</f>
        <v>-13910358</v>
      </c>
      <c r="L9" s="9">
        <f>VLOOKUP($A9,'Hardware Pro-Forma'!$A$2:$M$23,M$15,)</f>
        <v>-14858177</v>
      </c>
    </row>
    <row r="10" spans="1:13" x14ac:dyDescent="0.25">
      <c r="A10" s="77" t="str">
        <f>'Master Pro-Forma'!A4</f>
        <v>COGS</v>
      </c>
      <c r="B10" s="8">
        <f>VLOOKUP($A10,'Hardware Pro-Forma'!$A$2:$M$23,C$15,)</f>
        <v>-152751214</v>
      </c>
      <c r="C10" s="8">
        <f>VLOOKUP($A10,'Hardware Pro-Forma'!$A$2:$M$23,D$15,)</f>
        <v>-145804952</v>
      </c>
      <c r="D10" s="8">
        <f>VLOOKUP($A10,'Hardware Pro-Forma'!$A$2:$M$23,E$15,)</f>
        <v>-135471031</v>
      </c>
      <c r="E10" s="8">
        <f>VLOOKUP($A10,'Hardware Pro-Forma'!$A$2:$M$23,F$15,)</f>
        <v>-139722269</v>
      </c>
      <c r="F10" s="8">
        <f>VLOOKUP($A10,'Hardware Pro-Forma'!$A$2:$M$23,G$15,)</f>
        <v>-148006441</v>
      </c>
      <c r="G10" s="8">
        <f>VLOOKUP($A10,'Hardware Pro-Forma'!$A$2:$M$23,H$15,)</f>
        <v>-157487259</v>
      </c>
      <c r="H10" s="8">
        <f>VLOOKUP($A10,'Hardware Pro-Forma'!$A$2:$M$23,I$15,)</f>
        <v>-139817713</v>
      </c>
      <c r="I10" s="8">
        <f>VLOOKUP($A10,'Hardware Pro-Forma'!$A$2:$M$23,J$15,)</f>
        <v>-139351798</v>
      </c>
      <c r="J10" s="8">
        <f>VLOOKUP($A10,'Hardware Pro-Forma'!$A$2:$M$23,K$15,)</f>
        <v>-119500542</v>
      </c>
      <c r="K10" s="8">
        <f>VLOOKUP($A10,'Hardware Pro-Forma'!$A$2:$M$23,L$15,)</f>
        <v>-137140199</v>
      </c>
      <c r="L10" s="9">
        <f>VLOOKUP($A10,'Hardware Pro-Forma'!$A$2:$M$23,M$15,)</f>
        <v>-149176285</v>
      </c>
    </row>
    <row r="11" spans="1:13" x14ac:dyDescent="0.25">
      <c r="A11" s="158" t="str">
        <f>'Advertising Pro-Forma'!A2</f>
        <v>Advertising Pro-Forma</v>
      </c>
      <c r="L11" s="160"/>
    </row>
    <row r="12" spans="1:13" x14ac:dyDescent="0.25">
      <c r="A12" s="77" t="str">
        <f>'Software Pro-Forma'!A8</f>
        <v>Payroll Expense</v>
      </c>
      <c r="B12" s="8">
        <f>VLOOKUP($A12,'Advertising Pro-Forma'!$A$2:$M$23,C$15,)</f>
        <v>-28655077</v>
      </c>
      <c r="C12" s="8">
        <f>VLOOKUP($A12,'Advertising Pro-Forma'!$A$2:$M$23,D$15,)</f>
        <v>-26800788</v>
      </c>
      <c r="D12" s="8">
        <f>VLOOKUP($A12,'Advertising Pro-Forma'!$A$2:$M$23,E$15,)</f>
        <v>-25048154</v>
      </c>
      <c r="E12" s="8">
        <f>VLOOKUP($A12,'Advertising Pro-Forma'!$A$2:$M$23,F$15,)</f>
        <v>-24712925</v>
      </c>
      <c r="F12" s="8">
        <f>VLOOKUP($A12,'Advertising Pro-Forma'!$A$2:$M$23,G$15,)</f>
        <v>-27280317</v>
      </c>
      <c r="G12" s="8">
        <f>VLOOKUP($A12,'Advertising Pro-Forma'!$A$2:$M$23,H$15,)</f>
        <v>-27216052</v>
      </c>
      <c r="H12" s="8">
        <f>VLOOKUP($A12,'Advertising Pro-Forma'!$A$2:$M$23,I$15,)</f>
        <v>-25408674</v>
      </c>
      <c r="I12" s="8">
        <f>VLOOKUP($A12,'Advertising Pro-Forma'!$A$2:$M$23,J$15,)</f>
        <v>-24945224</v>
      </c>
      <c r="J12" s="8">
        <f>VLOOKUP($A12,'Advertising Pro-Forma'!$A$2:$M$23,K$15,)</f>
        <v>-23250825</v>
      </c>
      <c r="K12" s="8">
        <f>VLOOKUP($A12,'Advertising Pro-Forma'!$A$2:$M$23,L$15,)</f>
        <v>-23798276</v>
      </c>
      <c r="L12" s="9">
        <f>VLOOKUP($A12,'Advertising Pro-Forma'!$A$2:$M$23,M$15,)</f>
        <v>-27915808</v>
      </c>
    </row>
    <row r="13" spans="1:13" x14ac:dyDescent="0.25">
      <c r="A13" s="77" t="str">
        <f>'Software Pro-Forma'!A7</f>
        <v>Commissions Expense</v>
      </c>
      <c r="B13" s="8">
        <f>VLOOKUP($A13,'Advertising Pro-Forma'!$A$2:$M$23,C$15,)</f>
        <v>-11231586</v>
      </c>
      <c r="C13" s="8">
        <f>VLOOKUP($A13,'Advertising Pro-Forma'!$A$2:$M$23,D$15,)</f>
        <v>-10320602</v>
      </c>
      <c r="D13" s="8">
        <f>VLOOKUP($A13,'Advertising Pro-Forma'!$A$2:$M$23,E$15,)</f>
        <v>-9879999</v>
      </c>
      <c r="E13" s="8">
        <f>VLOOKUP($A13,'Advertising Pro-Forma'!$A$2:$M$23,F$15,)</f>
        <v>-9529673</v>
      </c>
      <c r="F13" s="8">
        <f>VLOOKUP($A13,'Advertising Pro-Forma'!$A$2:$M$23,G$15,)</f>
        <v>-11110701</v>
      </c>
      <c r="G13" s="8">
        <f>VLOOKUP($A13,'Advertising Pro-Forma'!$A$2:$M$23,H$15,)</f>
        <v>-10829379</v>
      </c>
      <c r="H13" s="8">
        <f>VLOOKUP($A13,'Advertising Pro-Forma'!$A$2:$M$23,I$15,)</f>
        <v>-10199977</v>
      </c>
      <c r="I13" s="8">
        <f>VLOOKUP($A13,'Advertising Pro-Forma'!$A$2:$M$23,J$15,)</f>
        <v>-10211081</v>
      </c>
      <c r="J13" s="8">
        <f>VLOOKUP($A13,'Advertising Pro-Forma'!$A$2:$M$23,K$15,)</f>
        <v>-9223419</v>
      </c>
      <c r="K13" s="8">
        <f>VLOOKUP($A13,'Advertising Pro-Forma'!$A$2:$M$23,L$15,)</f>
        <v>-9269067</v>
      </c>
      <c r="L13" s="9">
        <f>VLOOKUP($A13,'Advertising Pro-Forma'!$A$2:$M$23,M$15,)</f>
        <v>-10426423</v>
      </c>
    </row>
    <row r="14" spans="1:13" ht="14.4" thickBot="1" x14ac:dyDescent="0.3">
      <c r="A14" s="159" t="str">
        <f>'Master Pro-Forma'!A4</f>
        <v>COGS</v>
      </c>
      <c r="B14" s="11">
        <f>VLOOKUP($A14,'Advertising Pro-Forma'!$A$2:$M$23,C$15,)</f>
        <v>-116945952</v>
      </c>
      <c r="C14" s="11">
        <f>VLOOKUP($A14,'Advertising Pro-Forma'!$A$2:$M$23,D$15,)</f>
        <v>-103903250</v>
      </c>
      <c r="D14" s="11">
        <f>VLOOKUP($A14,'Advertising Pro-Forma'!$A$2:$M$23,E$15,)</f>
        <v>-96089276</v>
      </c>
      <c r="E14" s="11">
        <f>VLOOKUP($A14,'Advertising Pro-Forma'!$A$2:$M$23,F$15,)</f>
        <v>-100128619</v>
      </c>
      <c r="F14" s="11">
        <f>VLOOKUP($A14,'Advertising Pro-Forma'!$A$2:$M$23,G$15,)</f>
        <v>-114997104</v>
      </c>
      <c r="G14" s="11">
        <f>VLOOKUP($A14,'Advertising Pro-Forma'!$A$2:$M$23,H$15,)</f>
        <v>-104321826</v>
      </c>
      <c r="H14" s="11">
        <f>VLOOKUP($A14,'Advertising Pro-Forma'!$A$2:$M$23,I$15,)</f>
        <v>-103892217</v>
      </c>
      <c r="I14" s="11">
        <f>VLOOKUP($A14,'Advertising Pro-Forma'!$A$2:$M$23,J$15,)</f>
        <v>-100340543</v>
      </c>
      <c r="J14" s="11">
        <f>VLOOKUP($A14,'Advertising Pro-Forma'!$A$2:$M$23,K$15,)</f>
        <v>-96180023</v>
      </c>
      <c r="K14" s="11">
        <f>VLOOKUP($A14,'Advertising Pro-Forma'!$A$2:$M$23,L$15,)</f>
        <v>-93684214</v>
      </c>
      <c r="L14" s="12">
        <f>VLOOKUP($A14,'Advertising Pro-Forma'!$A$2:$M$23,M$15,)</f>
        <v>-102619389</v>
      </c>
    </row>
    <row r="15" spans="1:13" x14ac:dyDescent="0.25">
      <c r="A15" s="1" t="s">
        <v>68</v>
      </c>
      <c r="B15" s="18">
        <v>1</v>
      </c>
      <c r="C15" s="18">
        <v>2</v>
      </c>
      <c r="D15" s="18">
        <v>3</v>
      </c>
      <c r="E15" s="18">
        <v>4</v>
      </c>
      <c r="F15" s="18">
        <v>5</v>
      </c>
      <c r="G15" s="18">
        <v>6</v>
      </c>
      <c r="H15" s="18">
        <v>7</v>
      </c>
      <c r="I15" s="18">
        <v>8</v>
      </c>
      <c r="J15" s="18">
        <v>9</v>
      </c>
      <c r="K15" s="18">
        <v>10</v>
      </c>
      <c r="L15" s="18">
        <v>11</v>
      </c>
      <c r="M15" s="18">
        <v>12</v>
      </c>
    </row>
    <row r="17" spans="1:13" ht="14.4" thickBot="1" x14ac:dyDescent="0.3"/>
    <row r="18" spans="1:13" ht="14.4" thickBot="1" x14ac:dyDescent="0.3">
      <c r="A18" s="211" t="s">
        <v>18</v>
      </c>
      <c r="B18" s="212"/>
      <c r="C18" s="212"/>
      <c r="D18" s="212"/>
      <c r="E18" s="212"/>
      <c r="F18" s="212"/>
      <c r="G18" s="212"/>
      <c r="H18" s="212"/>
      <c r="I18" s="212"/>
      <c r="J18" s="212"/>
      <c r="K18" s="212"/>
      <c r="L18" s="213"/>
      <c r="M18" s="189" t="s">
        <v>82</v>
      </c>
    </row>
    <row r="19" spans="1:13" ht="14.4" thickBot="1" x14ac:dyDescent="0.3">
      <c r="A19" s="164"/>
      <c r="B19" s="173">
        <f>B2</f>
        <v>2012</v>
      </c>
      <c r="C19" s="173">
        <f t="shared" ref="C19:L19" si="0">C2</f>
        <v>2013</v>
      </c>
      <c r="D19" s="173">
        <f t="shared" si="0"/>
        <v>2014</v>
      </c>
      <c r="E19" s="173">
        <f t="shared" si="0"/>
        <v>2015</v>
      </c>
      <c r="F19" s="173">
        <f t="shared" si="0"/>
        <v>2016</v>
      </c>
      <c r="G19" s="173">
        <f t="shared" si="0"/>
        <v>2017</v>
      </c>
      <c r="H19" s="173">
        <f t="shared" si="0"/>
        <v>2018</v>
      </c>
      <c r="I19" s="173">
        <f t="shared" si="0"/>
        <v>2019</v>
      </c>
      <c r="J19" s="173">
        <f t="shared" si="0"/>
        <v>2020</v>
      </c>
      <c r="K19" s="173">
        <f t="shared" si="0"/>
        <v>2021</v>
      </c>
      <c r="L19" s="173">
        <f t="shared" si="0"/>
        <v>2022</v>
      </c>
    </row>
    <row r="20" spans="1:13" ht="14.4" thickBot="1" x14ac:dyDescent="0.3">
      <c r="A20" s="186" t="s">
        <v>75</v>
      </c>
      <c r="B20" s="190"/>
      <c r="C20" s="190"/>
      <c r="D20" s="190"/>
      <c r="E20" s="190"/>
      <c r="F20" s="190"/>
      <c r="G20" s="190"/>
      <c r="H20" s="190"/>
      <c r="I20" s="190"/>
      <c r="J20" s="190"/>
      <c r="K20" s="190"/>
      <c r="L20" s="190"/>
    </row>
    <row r="21" spans="1:13" s="171" customFormat="1" ht="14.4" thickBot="1" x14ac:dyDescent="0.3">
      <c r="A21" s="187" t="s">
        <v>80</v>
      </c>
      <c r="B21" s="144"/>
      <c r="C21" s="144"/>
      <c r="D21" s="144"/>
      <c r="E21" s="144"/>
      <c r="F21" s="144"/>
      <c r="G21" s="144"/>
      <c r="H21" s="144"/>
      <c r="I21" s="144"/>
      <c r="J21" s="144"/>
      <c r="K21" s="144"/>
      <c r="L21" s="144"/>
    </row>
    <row r="22" spans="1:13" ht="14.4" thickBot="1" x14ac:dyDescent="0.3">
      <c r="A22" s="185" t="s">
        <v>78</v>
      </c>
      <c r="B22" s="188"/>
      <c r="C22" s="188"/>
      <c r="D22" s="188"/>
      <c r="E22" s="188"/>
      <c r="F22" s="188"/>
      <c r="G22" s="188"/>
      <c r="H22" s="188"/>
      <c r="I22" s="188"/>
      <c r="J22" s="188"/>
      <c r="K22" s="188"/>
      <c r="L22" s="188"/>
    </row>
    <row r="23" spans="1:13" ht="14.4" thickBot="1" x14ac:dyDescent="0.3"/>
    <row r="24" spans="1:13" ht="14.4" thickBot="1" x14ac:dyDescent="0.3">
      <c r="A24" s="170" t="s">
        <v>74</v>
      </c>
      <c r="B24" s="169">
        <f>B2</f>
        <v>2012</v>
      </c>
      <c r="C24" s="169">
        <f t="shared" ref="C24:L24" si="1">C2</f>
        <v>2013</v>
      </c>
      <c r="D24" s="169">
        <f t="shared" si="1"/>
        <v>2014</v>
      </c>
      <c r="E24" s="169">
        <f t="shared" si="1"/>
        <v>2015</v>
      </c>
      <c r="F24" s="169">
        <f t="shared" si="1"/>
        <v>2016</v>
      </c>
      <c r="G24" s="169">
        <f t="shared" si="1"/>
        <v>2017</v>
      </c>
      <c r="H24" s="169">
        <f t="shared" si="1"/>
        <v>2018</v>
      </c>
      <c r="I24" s="169">
        <f t="shared" si="1"/>
        <v>2019</v>
      </c>
      <c r="J24" s="169">
        <f t="shared" si="1"/>
        <v>2020</v>
      </c>
      <c r="K24" s="169">
        <f t="shared" si="1"/>
        <v>2021</v>
      </c>
      <c r="L24" s="169">
        <f t="shared" si="1"/>
        <v>2022</v>
      </c>
    </row>
    <row r="25" spans="1:13" x14ac:dyDescent="0.25">
      <c r="A25" s="37" t="str">
        <f>'Software Pro-Forma'!A2</f>
        <v>Sofware Pro-Forma</v>
      </c>
      <c r="B25" s="96">
        <f>ABS(B5/'Software Pro-Forma'!B3)</f>
        <v>4.3977601964507007E-2</v>
      </c>
      <c r="C25" s="97">
        <f>ABS(C5/'Software Pro-Forma'!C3)</f>
        <v>4.4015002621324059E-2</v>
      </c>
      <c r="D25" s="97">
        <f>ABS(D5/'Software Pro-Forma'!D3)</f>
        <v>4.6427509948343472E-2</v>
      </c>
      <c r="E25" s="97">
        <f>ABS(E5/'Software Pro-Forma'!E3)</f>
        <v>4.4467137058012689E-2</v>
      </c>
      <c r="F25" s="97">
        <f>ABS(F5/'Software Pro-Forma'!F3)</f>
        <v>4.4188688771025088E-2</v>
      </c>
      <c r="G25" s="97">
        <f>ABS(G5/'Software Pro-Forma'!G3)</f>
        <v>4.4409260395336943E-2</v>
      </c>
      <c r="H25" s="97">
        <f>ABS(H5/'Software Pro-Forma'!H3)</f>
        <v>4.5631706906246662E-2</v>
      </c>
      <c r="I25" s="97">
        <f>ABS(I5/'Software Pro-Forma'!I3)</f>
        <v>4.6280424156360425E-2</v>
      </c>
      <c r="J25" s="97">
        <f>ABS(J5/'Software Pro-Forma'!J3)</f>
        <v>4.5109754572798026E-2</v>
      </c>
      <c r="K25" s="97">
        <f>ABS(K5/'Software Pro-Forma'!K3)</f>
        <v>4.4971508027906393E-2</v>
      </c>
      <c r="L25" s="98">
        <f>ABS(L5/'Software Pro-Forma'!L3)</f>
        <v>4.4722215056631043E-2</v>
      </c>
    </row>
    <row r="26" spans="1:13" x14ac:dyDescent="0.25">
      <c r="A26" s="37" t="str">
        <f>'Hardware Pro-Forma'!A2</f>
        <v>Hardware Pro-Forma</v>
      </c>
      <c r="B26" s="99">
        <f>ABS(B9/'Hardware Pro-Forma'!B3)</f>
        <v>4.4838703983830955E-2</v>
      </c>
      <c r="C26" s="100">
        <f>ABS(C9/'Hardware Pro-Forma'!C3)</f>
        <v>4.5488491645097266E-2</v>
      </c>
      <c r="D26" s="100">
        <f>ABS(D9/'Hardware Pro-Forma'!D3)</f>
        <v>4.4317255857897322E-2</v>
      </c>
      <c r="E26" s="100">
        <f>ABS(E9/'Hardware Pro-Forma'!E3)</f>
        <v>4.4457315342572509E-2</v>
      </c>
      <c r="F26" s="100">
        <f>ABS(F9/'Hardware Pro-Forma'!F3)</f>
        <v>4.4143130457612034E-2</v>
      </c>
      <c r="G26" s="100">
        <f>ABS(G9/'Hardware Pro-Forma'!G3)</f>
        <v>4.527819138307583E-2</v>
      </c>
      <c r="H26" s="100">
        <f>ABS(H9/'Hardware Pro-Forma'!H3)</f>
        <v>4.6500806265139638E-2</v>
      </c>
      <c r="I26" s="100">
        <f>ABS(I9/'Hardware Pro-Forma'!I3)</f>
        <v>4.5001858472173056E-2</v>
      </c>
      <c r="J26" s="100">
        <f>ABS(J9/'Hardware Pro-Forma'!J3)</f>
        <v>4.4408551425327444E-2</v>
      </c>
      <c r="K26" s="100">
        <f>ABS(K9/'Hardware Pro-Forma'!K3)</f>
        <v>4.5301096081364359E-2</v>
      </c>
      <c r="L26" s="101">
        <f>ABS(L9/'Hardware Pro-Forma'!L3)</f>
        <v>4.5396835697271258E-2</v>
      </c>
    </row>
    <row r="27" spans="1:13" ht="14.4" thickBot="1" x14ac:dyDescent="0.3">
      <c r="A27" s="38" t="str">
        <f>'Advertising Pro-Forma'!A2</f>
        <v>Advertising Pro-Forma</v>
      </c>
      <c r="B27" s="102">
        <f>ABS(B13/'Advertising Pro-Forma'!B3)</f>
        <v>4.5036163486700365E-2</v>
      </c>
      <c r="C27" s="103">
        <f>ABS(C13/'Advertising Pro-Forma'!C3)</f>
        <v>4.4282357916409977E-2</v>
      </c>
      <c r="D27" s="103">
        <f>ABS(D13/'Advertising Pro-Forma'!D3)</f>
        <v>4.5456924883047353E-2</v>
      </c>
      <c r="E27" s="103">
        <f>ABS(E13/'Advertising Pro-Forma'!E3)</f>
        <v>4.4465142328943684E-2</v>
      </c>
      <c r="F27" s="103">
        <f>ABS(F13/'Advertising Pro-Forma'!F3)</f>
        <v>4.5018767987881507E-2</v>
      </c>
      <c r="G27" s="103">
        <f>ABS(G13/'Advertising Pro-Forma'!G3)</f>
        <v>4.4895869874875108E-2</v>
      </c>
      <c r="H27" s="103">
        <f>ABS(H13/'Advertising Pro-Forma'!H3)</f>
        <v>4.4460589399465865E-2</v>
      </c>
      <c r="I27" s="103">
        <f>ABS(I13/'Advertising Pro-Forma'!I3)</f>
        <v>4.541346072538776E-2</v>
      </c>
      <c r="J27" s="103">
        <f>ABS(J13/'Advertising Pro-Forma'!J3)</f>
        <v>4.5253948779107961E-2</v>
      </c>
      <c r="K27" s="103">
        <f>ABS(K13/'Advertising Pro-Forma'!K3)</f>
        <v>4.4320062738937419E-2</v>
      </c>
      <c r="L27" s="104">
        <f>ABS(L13/'Advertising Pro-Forma'!L3)</f>
        <v>4.3829321334563451E-2</v>
      </c>
    </row>
    <row r="29" spans="1:13" ht="14.4" thickBot="1" x14ac:dyDescent="0.3"/>
    <row r="30" spans="1:13" ht="14.4" thickBot="1" x14ac:dyDescent="0.3">
      <c r="A30" s="214" t="s">
        <v>73</v>
      </c>
      <c r="B30" s="216"/>
      <c r="C30" s="1" t="s">
        <v>81</v>
      </c>
    </row>
    <row r="31" spans="1:13" ht="14.4" thickBot="1" x14ac:dyDescent="0.3">
      <c r="A31" s="167" t="s">
        <v>70</v>
      </c>
      <c r="B31" s="165">
        <v>0.59</v>
      </c>
    </row>
    <row r="32" spans="1:13" ht="14.4" thickBot="1" x14ac:dyDescent="0.3">
      <c r="A32" s="7" t="s">
        <v>71</v>
      </c>
      <c r="B32" s="168">
        <f>1-B31</f>
        <v>0.41000000000000003</v>
      </c>
    </row>
    <row r="33" spans="1:16" ht="14.4" thickBot="1" x14ac:dyDescent="0.3">
      <c r="A33" s="10" t="s">
        <v>72</v>
      </c>
      <c r="B33" s="111">
        <f>SUM(B31:B32)</f>
        <v>1</v>
      </c>
      <c r="M33" s="189" t="s">
        <v>83</v>
      </c>
      <c r="N33" s="157" t="s">
        <v>79</v>
      </c>
      <c r="O33" s="157"/>
      <c r="P33" s="157"/>
    </row>
    <row r="34" spans="1:16" ht="14.4" thickBot="1" x14ac:dyDescent="0.3">
      <c r="A34" s="167"/>
      <c r="B34" s="173">
        <f>B24</f>
        <v>2012</v>
      </c>
      <c r="C34" s="173">
        <f t="shared" ref="C34:L34" si="2">C24</f>
        <v>2013</v>
      </c>
      <c r="D34" s="173">
        <f t="shared" si="2"/>
        <v>2014</v>
      </c>
      <c r="E34" s="173">
        <f t="shared" si="2"/>
        <v>2015</v>
      </c>
      <c r="F34" s="173">
        <f t="shared" si="2"/>
        <v>2016</v>
      </c>
      <c r="G34" s="173">
        <f t="shared" si="2"/>
        <v>2017</v>
      </c>
      <c r="H34" s="173">
        <f t="shared" si="2"/>
        <v>2018</v>
      </c>
      <c r="I34" s="173">
        <f t="shared" si="2"/>
        <v>2019</v>
      </c>
      <c r="J34" s="173">
        <f t="shared" si="2"/>
        <v>2020</v>
      </c>
      <c r="K34" s="173">
        <f t="shared" si="2"/>
        <v>2021</v>
      </c>
      <c r="L34" s="173">
        <f t="shared" si="2"/>
        <v>2022</v>
      </c>
      <c r="N34" s="166" t="s">
        <v>77</v>
      </c>
      <c r="O34" s="166" t="s">
        <v>76</v>
      </c>
      <c r="P34" s="157"/>
    </row>
    <row r="35" spans="1:16" ht="14.4" thickBot="1" x14ac:dyDescent="0.3">
      <c r="A35" s="211" t="str">
        <f>A25</f>
        <v>Sofware Pro-Forma</v>
      </c>
      <c r="B35" s="212"/>
      <c r="C35" s="212"/>
      <c r="D35" s="212"/>
      <c r="E35" s="212"/>
      <c r="F35" s="212"/>
      <c r="G35" s="212"/>
      <c r="H35" s="212"/>
      <c r="I35" s="212"/>
      <c r="J35" s="212"/>
      <c r="K35" s="212"/>
      <c r="L35" s="213"/>
    </row>
    <row r="36" spans="1:16" x14ac:dyDescent="0.25">
      <c r="A36" s="182" t="str">
        <f>A31</f>
        <v>Labor</v>
      </c>
      <c r="B36" s="177">
        <f>B$6*$B31</f>
        <v>-260160600.29999998</v>
      </c>
      <c r="C36" s="178">
        <f t="shared" ref="C36:L36" si="3">C$6*$B31</f>
        <v>-237980854.19999999</v>
      </c>
      <c r="D36" s="178">
        <f t="shared" si="3"/>
        <v>-237831988.94</v>
      </c>
      <c r="E36" s="178">
        <f t="shared" si="3"/>
        <v>-227651160.75</v>
      </c>
      <c r="F36" s="178">
        <f t="shared" si="3"/>
        <v>-257313676.83999997</v>
      </c>
      <c r="G36" s="178">
        <f t="shared" si="3"/>
        <v>-257911173.38</v>
      </c>
      <c r="H36" s="178">
        <f t="shared" si="3"/>
        <v>-237718893.01999998</v>
      </c>
      <c r="I36" s="178">
        <f t="shared" si="3"/>
        <v>-238150501.03</v>
      </c>
      <c r="J36" s="178">
        <f t="shared" si="3"/>
        <v>-198953760.16999999</v>
      </c>
      <c r="K36" s="178">
        <f t="shared" si="3"/>
        <v>-229845959.56999999</v>
      </c>
      <c r="L36" s="179">
        <f t="shared" si="3"/>
        <v>-245728114.69999999</v>
      </c>
    </row>
    <row r="37" spans="1:16" x14ac:dyDescent="0.25">
      <c r="A37" s="182" t="str">
        <f>A32</f>
        <v>Materials</v>
      </c>
      <c r="B37" s="180">
        <f>B$6*$B32</f>
        <v>-180789569.70000002</v>
      </c>
      <c r="C37" s="172">
        <f t="shared" ref="C37:L37" si="4">C$6*$B32</f>
        <v>-165376525.80000001</v>
      </c>
      <c r="D37" s="172">
        <f t="shared" si="4"/>
        <v>-165273077.06</v>
      </c>
      <c r="E37" s="172">
        <f t="shared" si="4"/>
        <v>-158198264.25</v>
      </c>
      <c r="F37" s="172">
        <f t="shared" si="4"/>
        <v>-178811199.16000003</v>
      </c>
      <c r="G37" s="172">
        <f t="shared" si="4"/>
        <v>-179226408.62</v>
      </c>
      <c r="H37" s="172">
        <f t="shared" si="4"/>
        <v>-165194484.98000002</v>
      </c>
      <c r="I37" s="172">
        <f t="shared" si="4"/>
        <v>-165494415.97</v>
      </c>
      <c r="J37" s="172">
        <f t="shared" si="4"/>
        <v>-138256002.83000001</v>
      </c>
      <c r="K37" s="172">
        <f t="shared" si="4"/>
        <v>-159723463.43000001</v>
      </c>
      <c r="L37" s="174">
        <f t="shared" si="4"/>
        <v>-170760215.30000001</v>
      </c>
    </row>
    <row r="38" spans="1:16" ht="14.4" thickBot="1" x14ac:dyDescent="0.3">
      <c r="A38" s="183" t="str">
        <f>A33</f>
        <v xml:space="preserve">Total </v>
      </c>
      <c r="B38" s="181">
        <f>SUM(B36:B37)</f>
        <v>-440950170</v>
      </c>
      <c r="C38" s="175">
        <f t="shared" ref="C38:L38" si="5">SUM(C36:C37)</f>
        <v>-403357380</v>
      </c>
      <c r="D38" s="175">
        <f t="shared" si="5"/>
        <v>-403105066</v>
      </c>
      <c r="E38" s="175">
        <f t="shared" si="5"/>
        <v>-385849425</v>
      </c>
      <c r="F38" s="175">
        <f t="shared" si="5"/>
        <v>-436124876</v>
      </c>
      <c r="G38" s="175">
        <f t="shared" si="5"/>
        <v>-437137582</v>
      </c>
      <c r="H38" s="175">
        <f t="shared" si="5"/>
        <v>-402913378</v>
      </c>
      <c r="I38" s="175">
        <f t="shared" si="5"/>
        <v>-403644917</v>
      </c>
      <c r="J38" s="175">
        <f t="shared" si="5"/>
        <v>-337209763</v>
      </c>
      <c r="K38" s="175">
        <f t="shared" si="5"/>
        <v>-389569423</v>
      </c>
      <c r="L38" s="176">
        <f t="shared" si="5"/>
        <v>-416488330</v>
      </c>
    </row>
    <row r="39" spans="1:16" ht="14.4" thickBot="1" x14ac:dyDescent="0.3">
      <c r="A39" s="211" t="str">
        <f>A26</f>
        <v>Hardware Pro-Forma</v>
      </c>
      <c r="B39" s="212"/>
      <c r="C39" s="212"/>
      <c r="D39" s="212"/>
      <c r="E39" s="212"/>
      <c r="F39" s="212"/>
      <c r="G39" s="212"/>
      <c r="H39" s="212"/>
      <c r="I39" s="212"/>
      <c r="J39" s="212"/>
      <c r="K39" s="212"/>
      <c r="L39" s="213"/>
    </row>
    <row r="40" spans="1:16" x14ac:dyDescent="0.25">
      <c r="A40" s="182" t="str">
        <f>A36</f>
        <v>Labor</v>
      </c>
      <c r="B40" s="177">
        <f>B$10*$B31</f>
        <v>-90123216.25999999</v>
      </c>
      <c r="C40" s="178">
        <f t="shared" ref="C40:L40" si="6">C$10*$B31</f>
        <v>-86024921.679999992</v>
      </c>
      <c r="D40" s="178">
        <f t="shared" si="6"/>
        <v>-79927908.289999992</v>
      </c>
      <c r="E40" s="178">
        <f t="shared" si="6"/>
        <v>-82436138.709999993</v>
      </c>
      <c r="F40" s="178">
        <f t="shared" si="6"/>
        <v>-87323800.189999998</v>
      </c>
      <c r="G40" s="178">
        <f t="shared" si="6"/>
        <v>-92917482.810000002</v>
      </c>
      <c r="H40" s="178">
        <f t="shared" si="6"/>
        <v>-82492450.670000002</v>
      </c>
      <c r="I40" s="178">
        <f t="shared" si="6"/>
        <v>-82217560.819999993</v>
      </c>
      <c r="J40" s="178">
        <f t="shared" si="6"/>
        <v>-70505319.780000001</v>
      </c>
      <c r="K40" s="178">
        <f t="shared" si="6"/>
        <v>-80912717.409999996</v>
      </c>
      <c r="L40" s="179">
        <f t="shared" si="6"/>
        <v>-88014008.149999991</v>
      </c>
    </row>
    <row r="41" spans="1:16" x14ac:dyDescent="0.25">
      <c r="A41" s="182" t="str">
        <f>A37</f>
        <v>Materials</v>
      </c>
      <c r="B41" s="180">
        <f>B$10*$B32</f>
        <v>-62627997.740000002</v>
      </c>
      <c r="C41" s="172">
        <f t="shared" ref="C41:L41" si="7">C$10*$B32</f>
        <v>-59780030.320000008</v>
      </c>
      <c r="D41" s="172">
        <f t="shared" si="7"/>
        <v>-55543122.710000001</v>
      </c>
      <c r="E41" s="172">
        <f t="shared" si="7"/>
        <v>-57286130.290000007</v>
      </c>
      <c r="F41" s="172">
        <f t="shared" si="7"/>
        <v>-60682640.810000002</v>
      </c>
      <c r="G41" s="172">
        <f t="shared" si="7"/>
        <v>-64569776.190000005</v>
      </c>
      <c r="H41" s="172">
        <f t="shared" si="7"/>
        <v>-57325262.330000006</v>
      </c>
      <c r="I41" s="172">
        <f t="shared" si="7"/>
        <v>-57134237.180000007</v>
      </c>
      <c r="J41" s="172">
        <f t="shared" si="7"/>
        <v>-48995222.220000006</v>
      </c>
      <c r="K41" s="172">
        <f t="shared" si="7"/>
        <v>-56227481.590000004</v>
      </c>
      <c r="L41" s="174">
        <f t="shared" si="7"/>
        <v>-61162276.850000001</v>
      </c>
    </row>
    <row r="42" spans="1:16" ht="14.4" thickBot="1" x14ac:dyDescent="0.3">
      <c r="A42" s="183" t="str">
        <f>A38</f>
        <v xml:space="preserve">Total </v>
      </c>
      <c r="B42" s="181">
        <f>SUM(B40:B41)</f>
        <v>-152751214</v>
      </c>
      <c r="C42" s="175">
        <f t="shared" ref="C42" si="8">SUM(C40:C41)</f>
        <v>-145804952</v>
      </c>
      <c r="D42" s="175">
        <f t="shared" ref="D42" si="9">SUM(D40:D41)</f>
        <v>-135471031</v>
      </c>
      <c r="E42" s="175">
        <f t="shared" ref="E42" si="10">SUM(E40:E41)</f>
        <v>-139722269</v>
      </c>
      <c r="F42" s="175">
        <f t="shared" ref="F42" si="11">SUM(F40:F41)</f>
        <v>-148006441</v>
      </c>
      <c r="G42" s="175">
        <f t="shared" ref="G42" si="12">SUM(G40:G41)</f>
        <v>-157487259</v>
      </c>
      <c r="H42" s="175">
        <f t="shared" ref="H42" si="13">SUM(H40:H41)</f>
        <v>-139817713</v>
      </c>
      <c r="I42" s="175">
        <f t="shared" ref="I42" si="14">SUM(I40:I41)</f>
        <v>-139351798</v>
      </c>
      <c r="J42" s="175">
        <f t="shared" ref="J42" si="15">SUM(J40:J41)</f>
        <v>-119500542</v>
      </c>
      <c r="K42" s="175">
        <f t="shared" ref="K42" si="16">SUM(K40:K41)</f>
        <v>-137140199</v>
      </c>
      <c r="L42" s="176">
        <f t="shared" ref="L42" si="17">SUM(L40:L41)</f>
        <v>-149176285</v>
      </c>
    </row>
    <row r="43" spans="1:16" ht="14.4" thickBot="1" x14ac:dyDescent="0.3">
      <c r="A43" s="211" t="str">
        <f>A27</f>
        <v>Advertising Pro-Forma</v>
      </c>
      <c r="B43" s="212"/>
      <c r="C43" s="212"/>
      <c r="D43" s="212"/>
      <c r="E43" s="212"/>
      <c r="F43" s="212"/>
      <c r="G43" s="212"/>
      <c r="H43" s="212"/>
      <c r="I43" s="212"/>
      <c r="J43" s="212"/>
      <c r="K43" s="212"/>
      <c r="L43" s="213"/>
    </row>
    <row r="44" spans="1:16" x14ac:dyDescent="0.25">
      <c r="A44" s="182" t="str">
        <f>A40</f>
        <v>Labor</v>
      </c>
      <c r="B44" s="177">
        <f>B$14*$B31</f>
        <v>-68998111.679999992</v>
      </c>
      <c r="C44" s="178">
        <f t="shared" ref="C44:L44" si="18">C$14*$B31</f>
        <v>-61302917.5</v>
      </c>
      <c r="D44" s="178">
        <f t="shared" si="18"/>
        <v>-56692672.839999996</v>
      </c>
      <c r="E44" s="178">
        <f t="shared" si="18"/>
        <v>-59075885.209999993</v>
      </c>
      <c r="F44" s="178">
        <f t="shared" si="18"/>
        <v>-67848291.359999999</v>
      </c>
      <c r="G44" s="178">
        <f t="shared" si="18"/>
        <v>-61549877.339999996</v>
      </c>
      <c r="H44" s="178">
        <f t="shared" si="18"/>
        <v>-61296408.029999994</v>
      </c>
      <c r="I44" s="178">
        <f t="shared" si="18"/>
        <v>-59200920.369999997</v>
      </c>
      <c r="J44" s="178">
        <f t="shared" si="18"/>
        <v>-56746213.57</v>
      </c>
      <c r="K44" s="178">
        <f t="shared" si="18"/>
        <v>-55273686.259999998</v>
      </c>
      <c r="L44" s="179">
        <f t="shared" si="18"/>
        <v>-60545439.509999998</v>
      </c>
    </row>
    <row r="45" spans="1:16" x14ac:dyDescent="0.25">
      <c r="A45" s="182" t="str">
        <f>A41</f>
        <v>Materials</v>
      </c>
      <c r="B45" s="180">
        <f>B$14*$B32</f>
        <v>-47947840.32</v>
      </c>
      <c r="C45" s="172">
        <f t="shared" ref="C45:L45" si="19">C$14*$B32</f>
        <v>-42600332.5</v>
      </c>
      <c r="D45" s="172">
        <f t="shared" si="19"/>
        <v>-39396603.160000004</v>
      </c>
      <c r="E45" s="172">
        <f t="shared" si="19"/>
        <v>-41052733.790000007</v>
      </c>
      <c r="F45" s="172">
        <f t="shared" si="19"/>
        <v>-47148812.640000001</v>
      </c>
      <c r="G45" s="172">
        <f t="shared" si="19"/>
        <v>-42771948.660000004</v>
      </c>
      <c r="H45" s="172">
        <f t="shared" si="19"/>
        <v>-42595808.970000006</v>
      </c>
      <c r="I45" s="172">
        <f t="shared" si="19"/>
        <v>-41139622.630000003</v>
      </c>
      <c r="J45" s="172">
        <f t="shared" si="19"/>
        <v>-39433809.43</v>
      </c>
      <c r="K45" s="172">
        <f t="shared" si="19"/>
        <v>-38410527.740000002</v>
      </c>
      <c r="L45" s="174">
        <f t="shared" si="19"/>
        <v>-42073949.490000002</v>
      </c>
    </row>
    <row r="46" spans="1:16" ht="14.4" thickBot="1" x14ac:dyDescent="0.3">
      <c r="A46" s="184" t="str">
        <f>A42</f>
        <v xml:space="preserve">Total </v>
      </c>
      <c r="B46" s="181">
        <f>SUM(B44:B45)</f>
        <v>-116945952</v>
      </c>
      <c r="C46" s="175">
        <f t="shared" ref="C46" si="20">SUM(C44:C45)</f>
        <v>-103903250</v>
      </c>
      <c r="D46" s="175">
        <f t="shared" ref="D46" si="21">SUM(D44:D45)</f>
        <v>-96089276</v>
      </c>
      <c r="E46" s="175">
        <f t="shared" ref="E46" si="22">SUM(E44:E45)</f>
        <v>-100128619</v>
      </c>
      <c r="F46" s="175">
        <f t="shared" ref="F46" si="23">SUM(F44:F45)</f>
        <v>-114997104</v>
      </c>
      <c r="G46" s="175">
        <f t="shared" ref="G46" si="24">SUM(G44:G45)</f>
        <v>-104321826</v>
      </c>
      <c r="H46" s="175">
        <f t="shared" ref="H46" si="25">SUM(H44:H45)</f>
        <v>-103892217</v>
      </c>
      <c r="I46" s="175">
        <f t="shared" ref="I46" si="26">SUM(I44:I45)</f>
        <v>-100340543</v>
      </c>
      <c r="J46" s="175">
        <f t="shared" ref="J46" si="27">SUM(J44:J45)</f>
        <v>-96180023</v>
      </c>
      <c r="K46" s="175">
        <f t="shared" ref="K46" si="28">SUM(K44:K45)</f>
        <v>-93684214</v>
      </c>
      <c r="L46" s="176">
        <f t="shared" ref="L46" si="29">SUM(L44:L45)</f>
        <v>-102619389</v>
      </c>
    </row>
  </sheetData>
  <mergeCells count="6">
    <mergeCell ref="A43:L43"/>
    <mergeCell ref="A18:L18"/>
    <mergeCell ref="A1:L1"/>
    <mergeCell ref="A30:B30"/>
    <mergeCell ref="A35:L35"/>
    <mergeCell ref="A39:L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F0C1F-1839-4351-9A4D-E4ABC5282647}">
  <dimension ref="A1:O38"/>
  <sheetViews>
    <sheetView zoomScale="85" workbookViewId="0">
      <selection activeCell="H12" sqref="H12"/>
    </sheetView>
  </sheetViews>
  <sheetFormatPr defaultRowHeight="13.8" x14ac:dyDescent="0.25"/>
  <cols>
    <col min="1" max="1" width="36" style="1" bestFit="1" customWidth="1"/>
    <col min="2" max="11" width="17.33203125" style="2" bestFit="1" customWidth="1"/>
    <col min="12" max="12" width="16.44140625" style="2" bestFit="1" customWidth="1"/>
    <col min="13" max="13" width="8.88671875" style="1"/>
    <col min="14" max="14" width="15.5546875" style="1" bestFit="1" customWidth="1"/>
    <col min="15" max="15" width="17.21875" style="107" bestFit="1" customWidth="1"/>
    <col min="16" max="17" width="8.88671875" style="1"/>
    <col min="18" max="18" width="12.6640625" style="1" bestFit="1" customWidth="1"/>
    <col min="19" max="16384" width="8.88671875" style="1"/>
  </cols>
  <sheetData>
    <row r="1" spans="1:15" ht="14.4" thickBot="1" x14ac:dyDescent="0.3">
      <c r="A1" s="25" t="s">
        <v>37</v>
      </c>
      <c r="C1" s="93">
        <f>(C3-B3)/B3</f>
        <v>-6.3110118409061236E-2</v>
      </c>
      <c r="D1" s="93">
        <f t="shared" ref="D1:L1" si="0">(D3-C3)/C3</f>
        <v>-5.5121701532657559E-2</v>
      </c>
      <c r="E1" s="93">
        <f t="shared" si="0"/>
        <v>1.6944953532037225E-2</v>
      </c>
      <c r="F1" s="93">
        <f t="shared" si="0"/>
        <v>0.11419833054197837</v>
      </c>
      <c r="G1" s="93">
        <f t="shared" si="0"/>
        <v>-1.2560144443328988E-3</v>
      </c>
      <c r="H1" s="93">
        <f t="shared" si="0"/>
        <v>-8.4806245314654138E-2</v>
      </c>
      <c r="I1" s="93">
        <f t="shared" si="0"/>
        <v>2.3807326689383523E-2</v>
      </c>
      <c r="J1" s="93">
        <f t="shared" si="0"/>
        <v>-0.14196016457895677</v>
      </c>
      <c r="K1" s="93">
        <f t="shared" si="0"/>
        <v>0.10016016883298734</v>
      </c>
      <c r="L1" s="93">
        <f t="shared" si="0"/>
        <v>8.6218926204856036E-2</v>
      </c>
    </row>
    <row r="2" spans="1:15" ht="14.4" thickBot="1" x14ac:dyDescent="0.3">
      <c r="A2" s="65" t="s">
        <v>57</v>
      </c>
      <c r="B2" s="90">
        <v>2012</v>
      </c>
      <c r="C2" s="87">
        <f>B2+1</f>
        <v>2013</v>
      </c>
      <c r="D2" s="87">
        <f t="shared" ref="D2:L2" si="1">C2+1</f>
        <v>2014</v>
      </c>
      <c r="E2" s="87">
        <f t="shared" si="1"/>
        <v>2015</v>
      </c>
      <c r="F2" s="87">
        <f t="shared" si="1"/>
        <v>2016</v>
      </c>
      <c r="G2" s="87">
        <f t="shared" si="1"/>
        <v>2017</v>
      </c>
      <c r="H2" s="87">
        <f t="shared" si="1"/>
        <v>2018</v>
      </c>
      <c r="I2" s="87">
        <f t="shared" si="1"/>
        <v>2019</v>
      </c>
      <c r="J2" s="87">
        <f t="shared" si="1"/>
        <v>2020</v>
      </c>
      <c r="K2" s="87">
        <f t="shared" si="1"/>
        <v>2021</v>
      </c>
      <c r="L2" s="87">
        <f t="shared" si="1"/>
        <v>2022</v>
      </c>
      <c r="N2" s="107"/>
      <c r="O2" s="166"/>
    </row>
    <row r="3" spans="1:15" x14ac:dyDescent="0.25">
      <c r="A3" s="73" t="s">
        <v>15</v>
      </c>
      <c r="B3" s="5">
        <f>'Advertising Pro-Forma'!B3+'Software Pro-Forma'!B3+'Hardware Pro-Forma'!B3</f>
        <v>1554060692.8400002</v>
      </c>
      <c r="C3" s="5">
        <f>'Advertising Pro-Forma'!C3+'Software Pro-Forma'!C3+'Hardware Pro-Forma'!C3</f>
        <v>1455983738.5</v>
      </c>
      <c r="D3" s="5">
        <f>'Advertising Pro-Forma'!D3+'Software Pro-Forma'!D3+'Hardware Pro-Forma'!D3</f>
        <v>1375727437.4300001</v>
      </c>
      <c r="E3" s="5">
        <f>'Advertising Pro-Forma'!E3+'Software Pro-Forma'!E3+'Hardware Pro-Forma'!E3</f>
        <v>1399039074.9300001</v>
      </c>
      <c r="F3" s="5">
        <f>'Advertising Pro-Forma'!F3+'Software Pro-Forma'!F3+'Hardware Pro-Forma'!F3</f>
        <v>1558807001.6499999</v>
      </c>
      <c r="G3" s="5">
        <f>'Advertising Pro-Forma'!G3+'Software Pro-Forma'!G3+'Hardware Pro-Forma'!G3</f>
        <v>1556849117.5400002</v>
      </c>
      <c r="H3" s="5">
        <f>'Advertising Pro-Forma'!H3+'Software Pro-Forma'!H3+'Hardware Pro-Forma'!H3</f>
        <v>1424818589.3600001</v>
      </c>
      <c r="I3" s="5">
        <f>'Advertising Pro-Forma'!I3+'Software Pro-Forma'!I3+'Hardware Pro-Forma'!I3</f>
        <v>1458739710.9900002</v>
      </c>
      <c r="J3" s="5">
        <f>'Advertising Pro-Forma'!J3+'Software Pro-Forma'!J3+'Hardware Pro-Forma'!J3</f>
        <v>1251656781.54</v>
      </c>
      <c r="K3" s="5">
        <f>'Advertising Pro-Forma'!K3+'Software Pro-Forma'!K3+'Hardware Pro-Forma'!K3</f>
        <v>1377022936.0999999</v>
      </c>
      <c r="L3" s="6">
        <f>'Advertising Pro-Forma'!L3+'Software Pro-Forma'!L3+'Hardware Pro-Forma'!L3</f>
        <v>1495748375.01</v>
      </c>
      <c r="O3" s="166"/>
    </row>
    <row r="4" spans="1:15" x14ac:dyDescent="0.25">
      <c r="A4" s="74" t="s">
        <v>34</v>
      </c>
      <c r="B4" s="88">
        <f>'Advertising Pro-Forma'!B4+'Software Pro-Forma'!B4+'Hardware Pro-Forma'!B4</f>
        <v>-710647336</v>
      </c>
      <c r="C4" s="88">
        <f>'Advertising Pro-Forma'!C4+'Software Pro-Forma'!C4+'Hardware Pro-Forma'!C4</f>
        <v>-653065582</v>
      </c>
      <c r="D4" s="88">
        <f>'Advertising Pro-Forma'!D4+'Software Pro-Forma'!D4+'Hardware Pro-Forma'!D4</f>
        <v>-634665373</v>
      </c>
      <c r="E4" s="88">
        <f>'Advertising Pro-Forma'!E4+'Software Pro-Forma'!E4+'Hardware Pro-Forma'!E4</f>
        <v>-625700313</v>
      </c>
      <c r="F4" s="88">
        <f>'Advertising Pro-Forma'!F4+'Software Pro-Forma'!F4+'Hardware Pro-Forma'!F4</f>
        <v>-699128421</v>
      </c>
      <c r="G4" s="88">
        <f>'Advertising Pro-Forma'!G4+'Software Pro-Forma'!G4+'Hardware Pro-Forma'!G4</f>
        <v>-698946667</v>
      </c>
      <c r="H4" s="88">
        <f>'Advertising Pro-Forma'!H4+'Software Pro-Forma'!H4+'Hardware Pro-Forma'!H4</f>
        <v>-646623308</v>
      </c>
      <c r="I4" s="88">
        <f>'Advertising Pro-Forma'!I4+'Software Pro-Forma'!I4+'Hardware Pro-Forma'!I4</f>
        <v>-643337258</v>
      </c>
      <c r="J4" s="88">
        <f>'Advertising Pro-Forma'!J4+'Software Pro-Forma'!J4+'Hardware Pro-Forma'!J4</f>
        <v>-552890328</v>
      </c>
      <c r="K4" s="88">
        <f>'Advertising Pro-Forma'!K4+'Software Pro-Forma'!K4+'Hardware Pro-Forma'!K4</f>
        <v>-620393836</v>
      </c>
      <c r="L4" s="91">
        <f>'Advertising Pro-Forma'!L4+'Software Pro-Forma'!L4+'Hardware Pro-Forma'!L4</f>
        <v>-668284004</v>
      </c>
      <c r="O4" s="166"/>
    </row>
    <row r="5" spans="1:15" x14ac:dyDescent="0.25">
      <c r="A5" s="75" t="s">
        <v>36</v>
      </c>
      <c r="B5" s="42">
        <f>SUM(B3:B4)</f>
        <v>843413356.84000015</v>
      </c>
      <c r="C5" s="42">
        <f t="shared" ref="C5:L5" si="2">SUM(C3:C4)</f>
        <v>802918156.5</v>
      </c>
      <c r="D5" s="42">
        <f t="shared" si="2"/>
        <v>741062064.43000007</v>
      </c>
      <c r="E5" s="42">
        <f t="shared" si="2"/>
        <v>773338761.93000007</v>
      </c>
      <c r="F5" s="42">
        <f t="shared" si="2"/>
        <v>859678580.64999986</v>
      </c>
      <c r="G5" s="42">
        <f t="shared" si="2"/>
        <v>857902450.5400002</v>
      </c>
      <c r="H5" s="42">
        <f t="shared" si="2"/>
        <v>778195281.36000013</v>
      </c>
      <c r="I5" s="42">
        <f t="shared" si="2"/>
        <v>815402452.99000025</v>
      </c>
      <c r="J5" s="42">
        <f t="shared" si="2"/>
        <v>698766453.53999996</v>
      </c>
      <c r="K5" s="42">
        <f t="shared" si="2"/>
        <v>756629100.0999999</v>
      </c>
      <c r="L5" s="68">
        <f t="shared" si="2"/>
        <v>827464371.00999999</v>
      </c>
      <c r="O5" s="166"/>
    </row>
    <row r="6" spans="1:15" x14ac:dyDescent="0.25">
      <c r="A6" s="74" t="s">
        <v>38</v>
      </c>
      <c r="B6" s="8">
        <f>'Advertising Pro-Forma'!B6+'Software Pro-Forma'!B6+'Hardware Pro-Forma'!B6</f>
        <v>-545601321</v>
      </c>
      <c r="C6" s="8">
        <f>'Advertising Pro-Forma'!C6+'Software Pro-Forma'!C6+'Hardware Pro-Forma'!C6</f>
        <v>-512123810</v>
      </c>
      <c r="D6" s="8">
        <f>'Advertising Pro-Forma'!D6+'Software Pro-Forma'!D6+'Hardware Pro-Forma'!D6</f>
        <v>-482077700</v>
      </c>
      <c r="E6" s="8">
        <f>'Advertising Pro-Forma'!E6+'Software Pro-Forma'!E6+'Hardware Pro-Forma'!E6</f>
        <v>-493552614</v>
      </c>
      <c r="F6" s="8">
        <f>'Advertising Pro-Forma'!F6+'Software Pro-Forma'!F6+'Hardware Pro-Forma'!F6</f>
        <v>-549784906</v>
      </c>
      <c r="G6" s="8">
        <f>'Advertising Pro-Forma'!G6+'Software Pro-Forma'!G6+'Hardware Pro-Forma'!G6</f>
        <v>-549724914</v>
      </c>
      <c r="H6" s="8">
        <f>'Advertising Pro-Forma'!H6+'Software Pro-Forma'!H6+'Hardware Pro-Forma'!H6</f>
        <v>-505908737</v>
      </c>
      <c r="I6" s="8">
        <f>'Advertising Pro-Forma'!I6+'Software Pro-Forma'!I6+'Hardware Pro-Forma'!I6</f>
        <v>-511965052</v>
      </c>
      <c r="J6" s="8">
        <f>'Advertising Pro-Forma'!J6+'Software Pro-Forma'!J6+'Hardware Pro-Forma'!J6</f>
        <v>-441794345</v>
      </c>
      <c r="K6" s="8">
        <f>'Advertising Pro-Forma'!K6+'Software Pro-Forma'!K6+'Hardware Pro-Forma'!K6</f>
        <v>-485503982</v>
      </c>
      <c r="L6" s="9">
        <f>'Advertising Pro-Forma'!L6+'Software Pro-Forma'!L6+'Hardware Pro-Forma'!L6</f>
        <v>-529294687</v>
      </c>
      <c r="O6" s="166"/>
    </row>
    <row r="7" spans="1:15" x14ac:dyDescent="0.25">
      <c r="A7" s="37" t="s">
        <v>39</v>
      </c>
      <c r="B7" s="8">
        <f>SUM(B5:B6)</f>
        <v>297812035.84000015</v>
      </c>
      <c r="C7" s="8">
        <f t="shared" ref="C7:L7" si="3">SUM(C5:C6)</f>
        <v>290794346.5</v>
      </c>
      <c r="D7" s="8">
        <f t="shared" si="3"/>
        <v>258984364.43000007</v>
      </c>
      <c r="E7" s="8">
        <f t="shared" si="3"/>
        <v>279786147.93000007</v>
      </c>
      <c r="F7" s="8">
        <f t="shared" si="3"/>
        <v>309893674.64999986</v>
      </c>
      <c r="G7" s="8">
        <f t="shared" si="3"/>
        <v>308177536.5400002</v>
      </c>
      <c r="H7" s="8">
        <f t="shared" si="3"/>
        <v>272286544.36000013</v>
      </c>
      <c r="I7" s="8">
        <f t="shared" si="3"/>
        <v>303437400.99000025</v>
      </c>
      <c r="J7" s="8">
        <f t="shared" si="3"/>
        <v>256972108.53999996</v>
      </c>
      <c r="K7" s="8">
        <f t="shared" si="3"/>
        <v>271125118.0999999</v>
      </c>
      <c r="L7" s="9">
        <f t="shared" si="3"/>
        <v>298169684.00999999</v>
      </c>
      <c r="O7" s="166"/>
    </row>
    <row r="8" spans="1:15" ht="14.4" thickBot="1" x14ac:dyDescent="0.3">
      <c r="A8" s="202" t="s">
        <v>40</v>
      </c>
      <c r="B8" s="88">
        <f>'Advertising Pro-Forma'!B14+'Software Pro-Forma'!B15+'Hardware Pro-Forma'!B15</f>
        <v>-14462230.414445454</v>
      </c>
      <c r="C8" s="88">
        <f>'Advertising Pro-Forma'!C14+'Software Pro-Forma'!C15+'Hardware Pro-Forma'!C15</f>
        <v>-14462230.414445454</v>
      </c>
      <c r="D8" s="88">
        <f>'Advertising Pro-Forma'!D14+'Software Pro-Forma'!D15+'Hardware Pro-Forma'!D15</f>
        <v>-14462230.414445454</v>
      </c>
      <c r="E8" s="88">
        <f>'Advertising Pro-Forma'!E14+'Software Pro-Forma'!E15+'Hardware Pro-Forma'!E15</f>
        <v>-14462230.414445454</v>
      </c>
      <c r="F8" s="88">
        <f>'Advertising Pro-Forma'!F14+'Software Pro-Forma'!F15+'Hardware Pro-Forma'!F15</f>
        <v>-14462230.414445454</v>
      </c>
      <c r="G8" s="88">
        <f>'Advertising Pro-Forma'!G14+'Software Pro-Forma'!G15+'Hardware Pro-Forma'!G15</f>
        <v>-14462230.414445454</v>
      </c>
      <c r="H8" s="88">
        <f>'Advertising Pro-Forma'!H14+'Software Pro-Forma'!H15+'Hardware Pro-Forma'!H15</f>
        <v>-14462230.414445454</v>
      </c>
      <c r="I8" s="88">
        <f>'Advertising Pro-Forma'!I14+'Software Pro-Forma'!I15+'Hardware Pro-Forma'!I15</f>
        <v>-14462230.414445454</v>
      </c>
      <c r="J8" s="88">
        <f>'Advertising Pro-Forma'!J14+'Software Pro-Forma'!J15+'Hardware Pro-Forma'!J15</f>
        <v>-14462230.414445454</v>
      </c>
      <c r="K8" s="88">
        <f>'Advertising Pro-Forma'!K14+'Software Pro-Forma'!K15+'Hardware Pro-Forma'!K15</f>
        <v>-14462230.414445454</v>
      </c>
      <c r="L8" s="91">
        <f>'Advertising Pro-Forma'!L14+'Software Pro-Forma'!L15+'Hardware Pro-Forma'!L15</f>
        <v>-14462230.414445454</v>
      </c>
      <c r="O8" s="166"/>
    </row>
    <row r="9" spans="1:15" x14ac:dyDescent="0.25">
      <c r="A9" s="203" t="s">
        <v>41</v>
      </c>
      <c r="B9" s="89">
        <f>SUM(B7:B8)</f>
        <v>283349805.42555469</v>
      </c>
      <c r="C9" s="89">
        <f t="shared" ref="C9:L9" si="4">SUM(C7:C8)</f>
        <v>276332116.08555454</v>
      </c>
      <c r="D9" s="89">
        <f t="shared" si="4"/>
        <v>244522134.01555461</v>
      </c>
      <c r="E9" s="89">
        <f t="shared" si="4"/>
        <v>265323917.51555461</v>
      </c>
      <c r="F9" s="89">
        <f t="shared" si="4"/>
        <v>295431444.2355544</v>
      </c>
      <c r="G9" s="89">
        <f t="shared" si="4"/>
        <v>293715306.12555474</v>
      </c>
      <c r="H9" s="89">
        <f t="shared" si="4"/>
        <v>257824313.94555467</v>
      </c>
      <c r="I9" s="89">
        <f t="shared" si="4"/>
        <v>288975170.57555479</v>
      </c>
      <c r="J9" s="89">
        <f t="shared" si="4"/>
        <v>242509878.1255545</v>
      </c>
      <c r="K9" s="89">
        <f t="shared" si="4"/>
        <v>256662887.68555444</v>
      </c>
      <c r="L9" s="92">
        <f t="shared" si="4"/>
        <v>283707453.59555453</v>
      </c>
      <c r="N9" s="107"/>
      <c r="O9" s="166"/>
    </row>
    <row r="10" spans="1:15" x14ac:dyDescent="0.25">
      <c r="A10" s="37" t="s">
        <v>42</v>
      </c>
      <c r="B10" s="8">
        <f>'Advertising Pro-Forma'!B16+'Software Pro-Forma'!B17+'Hardware Pro-Forma'!B17</f>
        <v>-21007474.798740726</v>
      </c>
      <c r="C10" s="8">
        <f>'Advertising Pro-Forma'!C16+'Software Pro-Forma'!C17+'Hardware Pro-Forma'!C17</f>
        <v>-20291881.858764</v>
      </c>
      <c r="D10" s="8">
        <f>'Advertising Pro-Forma'!D16+'Software Pro-Forma'!D17+'Hardware Pro-Forma'!D17</f>
        <v>-19576288.918787271</v>
      </c>
      <c r="E10" s="8">
        <f>'Advertising Pro-Forma'!E16+'Software Pro-Forma'!E17+'Hardware Pro-Forma'!E17</f>
        <v>-18860695.978810545</v>
      </c>
      <c r="F10" s="8">
        <f>'Advertising Pro-Forma'!F16+'Software Pro-Forma'!F17+'Hardware Pro-Forma'!F17</f>
        <v>-18145103.038833819</v>
      </c>
      <c r="G10" s="8">
        <f>'Advertising Pro-Forma'!G16+'Software Pro-Forma'!G17+'Hardware Pro-Forma'!G17</f>
        <v>-17429510.09885709</v>
      </c>
      <c r="H10" s="8">
        <f>'Advertising Pro-Forma'!H16+'Software Pro-Forma'!H17+'Hardware Pro-Forma'!H17</f>
        <v>-16713917.158880362</v>
      </c>
      <c r="I10" s="8">
        <f>'Advertising Pro-Forma'!I16+'Software Pro-Forma'!I17+'Hardware Pro-Forma'!I17</f>
        <v>-15998324.218903635</v>
      </c>
      <c r="J10" s="8">
        <f>'Advertising Pro-Forma'!J16+'Software Pro-Forma'!J17+'Hardware Pro-Forma'!J17</f>
        <v>-15282731.278926907</v>
      </c>
      <c r="K10" s="8">
        <f>'Advertising Pro-Forma'!K16+'Software Pro-Forma'!K17+'Hardware Pro-Forma'!K17</f>
        <v>-14567138.33895018</v>
      </c>
      <c r="L10" s="9">
        <f>'Advertising Pro-Forma'!L16+'Software Pro-Forma'!L17+'Hardware Pro-Forma'!L17</f>
        <v>-13851545.398973454</v>
      </c>
      <c r="O10" s="166"/>
    </row>
    <row r="11" spans="1:15" x14ac:dyDescent="0.25">
      <c r="A11" s="37" t="s">
        <v>50</v>
      </c>
      <c r="B11" s="8">
        <f>'Advertising Pro-Forma'!B17+'Software Pro-Forma'!B18+'Hardware Pro-Forma'!B18</f>
        <v>0</v>
      </c>
      <c r="C11" s="8">
        <f>'Advertising Pro-Forma'!C17+'Software Pro-Forma'!C18+'Hardware Pro-Forma'!C18</f>
        <v>0</v>
      </c>
      <c r="D11" s="8">
        <f>'Advertising Pro-Forma'!D17+'Software Pro-Forma'!D18+'Hardware Pro-Forma'!D18</f>
        <v>0</v>
      </c>
      <c r="E11" s="8">
        <f>'Advertising Pro-Forma'!E17+'Software Pro-Forma'!E18+'Hardware Pro-Forma'!E18</f>
        <v>0</v>
      </c>
      <c r="F11" s="8">
        <f>'Advertising Pro-Forma'!F17+'Software Pro-Forma'!F18+'Hardware Pro-Forma'!F18</f>
        <v>0</v>
      </c>
      <c r="G11" s="8">
        <f>'Advertising Pro-Forma'!G17+'Software Pro-Forma'!G18+'Hardware Pro-Forma'!G18</f>
        <v>0</v>
      </c>
      <c r="H11" s="8">
        <f>'Advertising Pro-Forma'!H17+'Software Pro-Forma'!H18+'Hardware Pro-Forma'!H18</f>
        <v>0</v>
      </c>
      <c r="I11" s="8">
        <f>'Advertising Pro-Forma'!I17+'Software Pro-Forma'!I18+'Hardware Pro-Forma'!I18</f>
        <v>0</v>
      </c>
      <c r="J11" s="8">
        <f>'Advertising Pro-Forma'!J17+'Software Pro-Forma'!J18+'Hardware Pro-Forma'!J18</f>
        <v>0</v>
      </c>
      <c r="K11" s="8">
        <f>'Advertising Pro-Forma'!K17+'Software Pro-Forma'!K18+'Hardware Pro-Forma'!K18</f>
        <v>0</v>
      </c>
      <c r="L11" s="9">
        <f>'Advertising Pro-Forma'!L17+'Software Pro-Forma'!L18+'Hardware Pro-Forma'!L18</f>
        <v>0</v>
      </c>
      <c r="O11" s="166"/>
    </row>
    <row r="12" spans="1:15" x14ac:dyDescent="0.25">
      <c r="A12" s="79" t="s">
        <v>51</v>
      </c>
      <c r="B12" s="88">
        <f>'Advertising Pro-Forma'!B18+'Software Pro-Forma'!B19+'Hardware Pro-Forma'!B19</f>
        <v>0</v>
      </c>
      <c r="C12" s="88">
        <f>'Advertising Pro-Forma'!C18+'Software Pro-Forma'!C19+'Hardware Pro-Forma'!C19</f>
        <v>0</v>
      </c>
      <c r="D12" s="88">
        <f>'Advertising Pro-Forma'!D18+'Software Pro-Forma'!D19+'Hardware Pro-Forma'!D19</f>
        <v>0</v>
      </c>
      <c r="E12" s="88">
        <f>'Advertising Pro-Forma'!E18+'Software Pro-Forma'!E19+'Hardware Pro-Forma'!E19</f>
        <v>0</v>
      </c>
      <c r="F12" s="88">
        <f>'Advertising Pro-Forma'!F18+'Software Pro-Forma'!F19+'Hardware Pro-Forma'!F19</f>
        <v>0</v>
      </c>
      <c r="G12" s="88">
        <f>'Advertising Pro-Forma'!G18+'Software Pro-Forma'!G19+'Hardware Pro-Forma'!G19</f>
        <v>0</v>
      </c>
      <c r="H12" s="88">
        <f>'Advertising Pro-Forma'!H18+'Software Pro-Forma'!H19+'Hardware Pro-Forma'!H19</f>
        <v>0</v>
      </c>
      <c r="I12" s="88">
        <f>'Advertising Pro-Forma'!I18+'Software Pro-Forma'!I19+'Hardware Pro-Forma'!I19</f>
        <v>0</v>
      </c>
      <c r="J12" s="88">
        <f>'Advertising Pro-Forma'!J18+'Software Pro-Forma'!J19+'Hardware Pro-Forma'!J19</f>
        <v>0</v>
      </c>
      <c r="K12" s="88">
        <f>'Advertising Pro-Forma'!K18+'Software Pro-Forma'!K19+'Hardware Pro-Forma'!K19</f>
        <v>0</v>
      </c>
      <c r="L12" s="91">
        <f>'Advertising Pro-Forma'!L18+'Software Pro-Forma'!L19+'Hardware Pro-Forma'!L19</f>
        <v>0</v>
      </c>
      <c r="N12" s="107"/>
      <c r="O12" s="166"/>
    </row>
    <row r="13" spans="1:15" x14ac:dyDescent="0.25">
      <c r="A13" s="37" t="s">
        <v>52</v>
      </c>
      <c r="B13" s="8">
        <f>SUM(B9:B12)</f>
        <v>262342330.62681398</v>
      </c>
      <c r="C13" s="8">
        <f t="shared" ref="C13:L13" si="5">SUM(C9:C12)</f>
        <v>256040234.22679055</v>
      </c>
      <c r="D13" s="8">
        <f t="shared" si="5"/>
        <v>224945845.09676734</v>
      </c>
      <c r="E13" s="8">
        <f t="shared" si="5"/>
        <v>246463221.53674406</v>
      </c>
      <c r="F13" s="8">
        <f t="shared" si="5"/>
        <v>277286341.1967206</v>
      </c>
      <c r="G13" s="8">
        <f t="shared" si="5"/>
        <v>276285796.02669764</v>
      </c>
      <c r="H13" s="8">
        <f t="shared" si="5"/>
        <v>241110396.78667432</v>
      </c>
      <c r="I13" s="8">
        <f t="shared" si="5"/>
        <v>272976846.35665113</v>
      </c>
      <c r="J13" s="8">
        <f t="shared" si="5"/>
        <v>227227146.84662759</v>
      </c>
      <c r="K13" s="8">
        <f t="shared" si="5"/>
        <v>242095749.34660426</v>
      </c>
      <c r="L13" s="9">
        <f t="shared" si="5"/>
        <v>269855908.19658107</v>
      </c>
      <c r="O13" s="166"/>
    </row>
    <row r="14" spans="1:15" x14ac:dyDescent="0.25">
      <c r="A14" s="37" t="s">
        <v>53</v>
      </c>
      <c r="B14" s="8">
        <f>'Advertising Pro-Forma'!B20+'Software Pro-Forma'!B21+'Hardware Pro-Forma'!B21</f>
        <v>-70832429.269239753</v>
      </c>
      <c r="C14" s="8">
        <f>'Advertising Pro-Forma'!C20+'Software Pro-Forma'!C21+'Hardware Pro-Forma'!C21</f>
        <v>-69130863.241233468</v>
      </c>
      <c r="D14" s="8">
        <f>'Advertising Pro-Forma'!D20+'Software Pro-Forma'!D21+'Hardware Pro-Forma'!D21</f>
        <v>-60735378.176127188</v>
      </c>
      <c r="E14" s="8">
        <f>'Advertising Pro-Forma'!E20+'Software Pro-Forma'!E21+'Hardware Pro-Forma'!E21</f>
        <v>-66545069.81492088</v>
      </c>
      <c r="F14" s="8">
        <f>'Advertising Pro-Forma'!F20+'Software Pro-Forma'!F21+'Hardware Pro-Forma'!F21</f>
        <v>-74867312.123114586</v>
      </c>
      <c r="G14" s="8">
        <f>'Advertising Pro-Forma'!G20+'Software Pro-Forma'!G21+'Hardware Pro-Forma'!G21</f>
        <v>-74597164.927208334</v>
      </c>
      <c r="H14" s="8">
        <f>'Advertising Pro-Forma'!H20+'Software Pro-Forma'!H21+'Hardware Pro-Forma'!H21</f>
        <v>-65099807.132402033</v>
      </c>
      <c r="I14" s="8">
        <f>'Advertising Pro-Forma'!I20+'Software Pro-Forma'!I21+'Hardware Pro-Forma'!I21</f>
        <v>-73703748.516295746</v>
      </c>
      <c r="J14" s="8">
        <f>'Advertising Pro-Forma'!J20+'Software Pro-Forma'!J21+'Hardware Pro-Forma'!J21</f>
        <v>-61351329.648589462</v>
      </c>
      <c r="K14" s="8">
        <f>'Advertising Pro-Forma'!K20+'Software Pro-Forma'!K21+'Hardware Pro-Forma'!K21</f>
        <v>-65365852.323583163</v>
      </c>
      <c r="L14" s="9">
        <f>'Advertising Pro-Forma'!L20+'Software Pro-Forma'!L21+'Hardware Pro-Forma'!L21</f>
        <v>-72861095.21307689</v>
      </c>
      <c r="O14" s="166"/>
    </row>
    <row r="15" spans="1:15" x14ac:dyDescent="0.25">
      <c r="A15" s="78" t="s">
        <v>84</v>
      </c>
      <c r="B15" s="88">
        <f>ABS(B8)</f>
        <v>14462230.414445454</v>
      </c>
      <c r="C15" s="88">
        <f t="shared" ref="C15:L15" si="6">ABS(C8)</f>
        <v>14462230.414445454</v>
      </c>
      <c r="D15" s="88">
        <f t="shared" si="6"/>
        <v>14462230.414445454</v>
      </c>
      <c r="E15" s="88">
        <f t="shared" si="6"/>
        <v>14462230.414445454</v>
      </c>
      <c r="F15" s="88">
        <f t="shared" si="6"/>
        <v>14462230.414445454</v>
      </c>
      <c r="G15" s="88">
        <f t="shared" si="6"/>
        <v>14462230.414445454</v>
      </c>
      <c r="H15" s="88">
        <f t="shared" si="6"/>
        <v>14462230.414445454</v>
      </c>
      <c r="I15" s="88">
        <f t="shared" si="6"/>
        <v>14462230.414445454</v>
      </c>
      <c r="J15" s="88">
        <f t="shared" si="6"/>
        <v>14462230.414445454</v>
      </c>
      <c r="K15" s="88">
        <f t="shared" si="6"/>
        <v>14462230.414445454</v>
      </c>
      <c r="L15" s="91">
        <f t="shared" si="6"/>
        <v>14462230.414445454</v>
      </c>
      <c r="O15" s="166"/>
    </row>
    <row r="16" spans="1:15" ht="14.4" thickBot="1" x14ac:dyDescent="0.3">
      <c r="A16" s="81" t="s">
        <v>56</v>
      </c>
      <c r="B16" s="11">
        <f>SUM(B13:B15)</f>
        <v>205972131.77201968</v>
      </c>
      <c r="C16" s="11">
        <f t="shared" ref="C16:L16" si="7">SUM(C13:C15)</f>
        <v>201371601.40000254</v>
      </c>
      <c r="D16" s="11">
        <f t="shared" si="7"/>
        <v>178672697.3350856</v>
      </c>
      <c r="E16" s="11">
        <f t="shared" si="7"/>
        <v>194380382.13626865</v>
      </c>
      <c r="F16" s="11">
        <f t="shared" si="7"/>
        <v>216881259.48805147</v>
      </c>
      <c r="G16" s="11">
        <f t="shared" si="7"/>
        <v>216150861.51393476</v>
      </c>
      <c r="H16" s="11">
        <f t="shared" si="7"/>
        <v>190472820.06871775</v>
      </c>
      <c r="I16" s="11">
        <f t="shared" si="7"/>
        <v>213735328.25480086</v>
      </c>
      <c r="J16" s="11">
        <f t="shared" si="7"/>
        <v>180338047.61248359</v>
      </c>
      <c r="K16" s="11">
        <f t="shared" si="7"/>
        <v>191192127.43746656</v>
      </c>
      <c r="L16" s="12">
        <f t="shared" si="7"/>
        <v>211457043.39794964</v>
      </c>
      <c r="O16" s="166"/>
    </row>
    <row r="17" spans="1:15" ht="14.4" thickBot="1" x14ac:dyDescent="0.3">
      <c r="O17" s="166"/>
    </row>
    <row r="18" spans="1:15" ht="14.4" thickBot="1" x14ac:dyDescent="0.3">
      <c r="A18" s="217" t="s">
        <v>61</v>
      </c>
      <c r="B18" s="218"/>
      <c r="C18" s="218"/>
      <c r="D18" s="218"/>
      <c r="E18" s="218"/>
      <c r="F18" s="218"/>
      <c r="G18" s="218"/>
      <c r="H18" s="218"/>
      <c r="I18" s="218"/>
      <c r="J18" s="218"/>
      <c r="K18" s="218"/>
      <c r="L18" s="219"/>
      <c r="O18" s="166"/>
    </row>
    <row r="19" spans="1:15" ht="14.4" thickBot="1" x14ac:dyDescent="0.3">
      <c r="A19" s="105" t="s">
        <v>1</v>
      </c>
      <c r="B19" s="106">
        <f>B2</f>
        <v>2012</v>
      </c>
      <c r="C19" s="106">
        <f t="shared" ref="C19:L19" si="8">C2</f>
        <v>2013</v>
      </c>
      <c r="D19" s="106">
        <f t="shared" si="8"/>
        <v>2014</v>
      </c>
      <c r="E19" s="106">
        <f t="shared" si="8"/>
        <v>2015</v>
      </c>
      <c r="F19" s="106">
        <f t="shared" si="8"/>
        <v>2016</v>
      </c>
      <c r="G19" s="106">
        <f t="shared" si="8"/>
        <v>2017</v>
      </c>
      <c r="H19" s="106">
        <f t="shared" si="8"/>
        <v>2018</v>
      </c>
      <c r="I19" s="106">
        <f t="shared" si="8"/>
        <v>2019</v>
      </c>
      <c r="J19" s="106">
        <f t="shared" si="8"/>
        <v>2020</v>
      </c>
      <c r="K19" s="106">
        <f t="shared" si="8"/>
        <v>2021</v>
      </c>
      <c r="L19" s="106">
        <f t="shared" si="8"/>
        <v>2022</v>
      </c>
      <c r="M19" s="108" t="s">
        <v>62</v>
      </c>
      <c r="O19" s="166"/>
    </row>
    <row r="20" spans="1:15" x14ac:dyDescent="0.25">
      <c r="A20" s="95" t="s">
        <v>58</v>
      </c>
      <c r="B20" s="96">
        <f>B5/$B$3</f>
        <v>0.54271584161792752</v>
      </c>
      <c r="C20" s="97">
        <f t="shared" ref="C20:L20" si="9">C5/$B$3</f>
        <v>0.51665817184571516</v>
      </c>
      <c r="D20" s="97">
        <f t="shared" si="9"/>
        <v>0.47685529133082377</v>
      </c>
      <c r="E20" s="97">
        <f t="shared" si="9"/>
        <v>0.49762455578021619</v>
      </c>
      <c r="F20" s="97">
        <f t="shared" si="9"/>
        <v>0.55318211483681667</v>
      </c>
      <c r="G20" s="97">
        <f t="shared" si="9"/>
        <v>0.5520392186049109</v>
      </c>
      <c r="H20" s="97">
        <f t="shared" si="9"/>
        <v>0.50074960710696004</v>
      </c>
      <c r="I20" s="97">
        <f t="shared" si="9"/>
        <v>0.52469151092154342</v>
      </c>
      <c r="J20" s="97">
        <f t="shared" si="9"/>
        <v>0.44963910145814501</v>
      </c>
      <c r="K20" s="97">
        <f t="shared" si="9"/>
        <v>0.48687229757885614</v>
      </c>
      <c r="L20" s="98">
        <f t="shared" si="9"/>
        <v>0.53245305979513147</v>
      </c>
      <c r="M20" s="109">
        <f>AVERAGE(B20:L20)</f>
        <v>0.51213461553427697</v>
      </c>
      <c r="N20" s="107"/>
      <c r="O20" s="166"/>
    </row>
    <row r="21" spans="1:15" x14ac:dyDescent="0.25">
      <c r="A21" s="37" t="s">
        <v>59</v>
      </c>
      <c r="B21" s="99">
        <f>B9/$B$3</f>
        <v>0.18232866112052629</v>
      </c>
      <c r="C21" s="100">
        <f t="shared" ref="C21:L21" si="10">C9/$B$3</f>
        <v>0.17781294987943214</v>
      </c>
      <c r="D21" s="100">
        <f t="shared" si="10"/>
        <v>0.15734400538031601</v>
      </c>
      <c r="E21" s="100">
        <f t="shared" si="10"/>
        <v>0.17072944366843418</v>
      </c>
      <c r="F21" s="100">
        <f t="shared" si="10"/>
        <v>0.19010289983955656</v>
      </c>
      <c r="G21" s="100">
        <f t="shared" si="10"/>
        <v>0.18899860699056653</v>
      </c>
      <c r="H21" s="100">
        <f t="shared" si="10"/>
        <v>0.16590363242145217</v>
      </c>
      <c r="I21" s="100">
        <f t="shared" si="10"/>
        <v>0.18594844584059403</v>
      </c>
      <c r="J21" s="100">
        <f t="shared" si="10"/>
        <v>0.15604916799122873</v>
      </c>
      <c r="K21" s="100">
        <f t="shared" si="10"/>
        <v>0.16515628306415148</v>
      </c>
      <c r="L21" s="101">
        <f t="shared" si="10"/>
        <v>0.18255879895983182</v>
      </c>
      <c r="M21" s="110">
        <f t="shared" ref="M21:M22" si="11">AVERAGE(B21:L21)</f>
        <v>0.17481208137782639</v>
      </c>
      <c r="O21" s="166"/>
    </row>
    <row r="22" spans="1:15" ht="14.4" thickBot="1" x14ac:dyDescent="0.3">
      <c r="A22" s="38" t="s">
        <v>60</v>
      </c>
      <c r="B22" s="102">
        <f>B16/$B$3</f>
        <v>0.13253802294916273</v>
      </c>
      <c r="C22" s="103">
        <f t="shared" ref="C22:L22" si="12">C16/$B$3</f>
        <v>0.12957769431257016</v>
      </c>
      <c r="D22" s="103">
        <f t="shared" si="12"/>
        <v>0.11497150539762158</v>
      </c>
      <c r="E22" s="103">
        <f t="shared" si="12"/>
        <v>0.12507901591735404</v>
      </c>
      <c r="F22" s="103">
        <f t="shared" si="12"/>
        <v>0.13955777949167955</v>
      </c>
      <c r="G22" s="103">
        <f t="shared" si="12"/>
        <v>0.13908778628132304</v>
      </c>
      <c r="H22" s="103">
        <f t="shared" si="12"/>
        <v>0.12256459541527576</v>
      </c>
      <c r="I22" s="103">
        <f t="shared" si="12"/>
        <v>0.13753344978065551</v>
      </c>
      <c r="J22" s="103">
        <f t="shared" si="12"/>
        <v>0.11604311752002498</v>
      </c>
      <c r="K22" s="103">
        <f t="shared" si="12"/>
        <v>0.12302745209266479</v>
      </c>
      <c r="L22" s="104">
        <f t="shared" si="12"/>
        <v>0.13606742926591761</v>
      </c>
      <c r="M22" s="111">
        <f t="shared" si="11"/>
        <v>0.12873162258402271</v>
      </c>
      <c r="O22" s="166"/>
    </row>
    <row r="23" spans="1:15" ht="14.4" thickBot="1" x14ac:dyDescent="0.3">
      <c r="O23" s="166"/>
    </row>
    <row r="24" spans="1:15" ht="14.4" thickBot="1" x14ac:dyDescent="0.3">
      <c r="A24" s="217" t="s">
        <v>63</v>
      </c>
      <c r="B24" s="218"/>
      <c r="C24" s="218"/>
      <c r="D24" s="218"/>
      <c r="E24" s="218"/>
      <c r="F24" s="218"/>
      <c r="G24" s="218"/>
      <c r="H24" s="218"/>
      <c r="I24" s="218"/>
      <c r="J24" s="218"/>
      <c r="K24" s="218"/>
      <c r="L24" s="219"/>
      <c r="O24" s="166"/>
    </row>
    <row r="25" spans="1:15" x14ac:dyDescent="0.25">
      <c r="A25" s="73" t="str">
        <f t="shared" ref="A25:A36" si="13">A3</f>
        <v>Sales</v>
      </c>
      <c r="B25" s="112">
        <f>ABS(B3/B$3)</f>
        <v>1</v>
      </c>
      <c r="C25" s="112">
        <f t="shared" ref="C25:L25" si="14">ABS(C3/C$3)</f>
        <v>1</v>
      </c>
      <c r="D25" s="112">
        <f t="shared" si="14"/>
        <v>1</v>
      </c>
      <c r="E25" s="112">
        <f t="shared" si="14"/>
        <v>1</v>
      </c>
      <c r="F25" s="112">
        <f t="shared" si="14"/>
        <v>1</v>
      </c>
      <c r="G25" s="112">
        <f t="shared" si="14"/>
        <v>1</v>
      </c>
      <c r="H25" s="112">
        <f t="shared" si="14"/>
        <v>1</v>
      </c>
      <c r="I25" s="112">
        <f t="shared" si="14"/>
        <v>1</v>
      </c>
      <c r="J25" s="112">
        <f t="shared" si="14"/>
        <v>1</v>
      </c>
      <c r="K25" s="112">
        <f t="shared" si="14"/>
        <v>1</v>
      </c>
      <c r="L25" s="113">
        <f t="shared" si="14"/>
        <v>1</v>
      </c>
      <c r="O25" s="166"/>
    </row>
    <row r="26" spans="1:15" x14ac:dyDescent="0.25">
      <c r="A26" s="74" t="str">
        <f t="shared" si="13"/>
        <v>COGS</v>
      </c>
      <c r="B26" s="114">
        <f t="shared" ref="B26:L26" si="15">ABS(B4/B$3)</f>
        <v>0.45728415838207254</v>
      </c>
      <c r="C26" s="114">
        <f t="shared" si="15"/>
        <v>0.44853906313047742</v>
      </c>
      <c r="D26" s="114">
        <f t="shared" si="15"/>
        <v>0.46133075181346966</v>
      </c>
      <c r="E26" s="114">
        <f t="shared" si="15"/>
        <v>0.4472357664715737</v>
      </c>
      <c r="F26" s="114">
        <f t="shared" si="15"/>
        <v>0.44850223296403685</v>
      </c>
      <c r="G26" s="114">
        <f t="shared" si="15"/>
        <v>0.44894952190641041</v>
      </c>
      <c r="H26" s="114">
        <f t="shared" si="15"/>
        <v>0.45382851741880359</v>
      </c>
      <c r="I26" s="114">
        <f t="shared" si="15"/>
        <v>0.44102265342690056</v>
      </c>
      <c r="J26" s="114">
        <f t="shared" si="15"/>
        <v>0.44172678657142794</v>
      </c>
      <c r="K26" s="114">
        <f t="shared" si="15"/>
        <v>0.45053268158123605</v>
      </c>
      <c r="L26" s="115">
        <f t="shared" si="15"/>
        <v>0.44678905567624777</v>
      </c>
      <c r="N26" s="107"/>
      <c r="O26" s="166"/>
    </row>
    <row r="27" spans="1:15" x14ac:dyDescent="0.25">
      <c r="A27" s="75" t="str">
        <f t="shared" si="13"/>
        <v>Gross Profit</v>
      </c>
      <c r="B27" s="116">
        <f t="shared" ref="B27:L27" si="16">ABS(B5/B$3)</f>
        <v>0.54271584161792752</v>
      </c>
      <c r="C27" s="116">
        <f t="shared" si="16"/>
        <v>0.55146093686952258</v>
      </c>
      <c r="D27" s="116">
        <f t="shared" si="16"/>
        <v>0.53866924818653028</v>
      </c>
      <c r="E27" s="116">
        <f t="shared" si="16"/>
        <v>0.5527642335284263</v>
      </c>
      <c r="F27" s="116">
        <f t="shared" si="16"/>
        <v>0.5514977670359632</v>
      </c>
      <c r="G27" s="116">
        <f t="shared" si="16"/>
        <v>0.55105047809358965</v>
      </c>
      <c r="H27" s="116">
        <f t="shared" si="16"/>
        <v>0.54617148258119641</v>
      </c>
      <c r="I27" s="116">
        <f t="shared" si="16"/>
        <v>0.55897734657309939</v>
      </c>
      <c r="J27" s="116">
        <f t="shared" si="16"/>
        <v>0.55827321342857206</v>
      </c>
      <c r="K27" s="116">
        <f t="shared" si="16"/>
        <v>0.54946731841876395</v>
      </c>
      <c r="L27" s="117">
        <f t="shared" si="16"/>
        <v>0.55321094432375229</v>
      </c>
      <c r="O27" s="166"/>
    </row>
    <row r="28" spans="1:15" x14ac:dyDescent="0.25">
      <c r="A28" s="74" t="str">
        <f t="shared" si="13"/>
        <v>Selling, General, Admin (SGA)</v>
      </c>
      <c r="B28" s="118">
        <f t="shared" ref="B28:L28" si="17">ABS(B6/B$3)</f>
        <v>0.35108108937684385</v>
      </c>
      <c r="C28" s="118">
        <f t="shared" si="17"/>
        <v>0.35173731440682571</v>
      </c>
      <c r="D28" s="118">
        <f t="shared" si="17"/>
        <v>0.35041657735675502</v>
      </c>
      <c r="E28" s="118">
        <f t="shared" si="17"/>
        <v>0.35277972062695573</v>
      </c>
      <c r="F28" s="118">
        <f t="shared" si="17"/>
        <v>0.35269594338365928</v>
      </c>
      <c r="G28" s="118">
        <f t="shared" si="17"/>
        <v>0.35310095744450065</v>
      </c>
      <c r="H28" s="118">
        <f t="shared" si="17"/>
        <v>0.35506887738406334</v>
      </c>
      <c r="I28" s="118">
        <f t="shared" si="17"/>
        <v>0.3509639506917554</v>
      </c>
      <c r="J28" s="118">
        <f t="shared" si="17"/>
        <v>0.35296764377885592</v>
      </c>
      <c r="K28" s="118">
        <f t="shared" si="17"/>
        <v>0.35257508736567805</v>
      </c>
      <c r="L28" s="119">
        <f t="shared" si="17"/>
        <v>0.35386612871731271</v>
      </c>
    </row>
    <row r="29" spans="1:15" x14ac:dyDescent="0.25">
      <c r="A29" s="37" t="str">
        <f t="shared" si="13"/>
        <v>Income before Depr. &amp; Amort. (EBITDA)</v>
      </c>
      <c r="B29" s="118">
        <f t="shared" ref="B29:L29" si="18">ABS(B7/B$3)</f>
        <v>0.19163475224108359</v>
      </c>
      <c r="C29" s="118">
        <f t="shared" si="18"/>
        <v>0.1997236224626969</v>
      </c>
      <c r="D29" s="118">
        <f t="shared" si="18"/>
        <v>0.18825267082977529</v>
      </c>
      <c r="E29" s="118">
        <f t="shared" si="18"/>
        <v>0.1999845129014706</v>
      </c>
      <c r="F29" s="118">
        <f t="shared" si="18"/>
        <v>0.19880182365230389</v>
      </c>
      <c r="G29" s="118">
        <f t="shared" si="18"/>
        <v>0.19794952064908897</v>
      </c>
      <c r="H29" s="118">
        <f t="shared" si="18"/>
        <v>0.19110260519713304</v>
      </c>
      <c r="I29" s="118">
        <f t="shared" si="18"/>
        <v>0.20801339588134399</v>
      </c>
      <c r="J29" s="118">
        <f t="shared" si="18"/>
        <v>0.20530556964971611</v>
      </c>
      <c r="K29" s="118">
        <f t="shared" si="18"/>
        <v>0.1968922310530859</v>
      </c>
      <c r="L29" s="119">
        <f t="shared" si="18"/>
        <v>0.19934481560643952</v>
      </c>
    </row>
    <row r="30" spans="1:15" x14ac:dyDescent="0.25">
      <c r="A30" s="82" t="str">
        <f t="shared" si="13"/>
        <v>less Depr. &amp; Amort. (DA)</v>
      </c>
      <c r="B30" s="114">
        <f t="shared" ref="B30:L30" si="19">ABS(B8/B$3)</f>
        <v>9.3060911205573027E-3</v>
      </c>
      <c r="C30" s="114">
        <f t="shared" si="19"/>
        <v>9.9329614967711768E-3</v>
      </c>
      <c r="D30" s="114">
        <f t="shared" si="19"/>
        <v>1.0512424206252936E-2</v>
      </c>
      <c r="E30" s="114">
        <f t="shared" si="19"/>
        <v>1.0337259818971862E-2</v>
      </c>
      <c r="F30" s="114">
        <f t="shared" si="19"/>
        <v>9.2777556164022612E-3</v>
      </c>
      <c r="G30" s="114">
        <f t="shared" si="19"/>
        <v>9.2894232662041349E-3</v>
      </c>
      <c r="H30" s="114">
        <f t="shared" si="19"/>
        <v>1.0150225805898277E-2</v>
      </c>
      <c r="I30" s="114">
        <f t="shared" si="19"/>
        <v>9.9141953190747083E-3</v>
      </c>
      <c r="J30" s="114">
        <f t="shared" si="19"/>
        <v>1.1554469745812883E-2</v>
      </c>
      <c r="K30" s="114">
        <f t="shared" si="19"/>
        <v>1.0502534151976682E-2</v>
      </c>
      <c r="L30" s="115">
        <f t="shared" si="19"/>
        <v>9.6688926132704415E-3</v>
      </c>
    </row>
    <row r="31" spans="1:15" x14ac:dyDescent="0.25">
      <c r="A31" s="75" t="str">
        <f t="shared" si="13"/>
        <v>Operating Profit</v>
      </c>
      <c r="B31" s="120">
        <f t="shared" ref="B31:L31" si="20">ABS(B9/B$3)</f>
        <v>0.18232866112052629</v>
      </c>
      <c r="C31" s="120">
        <f t="shared" si="20"/>
        <v>0.1897906609659257</v>
      </c>
      <c r="D31" s="120">
        <f t="shared" si="20"/>
        <v>0.17774024662352234</v>
      </c>
      <c r="E31" s="120">
        <f t="shared" si="20"/>
        <v>0.18964725308249872</v>
      </c>
      <c r="F31" s="120">
        <f t="shared" si="20"/>
        <v>0.18952406803590163</v>
      </c>
      <c r="G31" s="120">
        <f t="shared" si="20"/>
        <v>0.18866009738288483</v>
      </c>
      <c r="H31" s="120">
        <f t="shared" si="20"/>
        <v>0.18095237939123476</v>
      </c>
      <c r="I31" s="120">
        <f t="shared" si="20"/>
        <v>0.19809920056226929</v>
      </c>
      <c r="J31" s="120">
        <f t="shared" si="20"/>
        <v>0.19375109990390321</v>
      </c>
      <c r="K31" s="120">
        <f t="shared" si="20"/>
        <v>0.18638969690110921</v>
      </c>
      <c r="L31" s="121">
        <f t="shared" si="20"/>
        <v>0.18967592299316907</v>
      </c>
    </row>
    <row r="32" spans="1:15" x14ac:dyDescent="0.25">
      <c r="A32" s="37" t="str">
        <f t="shared" si="13"/>
        <v>Interest Expense</v>
      </c>
      <c r="B32" s="118">
        <f t="shared" ref="B32:L32" si="21">ABS(B10/B$3)</f>
        <v>1.3517795601888743E-2</v>
      </c>
      <c r="C32" s="118">
        <f t="shared" si="21"/>
        <v>1.3936887701554506E-2</v>
      </c>
      <c r="D32" s="118">
        <f t="shared" si="21"/>
        <v>1.4229772835931648E-2</v>
      </c>
      <c r="E32" s="118">
        <f t="shared" si="21"/>
        <v>1.3481178843953466E-2</v>
      </c>
      <c r="F32" s="118">
        <f t="shared" si="21"/>
        <v>1.1640378199242881E-2</v>
      </c>
      <c r="G32" s="118">
        <f t="shared" si="21"/>
        <v>1.1195375263081184E-2</v>
      </c>
      <c r="H32" s="118">
        <f t="shared" si="21"/>
        <v>1.1730558039945225E-2</v>
      </c>
      <c r="I32" s="118">
        <f t="shared" si="21"/>
        <v>1.0967223349288326E-2</v>
      </c>
      <c r="J32" s="118">
        <f t="shared" si="21"/>
        <v>1.2210001578966005E-2</v>
      </c>
      <c r="K32" s="118">
        <f t="shared" si="21"/>
        <v>1.0578718739578285E-2</v>
      </c>
      <c r="L32" s="119">
        <f t="shared" si="21"/>
        <v>9.2606120323419031E-3</v>
      </c>
    </row>
    <row r="33" spans="1:12" x14ac:dyDescent="0.25">
      <c r="A33" s="37" t="str">
        <f t="shared" si="13"/>
        <v>Nonoperating Income (Expense)</v>
      </c>
      <c r="B33" s="118">
        <f t="shared" ref="B33:L33" si="22">ABS(B11/B$3)</f>
        <v>0</v>
      </c>
      <c r="C33" s="118">
        <f t="shared" si="22"/>
        <v>0</v>
      </c>
      <c r="D33" s="118">
        <f t="shared" si="22"/>
        <v>0</v>
      </c>
      <c r="E33" s="118">
        <f t="shared" si="22"/>
        <v>0</v>
      </c>
      <c r="F33" s="118">
        <f t="shared" si="22"/>
        <v>0</v>
      </c>
      <c r="G33" s="118">
        <f t="shared" si="22"/>
        <v>0</v>
      </c>
      <c r="H33" s="118">
        <f t="shared" si="22"/>
        <v>0</v>
      </c>
      <c r="I33" s="118">
        <f t="shared" si="22"/>
        <v>0</v>
      </c>
      <c r="J33" s="118">
        <f t="shared" si="22"/>
        <v>0</v>
      </c>
      <c r="K33" s="118">
        <f t="shared" si="22"/>
        <v>0</v>
      </c>
      <c r="L33" s="119">
        <f t="shared" si="22"/>
        <v>0</v>
      </c>
    </row>
    <row r="34" spans="1:12" ht="14.4" thickBot="1" x14ac:dyDescent="0.3">
      <c r="A34" s="37" t="str">
        <f t="shared" si="13"/>
        <v>Special Items</v>
      </c>
      <c r="B34" s="118">
        <f t="shared" ref="B34:L34" si="23">ABS(B12/B$3)</f>
        <v>0</v>
      </c>
      <c r="C34" s="118">
        <f t="shared" si="23"/>
        <v>0</v>
      </c>
      <c r="D34" s="118">
        <f t="shared" si="23"/>
        <v>0</v>
      </c>
      <c r="E34" s="118">
        <f t="shared" si="23"/>
        <v>0</v>
      </c>
      <c r="F34" s="118">
        <f t="shared" si="23"/>
        <v>0</v>
      </c>
      <c r="G34" s="118">
        <f t="shared" si="23"/>
        <v>0</v>
      </c>
      <c r="H34" s="118">
        <f t="shared" si="23"/>
        <v>0</v>
      </c>
      <c r="I34" s="118">
        <f t="shared" si="23"/>
        <v>0</v>
      </c>
      <c r="J34" s="118">
        <f t="shared" si="23"/>
        <v>0</v>
      </c>
      <c r="K34" s="118">
        <f t="shared" si="23"/>
        <v>0</v>
      </c>
      <c r="L34" s="119">
        <f t="shared" si="23"/>
        <v>0</v>
      </c>
    </row>
    <row r="35" spans="1:12" x14ac:dyDescent="0.25">
      <c r="A35" s="95" t="str">
        <f t="shared" si="13"/>
        <v>Income before Taxes (EBT)</v>
      </c>
      <c r="B35" s="200">
        <f t="shared" ref="B35:L35" si="24">ABS(B13/B$3)</f>
        <v>0.16881086551863755</v>
      </c>
      <c r="C35" s="200">
        <f t="shared" si="24"/>
        <v>0.17585377326437121</v>
      </c>
      <c r="D35" s="200">
        <f t="shared" si="24"/>
        <v>0.16351047378759068</v>
      </c>
      <c r="E35" s="200">
        <f t="shared" si="24"/>
        <v>0.17616607423854524</v>
      </c>
      <c r="F35" s="200">
        <f t="shared" si="24"/>
        <v>0.17788368983665875</v>
      </c>
      <c r="G35" s="200">
        <f t="shared" si="24"/>
        <v>0.17746472211980363</v>
      </c>
      <c r="H35" s="200">
        <f t="shared" si="24"/>
        <v>0.16922182135128955</v>
      </c>
      <c r="I35" s="200">
        <f t="shared" si="24"/>
        <v>0.18713197721298094</v>
      </c>
      <c r="J35" s="200">
        <f t="shared" si="24"/>
        <v>0.18154109832493723</v>
      </c>
      <c r="K35" s="200">
        <f t="shared" si="24"/>
        <v>0.17581097816153091</v>
      </c>
      <c r="L35" s="201">
        <f t="shared" si="24"/>
        <v>0.18041531096082716</v>
      </c>
    </row>
    <row r="36" spans="1:12" x14ac:dyDescent="0.25">
      <c r="A36" s="37" t="str">
        <f t="shared" si="13"/>
        <v xml:space="preserve">  less Income Taxes</v>
      </c>
      <c r="B36" s="118">
        <f t="shared" ref="B36:L36" si="25">ABS(B14/B$3)</f>
        <v>4.5578933690032131E-2</v>
      </c>
      <c r="C36" s="118">
        <f t="shared" si="25"/>
        <v>4.7480518781380245E-2</v>
      </c>
      <c r="D36" s="118">
        <f t="shared" si="25"/>
        <v>4.4147827922649492E-2</v>
      </c>
      <c r="E36" s="118">
        <f t="shared" si="25"/>
        <v>4.7564840044407204E-2</v>
      </c>
      <c r="F36" s="118">
        <f t="shared" si="25"/>
        <v>4.8028596255897879E-2</v>
      </c>
      <c r="G36" s="118">
        <f t="shared" si="25"/>
        <v>4.7915474972346959E-2</v>
      </c>
      <c r="H36" s="118">
        <f t="shared" si="25"/>
        <v>4.5689891764848153E-2</v>
      </c>
      <c r="I36" s="118">
        <f t="shared" si="25"/>
        <v>5.0525633847504817E-2</v>
      </c>
      <c r="J36" s="118">
        <f t="shared" si="25"/>
        <v>4.9016096547733055E-2</v>
      </c>
      <c r="K36" s="118">
        <f t="shared" si="25"/>
        <v>4.7468964103613356E-2</v>
      </c>
      <c r="L36" s="119">
        <f t="shared" si="25"/>
        <v>4.8712133959423337E-2</v>
      </c>
    </row>
    <row r="37" spans="1:12" x14ac:dyDescent="0.25">
      <c r="A37" s="78" t="s">
        <v>84</v>
      </c>
      <c r="B37" s="114">
        <f>ABS(B15/B$3)</f>
        <v>9.3060911205573027E-3</v>
      </c>
      <c r="C37" s="114">
        <f t="shared" ref="C37:L37" si="26">ABS(C15/C$3)</f>
        <v>9.9329614967711768E-3</v>
      </c>
      <c r="D37" s="114">
        <f t="shared" si="26"/>
        <v>1.0512424206252936E-2</v>
      </c>
      <c r="E37" s="114">
        <f t="shared" si="26"/>
        <v>1.0337259818971862E-2</v>
      </c>
      <c r="F37" s="114">
        <f t="shared" si="26"/>
        <v>9.2777556164022612E-3</v>
      </c>
      <c r="G37" s="114">
        <f t="shared" si="26"/>
        <v>9.2894232662041349E-3</v>
      </c>
      <c r="H37" s="114">
        <f t="shared" si="26"/>
        <v>1.0150225805898277E-2</v>
      </c>
      <c r="I37" s="114">
        <f t="shared" si="26"/>
        <v>9.9141953190747083E-3</v>
      </c>
      <c r="J37" s="114">
        <f t="shared" si="26"/>
        <v>1.1554469745812883E-2</v>
      </c>
      <c r="K37" s="114">
        <f t="shared" si="26"/>
        <v>1.0502534151976682E-2</v>
      </c>
      <c r="L37" s="115">
        <f t="shared" si="26"/>
        <v>9.6688926132704415E-3</v>
      </c>
    </row>
    <row r="38" spans="1:12" ht="14.4" thickBot="1" x14ac:dyDescent="0.3">
      <c r="A38" s="81" t="str">
        <f t="shared" ref="A38" si="27">A16</f>
        <v>Net Income</v>
      </c>
      <c r="B38" s="122">
        <f t="shared" ref="B38:L38" si="28">ABS(B16/B$3)</f>
        <v>0.13253802294916273</v>
      </c>
      <c r="C38" s="122">
        <f t="shared" si="28"/>
        <v>0.13830621597976214</v>
      </c>
      <c r="D38" s="122">
        <f t="shared" si="28"/>
        <v>0.12987507007119414</v>
      </c>
      <c r="E38" s="122">
        <f t="shared" si="28"/>
        <v>0.13893849401310993</v>
      </c>
      <c r="F38" s="122">
        <f t="shared" si="28"/>
        <v>0.13913284919716315</v>
      </c>
      <c r="G38" s="122">
        <f t="shared" si="28"/>
        <v>0.1388386704136608</v>
      </c>
      <c r="H38" s="122">
        <f t="shared" si="28"/>
        <v>0.13368215539233969</v>
      </c>
      <c r="I38" s="122">
        <f t="shared" si="28"/>
        <v>0.14652053868455084</v>
      </c>
      <c r="J38" s="122">
        <f t="shared" si="28"/>
        <v>0.14407947152301703</v>
      </c>
      <c r="K38" s="122">
        <f t="shared" si="28"/>
        <v>0.13884454820989425</v>
      </c>
      <c r="L38" s="123">
        <f t="shared" si="28"/>
        <v>0.14137206961467427</v>
      </c>
    </row>
  </sheetData>
  <mergeCells count="2">
    <mergeCell ref="A18:L18"/>
    <mergeCell ref="A24:L24"/>
  </mergeCells>
  <conditionalFormatting sqref="B1:L1">
    <cfRule type="cellIs" dxfId="3" priority="1" operator="lessThan">
      <formula>-0.0575</formula>
    </cfRule>
  </conditionalFormatting>
  <dataValidations count="1">
    <dataValidation type="list" allowBlank="1" showInputMessage="1" showErrorMessage="1" sqref="R3" xr:uid="{D84FF326-07BE-4512-A02C-69F9A974B251}">
      <formula1>".035,.04,.045,.0475,.05,.0525,.05675,.06,.625,.0675,.07"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CCE41-8F87-425B-B28C-221A38596EED}">
  <dimension ref="A1:V52"/>
  <sheetViews>
    <sheetView topLeftCell="E1" zoomScale="60" workbookViewId="0">
      <selection activeCell="N1" sqref="N1:U19"/>
    </sheetView>
  </sheetViews>
  <sheetFormatPr defaultRowHeight="13.8" x14ac:dyDescent="0.25"/>
  <cols>
    <col min="1" max="1" width="42.5546875" style="34" customWidth="1"/>
    <col min="2" max="12" width="16.77734375" style="34" bestFit="1" customWidth="1"/>
    <col min="13" max="13" width="16" style="1" bestFit="1" customWidth="1"/>
    <col min="14" max="14" width="14.21875" style="1" customWidth="1"/>
    <col min="15" max="15" width="14.109375" style="1" customWidth="1"/>
    <col min="16" max="16" width="16.6640625" style="1" bestFit="1" customWidth="1"/>
    <col min="17" max="17" width="16.5546875" style="1" bestFit="1" customWidth="1"/>
    <col min="18" max="18" width="17" style="1" bestFit="1" customWidth="1"/>
    <col min="19" max="19" width="14.77734375" style="1" bestFit="1" customWidth="1"/>
    <col min="20" max="20" width="15.109375" style="1" bestFit="1" customWidth="1"/>
    <col min="21" max="21" width="15.21875" style="1" bestFit="1" customWidth="1"/>
    <col min="22" max="22" width="8.88671875" style="1"/>
    <col min="23" max="16384" width="8.88671875" style="34"/>
  </cols>
  <sheetData>
    <row r="1" spans="1:21" ht="21.6" thickBot="1" x14ac:dyDescent="0.3">
      <c r="A1" s="25" t="s">
        <v>37</v>
      </c>
      <c r="C1" s="83">
        <f>(C3-B3)/B3</f>
        <v>-5.8976617314905055E-2</v>
      </c>
      <c r="D1" s="84">
        <f t="shared" ref="D1:L1" si="0">(D3-C3)/C3</f>
        <v>-5.6848381375381854E-2</v>
      </c>
      <c r="E1" s="84">
        <f t="shared" si="0"/>
        <v>2.1292559995738803E-2</v>
      </c>
      <c r="F1" s="84">
        <f t="shared" si="0"/>
        <v>0.11790255702601288</v>
      </c>
      <c r="G1" s="84">
        <f t="shared" si="0"/>
        <v>-7.7158235436669458E-3</v>
      </c>
      <c r="H1" s="84">
        <f t="shared" si="0"/>
        <v>-8.8961711463722851E-2</v>
      </c>
      <c r="I1" s="84">
        <f t="shared" si="0"/>
        <v>4.6456374762641611E-2</v>
      </c>
      <c r="J1" s="84">
        <f>(J3-I3)/I3</f>
        <v>-0.15731555007176667</v>
      </c>
      <c r="K1" s="84">
        <f t="shared" si="0"/>
        <v>0.10815762418225051</v>
      </c>
      <c r="L1" s="85">
        <f t="shared" si="0"/>
        <v>8.1023827789108549E-2</v>
      </c>
      <c r="M1" s="150" t="s">
        <v>65</v>
      </c>
      <c r="N1" s="149" t="s">
        <v>25</v>
      </c>
      <c r="O1" s="86"/>
      <c r="P1" s="34"/>
    </row>
    <row r="2" spans="1:21" ht="14.4" thickBot="1" x14ac:dyDescent="0.3">
      <c r="A2" s="65" t="s">
        <v>26</v>
      </c>
      <c r="B2" s="153">
        <v>2012</v>
      </c>
      <c r="C2" s="153">
        <f>B2+1</f>
        <v>2013</v>
      </c>
      <c r="D2" s="153">
        <f t="shared" ref="D2:L2" si="1">C2+1</f>
        <v>2014</v>
      </c>
      <c r="E2" s="153">
        <f t="shared" si="1"/>
        <v>2015</v>
      </c>
      <c r="F2" s="153">
        <f t="shared" si="1"/>
        <v>2016</v>
      </c>
      <c r="G2" s="153">
        <f t="shared" si="1"/>
        <v>2017</v>
      </c>
      <c r="H2" s="153">
        <f t="shared" si="1"/>
        <v>2018</v>
      </c>
      <c r="I2" s="153">
        <f t="shared" si="1"/>
        <v>2019</v>
      </c>
      <c r="J2" s="153">
        <f t="shared" si="1"/>
        <v>2020</v>
      </c>
      <c r="K2" s="153">
        <f t="shared" si="1"/>
        <v>2021</v>
      </c>
      <c r="L2" s="153">
        <f t="shared" si="1"/>
        <v>2022</v>
      </c>
      <c r="M2" s="39">
        <f>L2+1</f>
        <v>2023</v>
      </c>
      <c r="N2" s="23"/>
      <c r="O2" s="23"/>
      <c r="P2" s="46" t="s">
        <v>54</v>
      </c>
      <c r="Q2" s="46" t="s">
        <v>55</v>
      </c>
      <c r="R2" s="45" t="s">
        <v>43</v>
      </c>
      <c r="S2" s="45" t="s">
        <v>49</v>
      </c>
    </row>
    <row r="3" spans="1:21" ht="14.4" customHeight="1" thickBot="1" x14ac:dyDescent="0.3">
      <c r="A3" s="73" t="s">
        <v>15</v>
      </c>
      <c r="B3" s="40">
        <f>VLOOKUP(CONCATENATE(B$2," ",$A3),'Software All Line Items'!$A$1:$V$118,18,FALSE)</f>
        <v>961646659</v>
      </c>
      <c r="C3" s="40">
        <f>VLOOKUP(CONCATENATE(C$2," ",$A3),'Software All Line Items'!$A$1:$V$118,18,FALSE)</f>
        <v>904931992</v>
      </c>
      <c r="D3" s="40">
        <f>VLOOKUP(CONCATENATE(D$2," ",$A3),'Software All Line Items'!$A$1:$V$118,18,FALSE)</f>
        <v>853488073</v>
      </c>
      <c r="E3" s="40">
        <f>VLOOKUP(CONCATENATE(E$2," ",$A3),'Software All Line Items'!$A$1:$V$118,18,FALSE)</f>
        <v>871661019</v>
      </c>
      <c r="F3" s="40">
        <f>VLOOKUP(CONCATENATE(F$2," ",$A3),'Software All Line Items'!$A$1:$V$118,18,FALSE)</f>
        <v>974432082</v>
      </c>
      <c r="G3" s="40">
        <f>VLOOKUP(CONCATENATE(G$2," ",$A3),'Software All Line Items'!$A$1:$V$118,18,FALSE)</f>
        <v>966913536</v>
      </c>
      <c r="H3" s="40">
        <f>VLOOKUP(CONCATENATE(H$2," ",$A3),'Software All Line Items'!$A$1:$V$118,18,FALSE)</f>
        <v>880895253</v>
      </c>
      <c r="I3" s="40">
        <f>VLOOKUP(CONCATENATE(I$2," ",$A3),'Software All Line Items'!$A$1:$V$118,18,FALSE)</f>
        <v>921818453</v>
      </c>
      <c r="J3" s="40">
        <f>VLOOKUP(CONCATENATE(J$2," ",$A3),'Software All Line Items'!$A$1:$V$118,18,FALSE)</f>
        <v>776802076</v>
      </c>
      <c r="K3" s="40">
        <f>VLOOKUP(CONCATENATE(K$2," ",$A3),'Software All Line Items'!$A$1:$V$118,18,FALSE)</f>
        <v>860819143</v>
      </c>
      <c r="L3" s="40">
        <f>VLOOKUP(CONCATENATE(L$2," ",$A3),'Software All Line Items'!$A$1:$V$118,18,FALSE)</f>
        <v>930566005</v>
      </c>
      <c r="M3" s="66">
        <f>VLOOKUP(CONCATENATE($M$2," ",$N$1," ",$A3),'Software All Line Items'!$C$1:$W$118,16,FALSE)</f>
        <v>888118446</v>
      </c>
      <c r="N3" s="223" t="s">
        <v>85</v>
      </c>
      <c r="O3" s="224"/>
      <c r="P3" s="47">
        <v>0.27</v>
      </c>
      <c r="Q3" s="47">
        <v>0.04</v>
      </c>
      <c r="R3" s="62">
        <f>AVERAGE(($B$3)*0.3)</f>
        <v>288493997.69999999</v>
      </c>
      <c r="S3" s="48" cm="1">
        <f t="array" ref="S3">AVERAGE(($B$3:$L$3)*0.3-0)/30</f>
        <v>9003612.9918181822</v>
      </c>
    </row>
    <row r="4" spans="1:21" x14ac:dyDescent="0.25">
      <c r="A4" s="74" t="s">
        <v>34</v>
      </c>
      <c r="B4" s="41">
        <f>VLOOKUP(CONCATENATE(B$2," ",$A4),'Software All Line Items'!$A$1:$V$118,18,FALSE)</f>
        <v>-440950170</v>
      </c>
      <c r="C4" s="41">
        <f>VLOOKUP(CONCATENATE(C$2," ",$A4),'Software All Line Items'!$A$1:$V$118,18,FALSE)</f>
        <v>-403357380</v>
      </c>
      <c r="D4" s="41">
        <f>VLOOKUP(CONCATENATE(D$2," ",$A4),'Software All Line Items'!$A$1:$V$118,18,FALSE)</f>
        <v>-403105066</v>
      </c>
      <c r="E4" s="41">
        <f>VLOOKUP(CONCATENATE(E$2," ",$A4),'Software All Line Items'!$A$1:$V$118,18,FALSE)</f>
        <v>-385849425</v>
      </c>
      <c r="F4" s="41">
        <f>VLOOKUP(CONCATENATE(F$2," ",$A4),'Software All Line Items'!$A$1:$V$118,18,FALSE)</f>
        <v>-436124876</v>
      </c>
      <c r="G4" s="41">
        <f>VLOOKUP(CONCATENATE(G$2," ",$A4),'Software All Line Items'!$A$1:$V$118,18,FALSE)</f>
        <v>-437137582</v>
      </c>
      <c r="H4" s="41">
        <f>VLOOKUP(CONCATENATE(H$2," ",$A4),'Software All Line Items'!$A$1:$V$118,18,FALSE)</f>
        <v>-402913378</v>
      </c>
      <c r="I4" s="41">
        <f>VLOOKUP(CONCATENATE(I$2," ",$A4),'Software All Line Items'!$A$1:$V$118,18,FALSE)</f>
        <v>-403644917</v>
      </c>
      <c r="J4" s="41">
        <f>VLOOKUP(CONCATENATE(J$2," ",$A4),'Software All Line Items'!$A$1:$V$118,18,FALSE)</f>
        <v>-337209763</v>
      </c>
      <c r="K4" s="41">
        <f>VLOOKUP(CONCATENATE(K$2," ",$A4),'Software All Line Items'!$A$1:$V$118,18,FALSE)</f>
        <v>-389569423</v>
      </c>
      <c r="L4" s="41">
        <f>VLOOKUP(CONCATENATE(L$2," ",$A4),'Software All Line Items'!$A$1:$V$118,18,FALSE)</f>
        <v>-416488330</v>
      </c>
      <c r="M4" s="67">
        <v>-350804440</v>
      </c>
      <c r="N4" s="223"/>
      <c r="O4" s="224"/>
    </row>
    <row r="5" spans="1:21" ht="14.4" thickBot="1" x14ac:dyDescent="0.3">
      <c r="A5" s="75" t="s">
        <v>36</v>
      </c>
      <c r="B5" s="42">
        <f>SUM(B3:B4)</f>
        <v>520696489</v>
      </c>
      <c r="C5" s="42">
        <f t="shared" ref="C5:L5" si="2">SUM(C3:C4)</f>
        <v>501574612</v>
      </c>
      <c r="D5" s="42">
        <f t="shared" si="2"/>
        <v>450383007</v>
      </c>
      <c r="E5" s="42">
        <f t="shared" si="2"/>
        <v>485811594</v>
      </c>
      <c r="F5" s="42">
        <f t="shared" si="2"/>
        <v>538307206</v>
      </c>
      <c r="G5" s="42">
        <f t="shared" si="2"/>
        <v>529775954</v>
      </c>
      <c r="H5" s="42">
        <f t="shared" si="2"/>
        <v>477981875</v>
      </c>
      <c r="I5" s="42">
        <f t="shared" si="2"/>
        <v>518173536</v>
      </c>
      <c r="J5" s="42">
        <f t="shared" si="2"/>
        <v>439592313</v>
      </c>
      <c r="K5" s="42">
        <f t="shared" si="2"/>
        <v>471249720</v>
      </c>
      <c r="L5" s="42">
        <f t="shared" si="2"/>
        <v>514077675</v>
      </c>
      <c r="M5" s="68">
        <f t="shared" ref="M5" si="3">SUM(M3:M4)</f>
        <v>537314006</v>
      </c>
      <c r="N5" s="223"/>
      <c r="O5" s="224"/>
      <c r="P5" s="42"/>
    </row>
    <row r="6" spans="1:21" ht="14.4" thickBot="1" x14ac:dyDescent="0.3">
      <c r="A6" s="76" t="s">
        <v>38</v>
      </c>
      <c r="B6" s="23">
        <f>SUM(B7:B13)</f>
        <v>-355032436</v>
      </c>
      <c r="C6" s="23">
        <f t="shared" ref="C6:L6" si="4">SUM(C7:C13)</f>
        <v>-335581602</v>
      </c>
      <c r="D6" s="23">
        <f t="shared" si="4"/>
        <v>-314010476</v>
      </c>
      <c r="E6" s="23">
        <f t="shared" si="4"/>
        <v>-323266494</v>
      </c>
      <c r="F6" s="23">
        <f t="shared" si="4"/>
        <v>-361904906</v>
      </c>
      <c r="G6" s="23">
        <f t="shared" si="4"/>
        <v>-358739678</v>
      </c>
      <c r="H6" s="23">
        <f t="shared" si="4"/>
        <v>-331290939</v>
      </c>
      <c r="I6" s="23">
        <f t="shared" si="4"/>
        <v>-340018444</v>
      </c>
      <c r="J6" s="23">
        <f t="shared" si="4"/>
        <v>-290025052</v>
      </c>
      <c r="K6" s="23">
        <f t="shared" si="4"/>
        <v>-317443356</v>
      </c>
      <c r="L6" s="23">
        <f t="shared" si="4"/>
        <v>-347080375</v>
      </c>
      <c r="M6" s="30">
        <f t="shared" ref="M6" si="5">SUM(M7:M13)</f>
        <v>-336018600</v>
      </c>
      <c r="N6" s="223"/>
      <c r="O6" s="224"/>
      <c r="P6" s="23"/>
      <c r="Q6" s="220" t="s">
        <v>44</v>
      </c>
      <c r="R6" s="221"/>
      <c r="S6" s="221"/>
      <c r="T6" s="221"/>
      <c r="U6" s="222"/>
    </row>
    <row r="7" spans="1:21" ht="14.4" thickBot="1" x14ac:dyDescent="0.3">
      <c r="A7" s="77" t="s">
        <v>17</v>
      </c>
      <c r="B7" s="43">
        <f>VLOOKUP(CONCATENATE(B$2," ",$A7),'Software All Line Items'!$A$1:$V$118,18,FALSE)</f>
        <v>-42290914</v>
      </c>
      <c r="C7" s="43">
        <f>VLOOKUP(CONCATENATE(C$2," ",$A7),'Software All Line Items'!$A$1:$V$118,18,FALSE)</f>
        <v>-39830584</v>
      </c>
      <c r="D7" s="43">
        <f>VLOOKUP(CONCATENATE(D$2," ",$A7),'Software All Line Items'!$A$1:$V$118,18,FALSE)</f>
        <v>-39625326</v>
      </c>
      <c r="E7" s="43">
        <f>VLOOKUP(CONCATENATE(E$2," ",$A7),'Software All Line Items'!$A$1:$V$118,18,FALSE)</f>
        <v>-38760270</v>
      </c>
      <c r="F7" s="43">
        <f>VLOOKUP(CONCATENATE(F$2," ",$A7),'Software All Line Items'!$A$1:$V$118,18,FALSE)</f>
        <v>-43058876</v>
      </c>
      <c r="G7" s="43">
        <f>VLOOKUP(CONCATENATE(G$2," ",$A7),'Software All Line Items'!$A$1:$V$118,18,FALSE)</f>
        <v>-42939915</v>
      </c>
      <c r="H7" s="43">
        <f>VLOOKUP(CONCATENATE(H$2," ",$A7),'Software All Line Items'!$A$1:$V$118,18,FALSE)</f>
        <v>-40196754</v>
      </c>
      <c r="I7" s="43">
        <f>VLOOKUP(CONCATENATE(I$2," ",$A7),'Software All Line Items'!$A$1:$V$118,18,FALSE)</f>
        <v>-42662149</v>
      </c>
      <c r="J7" s="43">
        <f>VLOOKUP(CONCATENATE(J$2," ",$A7),'Software All Line Items'!$A$1:$V$118,18,FALSE)</f>
        <v>-35041351</v>
      </c>
      <c r="K7" s="43">
        <f>VLOOKUP(CONCATENATE(K$2," ",$A7),'Software All Line Items'!$A$1:$V$118,18,FALSE)</f>
        <v>-38712335</v>
      </c>
      <c r="L7" s="43">
        <f>VLOOKUP(CONCATENATE(L$2," ",$A7),'Software All Line Items'!$A$1:$V$118,18,FALSE)</f>
        <v>-41616973</v>
      </c>
      <c r="M7" s="69">
        <f>VLOOKUP(CONCATENATE($M$2," ",$N$1," ",$A7),'Software All Line Items'!$C$1:$V$118,16,FALSE)</f>
        <v>-40890062</v>
      </c>
      <c r="N7" s="223"/>
      <c r="O7" s="224"/>
      <c r="P7" s="43"/>
      <c r="Q7" s="53" t="s">
        <v>45</v>
      </c>
      <c r="R7" s="54" t="s">
        <v>46</v>
      </c>
      <c r="S7" s="54" t="s">
        <v>47</v>
      </c>
      <c r="T7" s="54" t="s">
        <v>48</v>
      </c>
      <c r="U7" s="55" t="s">
        <v>42</v>
      </c>
    </row>
    <row r="8" spans="1:21" x14ac:dyDescent="0.25">
      <c r="A8" s="77" t="s">
        <v>18</v>
      </c>
      <c r="B8" s="43">
        <f>VLOOKUP(CONCATENATE(B$2," ",$A8),'Software All Line Items'!$A$1:$V$118,18,FALSE)</f>
        <v>-107155482</v>
      </c>
      <c r="C8" s="43">
        <f>VLOOKUP(CONCATENATE(C$2," ",$A8),'Software All Line Items'!$A$1:$V$118,18,FALSE)</f>
        <v>-102561420</v>
      </c>
      <c r="D8" s="43">
        <f>VLOOKUP(CONCATENATE(D$2," ",$A8),'Software All Line Items'!$A$1:$V$118,18,FALSE)</f>
        <v>-94284348</v>
      </c>
      <c r="E8" s="43">
        <f>VLOOKUP(CONCATENATE(E$2," ",$A8),'Software All Line Items'!$A$1:$V$118,18,FALSE)</f>
        <v>-98325426</v>
      </c>
      <c r="F8" s="43">
        <f>VLOOKUP(CONCATENATE(F$2," ",$A8),'Software All Line Items'!$A$1:$V$118,18,FALSE)</f>
        <v>-108701592</v>
      </c>
      <c r="G8" s="43">
        <f>VLOOKUP(CONCATENATE(G$2," ",$A8),'Software All Line Items'!$A$1:$V$118,18,FALSE)</f>
        <v>-109827091</v>
      </c>
      <c r="H8" s="43">
        <f>VLOOKUP(CONCATENATE(H$2," ",$A8),'Software All Line Items'!$A$1:$V$118,18,FALSE)</f>
        <v>-101785663</v>
      </c>
      <c r="I8" s="43">
        <f>VLOOKUP(CONCATENATE(I$2," ",$A8),'Software All Line Items'!$A$1:$V$118,18,FALSE)</f>
        <v>-101107164</v>
      </c>
      <c r="J8" s="43">
        <f>VLOOKUP(CONCATENATE(J$2," ",$A8),'Software All Line Items'!$A$1:$V$118,18,FALSE)</f>
        <v>-89105831</v>
      </c>
      <c r="K8" s="43">
        <f>VLOOKUP(CONCATENATE(K$2," ",$A8),'Software All Line Items'!$A$1:$V$118,18,FALSE)</f>
        <v>-96702164</v>
      </c>
      <c r="L8" s="43">
        <f>VLOOKUP(CONCATENATE(L$2," ",$A8),'Software All Line Items'!$A$1:$V$118,18,FALSE)</f>
        <v>-104529434</v>
      </c>
      <c r="M8" s="69">
        <f>VLOOKUP(CONCATENATE($M$2," ",$N$1," ",$A8),'Software All Line Items'!$C$1:$V$118,16,FALSE)</f>
        <v>-104469977</v>
      </c>
      <c r="N8" s="43"/>
      <c r="O8" s="43"/>
      <c r="P8" s="50">
        <v>2012</v>
      </c>
      <c r="Q8" s="26">
        <f>R3</f>
        <v>288493997.69999999</v>
      </c>
      <c r="R8" s="59">
        <v>0</v>
      </c>
      <c r="S8" s="56">
        <f>$S$3</f>
        <v>9003612.9918181822</v>
      </c>
      <c r="T8" s="56">
        <f>Q8+R8-S8</f>
        <v>279490384.7081818</v>
      </c>
      <c r="U8" s="57">
        <f>-((Q8+T8)/2)*$Q$3</f>
        <v>-11359687.648163635</v>
      </c>
    </row>
    <row r="9" spans="1:21" x14ac:dyDescent="0.25">
      <c r="A9" s="77" t="s">
        <v>19</v>
      </c>
      <c r="B9" s="43">
        <f>VLOOKUP(CONCATENATE(B$2," ",$A9),'Software All Line Items'!$A$1:$V$118,18,FALSE)</f>
        <v>-10666364</v>
      </c>
      <c r="C9" s="43">
        <f>VLOOKUP(CONCATENATE(C$2," ",$A9),'Software All Line Items'!$A$1:$V$118,18,FALSE)</f>
        <v>-10393138</v>
      </c>
      <c r="D9" s="43">
        <f>VLOOKUP(CONCATENATE(D$2," ",$A9),'Software All Line Items'!$A$1:$V$118,18,FALSE)</f>
        <v>-9574132</v>
      </c>
      <c r="E9" s="43">
        <f>VLOOKUP(CONCATENATE(E$2," ",$A9),'Software All Line Items'!$A$1:$V$118,18,FALSE)</f>
        <v>-9599803</v>
      </c>
      <c r="F9" s="43">
        <f>VLOOKUP(CONCATENATE(F$2," ",$A9),'Software All Line Items'!$A$1:$V$118,18,FALSE)</f>
        <v>-10765310</v>
      </c>
      <c r="G9" s="43">
        <f>VLOOKUP(CONCATENATE(G$2," ",$A9),'Software All Line Items'!$A$1:$V$118,18,FALSE)</f>
        <v>-10634132</v>
      </c>
      <c r="H9" s="43">
        <f>VLOOKUP(CONCATENATE(H$2," ",$A9),'Software All Line Items'!$A$1:$V$118,18,FALSE)</f>
        <v>-10030414</v>
      </c>
      <c r="I9" s="43">
        <f>VLOOKUP(CONCATENATE(I$2," ",$A9),'Software All Line Items'!$A$1:$V$118,18,FALSE)</f>
        <v>-10353678</v>
      </c>
      <c r="J9" s="43">
        <f>VLOOKUP(CONCATENATE(J$2," ",$A9),'Software All Line Items'!$A$1:$V$118,18,FALSE)</f>
        <v>-8861529</v>
      </c>
      <c r="K9" s="43">
        <f>VLOOKUP(CONCATENATE(K$2," ",$A9),'Software All Line Items'!$A$1:$V$118,18,FALSE)</f>
        <v>-9910941</v>
      </c>
      <c r="L9" s="43">
        <f>VLOOKUP(CONCATENATE(L$2," ",$A9),'Software All Line Items'!$A$1:$V$118,18,FALSE)</f>
        <v>-10807499</v>
      </c>
      <c r="M9" s="69">
        <f>VLOOKUP(CONCATENATE($M$2," ",$N$1," ",$A9),'Software All Line Items'!$C$1:$V$118,16,FALSE)</f>
        <v>-10316903</v>
      </c>
      <c r="N9" s="43"/>
      <c r="O9" s="43"/>
      <c r="P9" s="51">
        <f>P8+1</f>
        <v>2013</v>
      </c>
      <c r="Q9" s="29">
        <f>T8</f>
        <v>279490384.7081818</v>
      </c>
      <c r="R9" s="60">
        <v>0</v>
      </c>
      <c r="S9" s="57">
        <f t="shared" ref="S9:S19" si="6">$S$3</f>
        <v>9003612.9918181822</v>
      </c>
      <c r="T9" s="57">
        <f t="shared" ref="T9:T18" si="7">Q9+R9-S9</f>
        <v>270486771.71636361</v>
      </c>
      <c r="U9" s="57">
        <f t="shared" ref="U9:U18" si="8">-((Q9+T9)/2)*$Q$3</f>
        <v>-10999543.128490908</v>
      </c>
    </row>
    <row r="10" spans="1:21" x14ac:dyDescent="0.25">
      <c r="A10" s="77" t="s">
        <v>20</v>
      </c>
      <c r="B10" s="43">
        <f>VLOOKUP(CONCATENATE(B$2," ",$A10),'Software All Line Items'!$A$1:$V$118,18,FALSE)</f>
        <v>-42863031</v>
      </c>
      <c r="C10" s="43">
        <f>VLOOKUP(CONCATENATE(C$2," ",$A10),'Software All Line Items'!$A$1:$V$118,18,FALSE)</f>
        <v>-40279196</v>
      </c>
      <c r="D10" s="43">
        <f>VLOOKUP(CONCATENATE(D$2," ",$A10),'Software All Line Items'!$A$1:$V$118,18,FALSE)</f>
        <v>-37556979</v>
      </c>
      <c r="E10" s="43">
        <f>VLOOKUP(CONCATENATE(E$2," ",$A10),'Software All Line Items'!$A$1:$V$118,18,FALSE)</f>
        <v>-39019204</v>
      </c>
      <c r="F10" s="43">
        <f>VLOOKUP(CONCATENATE(F$2," ",$A10),'Software All Line Items'!$A$1:$V$118,18,FALSE)</f>
        <v>-44339838</v>
      </c>
      <c r="G10" s="43">
        <f>VLOOKUP(CONCATENATE(G$2," ",$A10),'Software All Line Items'!$A$1:$V$118,18,FALSE)</f>
        <v>-42874456</v>
      </c>
      <c r="H10" s="43">
        <f>VLOOKUP(CONCATENATE(H$2," ",$A10),'Software All Line Items'!$A$1:$V$118,18,FALSE)</f>
        <v>-40039873</v>
      </c>
      <c r="I10" s="43">
        <f>VLOOKUP(CONCATENATE(I$2," ",$A10),'Software All Line Items'!$A$1:$V$118,18,FALSE)</f>
        <v>-42207478</v>
      </c>
      <c r="J10" s="43">
        <f>VLOOKUP(CONCATENATE(J$2," ",$A10),'Software All Line Items'!$A$1:$V$118,18,FALSE)</f>
        <v>-35021990</v>
      </c>
      <c r="K10" s="43">
        <f>VLOOKUP(CONCATENATE(K$2," ",$A10),'Software All Line Items'!$A$1:$V$118,18,FALSE)</f>
        <v>-39467606</v>
      </c>
      <c r="L10" s="43">
        <f>VLOOKUP(CONCATENATE(L$2," ",$A10),'Software All Line Items'!$A$1:$V$118,18,FALSE)</f>
        <v>-41802255</v>
      </c>
      <c r="M10" s="69">
        <f>VLOOKUP(CONCATENATE($M$2," ",$N$1," ",$A10),'Software All Line Items'!$C$1:$V$118,16,FALSE)</f>
        <v>-40147997</v>
      </c>
      <c r="N10" s="43"/>
      <c r="O10" s="43"/>
      <c r="P10" s="51">
        <f>P9+1</f>
        <v>2014</v>
      </c>
      <c r="Q10" s="29">
        <f t="shared" ref="Q10:Q18" si="9">T9</f>
        <v>270486771.71636361</v>
      </c>
      <c r="R10" s="60">
        <v>0</v>
      </c>
      <c r="S10" s="57">
        <f t="shared" si="6"/>
        <v>9003612.9918181822</v>
      </c>
      <c r="T10" s="57">
        <f t="shared" si="7"/>
        <v>261483158.72454542</v>
      </c>
      <c r="U10" s="57">
        <f t="shared" si="8"/>
        <v>-10639398.608818181</v>
      </c>
    </row>
    <row r="11" spans="1:21" x14ac:dyDescent="0.25">
      <c r="A11" s="77" t="s">
        <v>21</v>
      </c>
      <c r="B11" s="43">
        <f>VLOOKUP(CONCATENATE(B$2," ",$A11),'Software All Line Items'!$A$1:$V$118,18,FALSE)</f>
        <v>-53883835</v>
      </c>
      <c r="C11" s="43">
        <f>VLOOKUP(CONCATENATE(C$2," ",$A11),'Software All Line Items'!$A$1:$V$118,18,FALSE)</f>
        <v>-52179585</v>
      </c>
      <c r="D11" s="43">
        <f>VLOOKUP(CONCATENATE(D$2," ",$A11),'Software All Line Items'!$A$1:$V$118,18,FALSE)</f>
        <v>-48038411</v>
      </c>
      <c r="E11" s="43">
        <f>VLOOKUP(CONCATENATE(E$2," ",$A11),'Software All Line Items'!$A$1:$V$118,18,FALSE)</f>
        <v>-48280448</v>
      </c>
      <c r="F11" s="43">
        <f>VLOOKUP(CONCATENATE(F$2," ",$A11),'Software All Line Items'!$A$1:$V$118,18,FALSE)</f>
        <v>-55506943</v>
      </c>
      <c r="G11" s="43">
        <f>VLOOKUP(CONCATENATE(G$2," ",$A11),'Software All Line Items'!$A$1:$V$118,18,FALSE)</f>
        <v>-57195921</v>
      </c>
      <c r="H11" s="43">
        <f>VLOOKUP(CONCATENATE(H$2," ",$A11),'Software All Line Items'!$A$1:$V$118,18,FALSE)</f>
        <v>-51550917</v>
      </c>
      <c r="I11" s="43">
        <f>VLOOKUP(CONCATENATE(I$2," ",$A11),'Software All Line Items'!$A$1:$V$118,18,FALSE)</f>
        <v>-51195870</v>
      </c>
      <c r="J11" s="43">
        <f>VLOOKUP(CONCATENATE(J$2," ",$A11),'Software All Line Items'!$A$1:$V$118,18,FALSE)</f>
        <v>-43268068</v>
      </c>
      <c r="K11" s="43">
        <f>VLOOKUP(CONCATENATE(K$2," ",$A11),'Software All Line Items'!$A$1:$V$118,18,FALSE)</f>
        <v>-46833048</v>
      </c>
      <c r="L11" s="43">
        <f>VLOOKUP(CONCATENATE(L$2," ",$A11),'Software All Line Items'!$A$1:$V$118,18,FALSE)</f>
        <v>-51445342</v>
      </c>
      <c r="M11" s="69">
        <f>VLOOKUP(CONCATENATE($M$2," ",$N$1," ",$A11),'Software All Line Items'!$C$1:$V$118,16,FALSE)</f>
        <v>-49747627</v>
      </c>
      <c r="N11" s="43"/>
      <c r="O11" s="43"/>
      <c r="P11" s="51">
        <f t="shared" ref="P11:P19" si="10">P10+1</f>
        <v>2015</v>
      </c>
      <c r="Q11" s="29">
        <f t="shared" si="9"/>
        <v>261483158.72454542</v>
      </c>
      <c r="R11" s="60">
        <v>0</v>
      </c>
      <c r="S11" s="57">
        <f t="shared" si="6"/>
        <v>9003612.9918181822</v>
      </c>
      <c r="T11" s="57">
        <f t="shared" si="7"/>
        <v>252479545.73272723</v>
      </c>
      <c r="U11" s="57">
        <f t="shared" si="8"/>
        <v>-10279254.089145454</v>
      </c>
    </row>
    <row r="12" spans="1:21" x14ac:dyDescent="0.25">
      <c r="A12" s="77" t="s">
        <v>22</v>
      </c>
      <c r="B12" s="43">
        <f>VLOOKUP(CONCATENATE(B$2," ",$A12),'Software All Line Items'!$A$1:$V$118,18,FALSE)</f>
        <v>-76818307</v>
      </c>
      <c r="C12" s="43">
        <f>VLOOKUP(CONCATENATE(C$2," ",$A12),'Software All Line Items'!$A$1:$V$118,18,FALSE)</f>
        <v>-70381297</v>
      </c>
      <c r="D12" s="43">
        <f>VLOOKUP(CONCATENATE(D$2," ",$A12),'Software All Line Items'!$A$1:$V$118,18,FALSE)</f>
        <v>-65495110</v>
      </c>
      <c r="E12" s="43">
        <f>VLOOKUP(CONCATENATE(E$2," ",$A12),'Software All Line Items'!$A$1:$V$118,18,FALSE)</f>
        <v>-69552048</v>
      </c>
      <c r="F12" s="43">
        <f>VLOOKUP(CONCATENATE(F$2," ",$A12),'Software All Line Items'!$A$1:$V$118,18,FALSE)</f>
        <v>-77727626</v>
      </c>
      <c r="G12" s="43">
        <f>VLOOKUP(CONCATENATE(G$2," ",$A12),'Software All Line Items'!$A$1:$V$118,18,FALSE)</f>
        <v>-73261731</v>
      </c>
      <c r="H12" s="43">
        <f>VLOOKUP(CONCATENATE(H$2," ",$A12),'Software All Line Items'!$A$1:$V$118,18,FALSE)</f>
        <v>-68059546</v>
      </c>
      <c r="I12" s="43">
        <f>VLOOKUP(CONCATENATE(I$2," ",$A12),'Software All Line Items'!$A$1:$V$118,18,FALSE)</f>
        <v>-72157886</v>
      </c>
      <c r="J12" s="43">
        <f>VLOOKUP(CONCATENATE(J$2," ",$A12),'Software All Line Items'!$A$1:$V$118,18,FALSE)</f>
        <v>-61610991</v>
      </c>
      <c r="K12" s="43">
        <f>VLOOKUP(CONCATENATE(K$2," ",$A12),'Software All Line Items'!$A$1:$V$118,18,FALSE)</f>
        <v>-65936166</v>
      </c>
      <c r="L12" s="43">
        <f>VLOOKUP(CONCATENATE(L$2," ",$A12),'Software All Line Items'!$A$1:$V$118,18,FALSE)</f>
        <v>-75856036</v>
      </c>
      <c r="M12" s="69">
        <f>VLOOKUP(CONCATENATE($M$2," ",$N$1," ",$A12),'Software All Line Items'!$C$1:$V$118,16,FALSE)</f>
        <v>-70369261</v>
      </c>
      <c r="N12" s="43"/>
      <c r="O12" s="43"/>
      <c r="P12" s="51">
        <f t="shared" si="10"/>
        <v>2016</v>
      </c>
      <c r="Q12" s="29">
        <f t="shared" si="9"/>
        <v>252479545.73272723</v>
      </c>
      <c r="R12" s="60">
        <v>0</v>
      </c>
      <c r="S12" s="57">
        <f t="shared" si="6"/>
        <v>9003612.9918181822</v>
      </c>
      <c r="T12" s="57">
        <f t="shared" si="7"/>
        <v>243475932.74090904</v>
      </c>
      <c r="U12" s="57">
        <f t="shared" si="8"/>
        <v>-9919109.5694727264</v>
      </c>
    </row>
    <row r="13" spans="1:21" x14ac:dyDescent="0.25">
      <c r="A13" s="78" t="s">
        <v>23</v>
      </c>
      <c r="B13" s="41">
        <f>VLOOKUP(CONCATENATE(B$2," ",$A13),'Software All Line Items'!$A$1:$V$118,18,FALSE)</f>
        <v>-21354503</v>
      </c>
      <c r="C13" s="41">
        <f>VLOOKUP(CONCATENATE(C$2," ",$A13),'Software All Line Items'!$A$1:$V$118,18,FALSE)</f>
        <v>-19956382</v>
      </c>
      <c r="D13" s="41">
        <f>VLOOKUP(CONCATENATE(D$2," ",$A13),'Software All Line Items'!$A$1:$V$118,18,FALSE)</f>
        <v>-19436170</v>
      </c>
      <c r="E13" s="41">
        <f>VLOOKUP(CONCATENATE(E$2," ",$A13),'Software All Line Items'!$A$1:$V$118,18,FALSE)</f>
        <v>-19729295</v>
      </c>
      <c r="F13" s="41">
        <f>VLOOKUP(CONCATENATE(F$2," ",$A13),'Software All Line Items'!$A$1:$V$118,18,FALSE)</f>
        <v>-21804721</v>
      </c>
      <c r="G13" s="41">
        <f>VLOOKUP(CONCATENATE(G$2," ",$A13),'Software All Line Items'!$A$1:$V$118,18,FALSE)</f>
        <v>-22006432</v>
      </c>
      <c r="H13" s="41">
        <f>VLOOKUP(CONCATENATE(H$2," ",$A13),'Software All Line Items'!$A$1:$V$118,18,FALSE)</f>
        <v>-19627772</v>
      </c>
      <c r="I13" s="41">
        <f>VLOOKUP(CONCATENATE(I$2," ",$A13),'Software All Line Items'!$A$1:$V$118,18,FALSE)</f>
        <v>-20334219</v>
      </c>
      <c r="J13" s="41">
        <f>VLOOKUP(CONCATENATE(J$2," ",$A13),'Software All Line Items'!$A$1:$V$118,18,FALSE)</f>
        <v>-17115292</v>
      </c>
      <c r="K13" s="41">
        <f>VLOOKUP(CONCATENATE(K$2," ",$A13),'Software All Line Items'!$A$1:$V$118,18,FALSE)</f>
        <v>-19881096</v>
      </c>
      <c r="L13" s="41">
        <f>VLOOKUP(CONCATENATE(L$2," ",$A13),'Software All Line Items'!$A$1:$V$118,18,FALSE)</f>
        <v>-21022836</v>
      </c>
      <c r="M13" s="67">
        <f>VLOOKUP(CONCATENATE($M$2," ",$N$1," ",$A13),'Software All Line Items'!$C$1:$V$118,16,FALSE)</f>
        <v>-20076773</v>
      </c>
      <c r="N13" s="43"/>
      <c r="O13" s="43"/>
      <c r="P13" s="51">
        <f t="shared" si="10"/>
        <v>2017</v>
      </c>
      <c r="Q13" s="29">
        <f t="shared" si="9"/>
        <v>243475932.74090904</v>
      </c>
      <c r="R13" s="60">
        <v>0</v>
      </c>
      <c r="S13" s="57">
        <f t="shared" si="6"/>
        <v>9003612.9918181822</v>
      </c>
      <c r="T13" s="57">
        <f t="shared" si="7"/>
        <v>234472319.74909085</v>
      </c>
      <c r="U13" s="57">
        <f t="shared" si="8"/>
        <v>-9558965.0497999974</v>
      </c>
    </row>
    <row r="14" spans="1:21" x14ac:dyDescent="0.25">
      <c r="A14" s="37" t="s">
        <v>39</v>
      </c>
      <c r="B14" s="23">
        <f>SUM(B5:B6)</f>
        <v>165664053</v>
      </c>
      <c r="C14" s="23">
        <f t="shared" ref="C14:M14" si="11">SUM(C5:C6)</f>
        <v>165993010</v>
      </c>
      <c r="D14" s="23">
        <f t="shared" si="11"/>
        <v>136372531</v>
      </c>
      <c r="E14" s="23">
        <f t="shared" si="11"/>
        <v>162545100</v>
      </c>
      <c r="F14" s="23">
        <f t="shared" si="11"/>
        <v>176402300</v>
      </c>
      <c r="G14" s="23">
        <f t="shared" si="11"/>
        <v>171036276</v>
      </c>
      <c r="H14" s="23">
        <f t="shared" si="11"/>
        <v>146690936</v>
      </c>
      <c r="I14" s="23">
        <f t="shared" si="11"/>
        <v>178155092</v>
      </c>
      <c r="J14" s="23">
        <f t="shared" si="11"/>
        <v>149567261</v>
      </c>
      <c r="K14" s="23">
        <f t="shared" si="11"/>
        <v>153806364</v>
      </c>
      <c r="L14" s="23">
        <f t="shared" si="11"/>
        <v>166997300</v>
      </c>
      <c r="M14" s="30">
        <f t="shared" si="11"/>
        <v>201295406</v>
      </c>
      <c r="N14" s="23"/>
      <c r="O14" s="23"/>
      <c r="P14" s="51">
        <f t="shared" si="10"/>
        <v>2018</v>
      </c>
      <c r="Q14" s="29">
        <f t="shared" si="9"/>
        <v>234472319.74909085</v>
      </c>
      <c r="R14" s="60">
        <v>0</v>
      </c>
      <c r="S14" s="57">
        <f t="shared" si="6"/>
        <v>9003612.9918181822</v>
      </c>
      <c r="T14" s="57">
        <f t="shared" si="7"/>
        <v>225468706.75727266</v>
      </c>
      <c r="U14" s="57">
        <f t="shared" si="8"/>
        <v>-9198820.5301272701</v>
      </c>
    </row>
    <row r="15" spans="1:21" x14ac:dyDescent="0.25">
      <c r="A15" s="82" t="s">
        <v>40</v>
      </c>
      <c r="B15" s="44" cm="1">
        <f t="array" ref="B15">-AVERAGE(($B$3:$L$3)*0.3-0)/30</f>
        <v>-9003612.9918181822</v>
      </c>
      <c r="C15" s="44" cm="1">
        <f t="array" ref="C15">-AVERAGE(($B$3:$L$3)*0.3-0)/30</f>
        <v>-9003612.9918181822</v>
      </c>
      <c r="D15" s="44" cm="1">
        <f t="array" ref="D15">-AVERAGE(($B$3:$L$3)*0.3-0)/30</f>
        <v>-9003612.9918181822</v>
      </c>
      <c r="E15" s="44" cm="1">
        <f t="array" ref="E15">-AVERAGE(($B$3:$L$3)*0.3-0)/30</f>
        <v>-9003612.9918181822</v>
      </c>
      <c r="F15" s="44" cm="1">
        <f t="array" ref="F15">-AVERAGE(($B$3:$L$3)*0.3-0)/30</f>
        <v>-9003612.9918181822</v>
      </c>
      <c r="G15" s="44" cm="1">
        <f t="array" ref="G15">-AVERAGE(($B$3:$L$3)*0.3-0)/30</f>
        <v>-9003612.9918181822</v>
      </c>
      <c r="H15" s="44" cm="1">
        <f t="array" ref="H15">-AVERAGE(($B$3:$L$3)*0.3-0)/30</f>
        <v>-9003612.9918181822</v>
      </c>
      <c r="I15" s="44" cm="1">
        <f t="array" ref="I15">-AVERAGE(($B$3:$L$3)*0.3-0)/30</f>
        <v>-9003612.9918181822</v>
      </c>
      <c r="J15" s="44" cm="1">
        <f t="array" ref="J15">-AVERAGE(($B$3:$L$3)*0.3-0)/30</f>
        <v>-9003612.9918181822</v>
      </c>
      <c r="K15" s="44" cm="1">
        <f t="array" ref="K15">-AVERAGE(($B$3:$L$3)*0.3-0)/30</f>
        <v>-9003612.9918181822</v>
      </c>
      <c r="L15" s="44" cm="1">
        <f t="array" ref="L15">-AVERAGE(($B$3:$L$3)*0.3-0)/30</f>
        <v>-9003612.9918181822</v>
      </c>
      <c r="M15" s="70" cm="1">
        <f t="array" ref="M15">-AVERAGE(($B$3:$L$3)*0.3-0)/30</f>
        <v>-9003612.9918181822</v>
      </c>
      <c r="N15" s="23"/>
      <c r="O15" s="23"/>
      <c r="P15" s="51">
        <f t="shared" si="10"/>
        <v>2019</v>
      </c>
      <c r="Q15" s="29">
        <f t="shared" si="9"/>
        <v>225468706.75727266</v>
      </c>
      <c r="R15" s="60">
        <v>0</v>
      </c>
      <c r="S15" s="57">
        <f t="shared" si="6"/>
        <v>9003612.9918181822</v>
      </c>
      <c r="T15" s="57">
        <f t="shared" si="7"/>
        <v>216465093.76545447</v>
      </c>
      <c r="U15" s="57">
        <f t="shared" si="8"/>
        <v>-8838676.0104545429</v>
      </c>
    </row>
    <row r="16" spans="1:21" x14ac:dyDescent="0.25">
      <c r="A16" s="75" t="s">
        <v>41</v>
      </c>
      <c r="B16" s="42">
        <f>SUM(B14:B15)</f>
        <v>156660440.00818181</v>
      </c>
      <c r="C16" s="42">
        <f t="shared" ref="C16:M16" si="12">SUM(C14:C15)</f>
        <v>156989397.00818181</v>
      </c>
      <c r="D16" s="42">
        <f t="shared" si="12"/>
        <v>127368918.00818181</v>
      </c>
      <c r="E16" s="42">
        <f t="shared" si="12"/>
        <v>153541487.00818181</v>
      </c>
      <c r="F16" s="42">
        <f t="shared" si="12"/>
        <v>167398687.00818181</v>
      </c>
      <c r="G16" s="42">
        <f t="shared" si="12"/>
        <v>162032663.00818181</v>
      </c>
      <c r="H16" s="42">
        <f t="shared" si="12"/>
        <v>137687323.00818181</v>
      </c>
      <c r="I16" s="42">
        <f t="shared" si="12"/>
        <v>169151479.00818181</v>
      </c>
      <c r="J16" s="42">
        <f t="shared" si="12"/>
        <v>140563648.00818181</v>
      </c>
      <c r="K16" s="42">
        <f t="shared" si="12"/>
        <v>144802751.00818181</v>
      </c>
      <c r="L16" s="42">
        <f t="shared" si="12"/>
        <v>157993687.00818181</v>
      </c>
      <c r="M16" s="68">
        <f t="shared" si="12"/>
        <v>192291793.00818181</v>
      </c>
      <c r="N16" s="42"/>
      <c r="O16" s="42"/>
      <c r="P16" s="51">
        <f t="shared" si="10"/>
        <v>2020</v>
      </c>
      <c r="Q16" s="29">
        <f t="shared" si="9"/>
        <v>216465093.76545447</v>
      </c>
      <c r="R16" s="60">
        <v>0</v>
      </c>
      <c r="S16" s="57">
        <f t="shared" si="6"/>
        <v>9003612.9918181822</v>
      </c>
      <c r="T16" s="57">
        <f t="shared" si="7"/>
        <v>207461480.77363628</v>
      </c>
      <c r="U16" s="57">
        <f t="shared" si="8"/>
        <v>-8478531.4907818157</v>
      </c>
    </row>
    <row r="17" spans="1:21" x14ac:dyDescent="0.25">
      <c r="A17" s="37" t="s">
        <v>42</v>
      </c>
      <c r="B17" s="8">
        <f>VLOOKUP(B2,$P$8:$U$18,6,FALSE)</f>
        <v>-11359687.648163635</v>
      </c>
      <c r="C17" s="8">
        <f t="shared" ref="C17:L17" si="13">VLOOKUP(C2,$P$8:$U$18,6,FALSE)</f>
        <v>-10999543.128490908</v>
      </c>
      <c r="D17" s="8">
        <f t="shared" si="13"/>
        <v>-10639398.608818181</v>
      </c>
      <c r="E17" s="8">
        <f t="shared" si="13"/>
        <v>-10279254.089145454</v>
      </c>
      <c r="F17" s="8">
        <f t="shared" si="13"/>
        <v>-9919109.5694727264</v>
      </c>
      <c r="G17" s="8">
        <f t="shared" si="13"/>
        <v>-9558965.0497999974</v>
      </c>
      <c r="H17" s="8">
        <f t="shared" si="13"/>
        <v>-9198820.5301272701</v>
      </c>
      <c r="I17" s="8">
        <f t="shared" si="13"/>
        <v>-8838676.0104545429</v>
      </c>
      <c r="J17" s="8">
        <f t="shared" si="13"/>
        <v>-8478531.4907818157</v>
      </c>
      <c r="K17" s="8">
        <f t="shared" si="13"/>
        <v>-8118386.9711090876</v>
      </c>
      <c r="L17" s="8">
        <f t="shared" si="13"/>
        <v>-7758242.4514363604</v>
      </c>
      <c r="M17" s="9">
        <f t="shared" ref="M17" si="14">VLOOKUP(M2,$P$8:$U$19,6,FALSE)</f>
        <v>-7398097.9317636322</v>
      </c>
      <c r="P17" s="51">
        <f t="shared" si="10"/>
        <v>2021</v>
      </c>
      <c r="Q17" s="29">
        <f t="shared" si="9"/>
        <v>207461480.77363628</v>
      </c>
      <c r="R17" s="60">
        <v>0</v>
      </c>
      <c r="S17" s="57">
        <f t="shared" si="6"/>
        <v>9003612.9918181822</v>
      </c>
      <c r="T17" s="57">
        <f t="shared" si="7"/>
        <v>198457867.78181809</v>
      </c>
      <c r="U17" s="57">
        <f t="shared" si="8"/>
        <v>-8118386.9711090876</v>
      </c>
    </row>
    <row r="18" spans="1:21" ht="14.4" thickBot="1" x14ac:dyDescent="0.3">
      <c r="A18" s="37" t="s">
        <v>50</v>
      </c>
      <c r="B18" s="21">
        <v>0</v>
      </c>
      <c r="C18" s="21">
        <v>0</v>
      </c>
      <c r="D18" s="21">
        <v>0</v>
      </c>
      <c r="E18" s="21">
        <v>0</v>
      </c>
      <c r="F18" s="21">
        <v>0</v>
      </c>
      <c r="G18" s="21">
        <v>0</v>
      </c>
      <c r="H18" s="21">
        <v>0</v>
      </c>
      <c r="I18" s="21">
        <v>0</v>
      </c>
      <c r="J18" s="21">
        <v>0</v>
      </c>
      <c r="K18" s="21">
        <v>0</v>
      </c>
      <c r="L18" s="21">
        <v>0</v>
      </c>
      <c r="M18" s="22">
        <v>0</v>
      </c>
      <c r="P18" s="52">
        <f t="shared" si="10"/>
        <v>2022</v>
      </c>
      <c r="Q18" s="31">
        <f t="shared" si="9"/>
        <v>198457867.78181809</v>
      </c>
      <c r="R18" s="61">
        <v>0</v>
      </c>
      <c r="S18" s="58">
        <f t="shared" si="6"/>
        <v>9003612.9918181822</v>
      </c>
      <c r="T18" s="58">
        <f t="shared" si="7"/>
        <v>189454254.7899999</v>
      </c>
      <c r="U18" s="58">
        <f t="shared" si="8"/>
        <v>-7758242.4514363604</v>
      </c>
    </row>
    <row r="19" spans="1:21" ht="14.4" thickBot="1" x14ac:dyDescent="0.3">
      <c r="A19" s="37" t="s">
        <v>51</v>
      </c>
      <c r="B19" s="21">
        <v>0</v>
      </c>
      <c r="C19" s="21">
        <v>0</v>
      </c>
      <c r="D19" s="21">
        <v>0</v>
      </c>
      <c r="E19" s="21">
        <v>0</v>
      </c>
      <c r="F19" s="21">
        <v>0</v>
      </c>
      <c r="G19" s="21">
        <v>0</v>
      </c>
      <c r="H19" s="21">
        <v>0</v>
      </c>
      <c r="I19" s="21">
        <v>0</v>
      </c>
      <c r="J19" s="21">
        <v>0</v>
      </c>
      <c r="K19" s="21">
        <v>0</v>
      </c>
      <c r="L19" s="21">
        <v>0</v>
      </c>
      <c r="M19" s="22">
        <v>0</v>
      </c>
      <c r="P19" s="52">
        <f t="shared" si="10"/>
        <v>2023</v>
      </c>
      <c r="Q19" s="31">
        <f t="shared" ref="Q19" si="15">T18</f>
        <v>189454254.7899999</v>
      </c>
      <c r="R19" s="61">
        <v>0</v>
      </c>
      <c r="S19" s="58">
        <f t="shared" si="6"/>
        <v>9003612.9918181822</v>
      </c>
      <c r="T19" s="58">
        <f t="shared" ref="T19" si="16">Q19+R19-S19</f>
        <v>180450641.79818171</v>
      </c>
      <c r="U19" s="58">
        <f t="shared" ref="U19" si="17">-((Q19+T19)/2)*$Q$3</f>
        <v>-7398097.9317636322</v>
      </c>
    </row>
    <row r="20" spans="1:21" x14ac:dyDescent="0.25">
      <c r="A20" s="37" t="s">
        <v>52</v>
      </c>
      <c r="B20" s="23">
        <f>SUM(B16:B19)</f>
        <v>145300752.36001816</v>
      </c>
      <c r="C20" s="23">
        <f t="shared" ref="C20:L20" si="18">SUM(C16:C19)</f>
        <v>145989853.87969092</v>
      </c>
      <c r="D20" s="23">
        <f t="shared" si="18"/>
        <v>116729519.39936364</v>
      </c>
      <c r="E20" s="23">
        <f t="shared" si="18"/>
        <v>143262232.91903636</v>
      </c>
      <c r="F20" s="23">
        <f t="shared" si="18"/>
        <v>157479577.43870908</v>
      </c>
      <c r="G20" s="23">
        <f t="shared" si="18"/>
        <v>152473697.9583818</v>
      </c>
      <c r="H20" s="23">
        <f t="shared" si="18"/>
        <v>128488502.47805454</v>
      </c>
      <c r="I20" s="23">
        <f t="shared" si="18"/>
        <v>160312802.99772727</v>
      </c>
      <c r="J20" s="23">
        <f t="shared" si="18"/>
        <v>132085116.5174</v>
      </c>
      <c r="K20" s="23">
        <f t="shared" si="18"/>
        <v>136684364.03707272</v>
      </c>
      <c r="L20" s="23">
        <f t="shared" si="18"/>
        <v>150235444.55674544</v>
      </c>
      <c r="M20" s="30">
        <f>SUM(M16:M19)</f>
        <v>184893695.07641819</v>
      </c>
      <c r="P20" s="49"/>
    </row>
    <row r="21" spans="1:21" x14ac:dyDescent="0.25">
      <c r="A21" s="37" t="s">
        <v>53</v>
      </c>
      <c r="B21" s="23">
        <f>-$P$3*B20</f>
        <v>-39231203.137204908</v>
      </c>
      <c r="C21" s="23">
        <f t="shared" ref="C21:M21" si="19">-$P$3*C20</f>
        <v>-39417260.547516547</v>
      </c>
      <c r="D21" s="23">
        <f t="shared" si="19"/>
        <v>-31516970.237828184</v>
      </c>
      <c r="E21" s="23">
        <f t="shared" si="19"/>
        <v>-38680802.888139822</v>
      </c>
      <c r="F21" s="23">
        <f t="shared" si="19"/>
        <v>-42519485.908451453</v>
      </c>
      <c r="G21" s="23">
        <f t="shared" si="19"/>
        <v>-41167898.448763087</v>
      </c>
      <c r="H21" s="23">
        <f t="shared" si="19"/>
        <v>-34691895.669074729</v>
      </c>
      <c r="I21" s="23">
        <f t="shared" si="19"/>
        <v>-43284456.809386365</v>
      </c>
      <c r="J21" s="23">
        <f t="shared" si="19"/>
        <v>-35662981.459697999</v>
      </c>
      <c r="K21" s="23">
        <f t="shared" si="19"/>
        <v>-36904778.290009633</v>
      </c>
      <c r="L21" s="23">
        <f t="shared" si="19"/>
        <v>-40563570.03032127</v>
      </c>
      <c r="M21" s="30">
        <f t="shared" si="19"/>
        <v>-49921297.670632914</v>
      </c>
      <c r="O21" s="49"/>
      <c r="P21" s="205"/>
      <c r="Q21" s="205"/>
    </row>
    <row r="22" spans="1:21" x14ac:dyDescent="0.25">
      <c r="A22" s="78" t="s">
        <v>84</v>
      </c>
      <c r="B22" s="44">
        <f>ABS(B15)</f>
        <v>9003612.9918181822</v>
      </c>
      <c r="C22" s="44">
        <f t="shared" ref="C22:M22" si="20">ABS(C15)</f>
        <v>9003612.9918181822</v>
      </c>
      <c r="D22" s="44">
        <f t="shared" si="20"/>
        <v>9003612.9918181822</v>
      </c>
      <c r="E22" s="44">
        <f t="shared" si="20"/>
        <v>9003612.9918181822</v>
      </c>
      <c r="F22" s="44">
        <f t="shared" si="20"/>
        <v>9003612.9918181822</v>
      </c>
      <c r="G22" s="44">
        <f t="shared" si="20"/>
        <v>9003612.9918181822</v>
      </c>
      <c r="H22" s="44">
        <f t="shared" si="20"/>
        <v>9003612.9918181822</v>
      </c>
      <c r="I22" s="44">
        <f t="shared" si="20"/>
        <v>9003612.9918181822</v>
      </c>
      <c r="J22" s="44">
        <f t="shared" si="20"/>
        <v>9003612.9918181822</v>
      </c>
      <c r="K22" s="44">
        <f t="shared" si="20"/>
        <v>9003612.9918181822</v>
      </c>
      <c r="L22" s="44">
        <f t="shared" si="20"/>
        <v>9003612.9918181822</v>
      </c>
      <c r="M22" s="70">
        <f t="shared" si="20"/>
        <v>9003612.9918181822</v>
      </c>
      <c r="P22" s="204"/>
    </row>
    <row r="23" spans="1:21" ht="14.4" thickBot="1" x14ac:dyDescent="0.3">
      <c r="A23" s="81" t="s">
        <v>56</v>
      </c>
      <c r="B23" s="32">
        <f>SUM(B20:B22)</f>
        <v>115073162.21463144</v>
      </c>
      <c r="C23" s="32">
        <f t="shared" ref="C23:M23" si="21">SUM(C20:C21)</f>
        <v>106572593.33217436</v>
      </c>
      <c r="D23" s="32">
        <f t="shared" si="21"/>
        <v>85212549.161535457</v>
      </c>
      <c r="E23" s="32">
        <f t="shared" si="21"/>
        <v>104581430.03089654</v>
      </c>
      <c r="F23" s="32">
        <f t="shared" si="21"/>
        <v>114960091.53025763</v>
      </c>
      <c r="G23" s="32">
        <f t="shared" si="21"/>
        <v>111305799.50961871</v>
      </c>
      <c r="H23" s="32">
        <f t="shared" si="21"/>
        <v>93796606.808979809</v>
      </c>
      <c r="I23" s="32">
        <f t="shared" si="21"/>
        <v>117028346.1883409</v>
      </c>
      <c r="J23" s="32">
        <f t="shared" si="21"/>
        <v>96422135.057702005</v>
      </c>
      <c r="K23" s="32">
        <f t="shared" si="21"/>
        <v>99779585.747063085</v>
      </c>
      <c r="L23" s="32">
        <f t="shared" si="21"/>
        <v>109671874.52642417</v>
      </c>
      <c r="M23" s="33">
        <f t="shared" si="21"/>
        <v>134972397.40578526</v>
      </c>
      <c r="P23" s="204"/>
    </row>
    <row r="24" spans="1:21" ht="14.4" thickBot="1" x14ac:dyDescent="0.3">
      <c r="P24" s="204"/>
    </row>
    <row r="25" spans="1:21" ht="14.4" thickBot="1" x14ac:dyDescent="0.3">
      <c r="A25" s="217" t="s">
        <v>61</v>
      </c>
      <c r="B25" s="218"/>
      <c r="C25" s="218"/>
      <c r="D25" s="218"/>
      <c r="E25" s="218"/>
      <c r="F25" s="218"/>
      <c r="G25" s="218"/>
      <c r="H25" s="218"/>
      <c r="I25" s="218"/>
      <c r="J25" s="218"/>
      <c r="K25" s="218"/>
      <c r="L25" s="219"/>
      <c r="P25" s="204"/>
    </row>
    <row r="26" spans="1:21" ht="14.4" thickBot="1" x14ac:dyDescent="0.3">
      <c r="A26" s="105" t="s">
        <v>1</v>
      </c>
      <c r="B26" s="106">
        <f>B2</f>
        <v>2012</v>
      </c>
      <c r="C26" s="106">
        <f t="shared" ref="C26:L26" si="22">C2</f>
        <v>2013</v>
      </c>
      <c r="D26" s="106">
        <f t="shared" si="22"/>
        <v>2014</v>
      </c>
      <c r="E26" s="106">
        <f t="shared" si="22"/>
        <v>2015</v>
      </c>
      <c r="F26" s="106">
        <f t="shared" si="22"/>
        <v>2016</v>
      </c>
      <c r="G26" s="106">
        <f t="shared" si="22"/>
        <v>2017</v>
      </c>
      <c r="H26" s="106">
        <f t="shared" si="22"/>
        <v>2018</v>
      </c>
      <c r="I26" s="106">
        <f t="shared" si="22"/>
        <v>2019</v>
      </c>
      <c r="J26" s="106">
        <f t="shared" si="22"/>
        <v>2020</v>
      </c>
      <c r="K26" s="106">
        <f t="shared" si="22"/>
        <v>2021</v>
      </c>
      <c r="L26" s="106">
        <f t="shared" si="22"/>
        <v>2022</v>
      </c>
      <c r="M26" s="108" t="s">
        <v>62</v>
      </c>
      <c r="P26" s="204"/>
    </row>
    <row r="27" spans="1:21" x14ac:dyDescent="0.25">
      <c r="A27" s="95" t="s">
        <v>58</v>
      </c>
      <c r="B27" s="96">
        <f>B5/B$3</f>
        <v>0.54146342019371585</v>
      </c>
      <c r="C27" s="96">
        <f t="shared" ref="C27:L27" si="23">C5/C$3</f>
        <v>0.55426774214431795</v>
      </c>
      <c r="D27" s="96">
        <f t="shared" si="23"/>
        <v>0.52769689612288229</v>
      </c>
      <c r="E27" s="96">
        <f t="shared" si="23"/>
        <v>0.55734004780590052</v>
      </c>
      <c r="F27" s="96">
        <f t="shared" si="23"/>
        <v>0.5524317353089776</v>
      </c>
      <c r="G27" s="96">
        <f t="shared" si="23"/>
        <v>0.54790416544546128</v>
      </c>
      <c r="H27" s="96">
        <f t="shared" si="23"/>
        <v>0.54260920736281915</v>
      </c>
      <c r="I27" s="96">
        <f t="shared" si="23"/>
        <v>0.56212102753382398</v>
      </c>
      <c r="J27" s="96">
        <f t="shared" si="23"/>
        <v>0.56590002341857804</v>
      </c>
      <c r="K27" s="96">
        <f t="shared" si="23"/>
        <v>0.54744335535763056</v>
      </c>
      <c r="L27" s="96">
        <f t="shared" si="23"/>
        <v>0.55243547715887176</v>
      </c>
      <c r="M27" s="109">
        <f>AVERAGE(B27:L27)</f>
        <v>0.55014664525936174</v>
      </c>
      <c r="P27" s="204"/>
    </row>
    <row r="28" spans="1:21" x14ac:dyDescent="0.25">
      <c r="A28" s="37" t="s">
        <v>59</v>
      </c>
      <c r="B28" s="99">
        <f>B16/$B$3</f>
        <v>0.16290852626794372</v>
      </c>
      <c r="C28" s="99">
        <f t="shared" ref="C28:L28" si="24">C16/$B$3</f>
        <v>0.16325060305563002</v>
      </c>
      <c r="D28" s="99">
        <f t="shared" si="24"/>
        <v>0.13244877088288393</v>
      </c>
      <c r="E28" s="99">
        <f t="shared" si="24"/>
        <v>0.1596651801066381</v>
      </c>
      <c r="F28" s="99">
        <f t="shared" si="24"/>
        <v>0.17407504663121989</v>
      </c>
      <c r="G28" s="99">
        <f t="shared" si="24"/>
        <v>0.16849500956689936</v>
      </c>
      <c r="H28" s="99">
        <f t="shared" si="24"/>
        <v>0.14317870469321914</v>
      </c>
      <c r="I28" s="99">
        <f t="shared" si="24"/>
        <v>0.17589774521140597</v>
      </c>
      <c r="J28" s="99">
        <f t="shared" si="24"/>
        <v>0.14616974612520522</v>
      </c>
      <c r="K28" s="99">
        <f t="shared" si="24"/>
        <v>0.1505779172141665</v>
      </c>
      <c r="L28" s="99">
        <f t="shared" si="24"/>
        <v>0.16429494714043594</v>
      </c>
      <c r="M28" s="110">
        <f t="shared" ref="M28:M29" si="25">AVERAGE(B28:L28)</f>
        <v>0.15826929062687706</v>
      </c>
      <c r="O28" s="49"/>
      <c r="P28" s="204"/>
    </row>
    <row r="29" spans="1:21" ht="14.4" thickBot="1" x14ac:dyDescent="0.3">
      <c r="A29" s="38" t="s">
        <v>60</v>
      </c>
      <c r="B29" s="102">
        <f>B23/$B$3</f>
        <v>0.11966262362341493</v>
      </c>
      <c r="C29" s="102">
        <f t="shared" ref="C29:L29" si="26">C23/$B$3</f>
        <v>0.11082302666448962</v>
      </c>
      <c r="D29" s="102">
        <f t="shared" si="26"/>
        <v>8.861108013430477E-2</v>
      </c>
      <c r="E29" s="102">
        <f t="shared" si="26"/>
        <v>0.10875244982356513</v>
      </c>
      <c r="F29" s="102">
        <f t="shared" si="26"/>
        <v>0.11954504334242962</v>
      </c>
      <c r="G29" s="102">
        <f t="shared" si="26"/>
        <v>0.11574500724139543</v>
      </c>
      <c r="H29" s="102">
        <f t="shared" si="26"/>
        <v>9.7537495639528668E-2</v>
      </c>
      <c r="I29" s="102">
        <f t="shared" si="26"/>
        <v>0.12169578617372485</v>
      </c>
      <c r="J29" s="102">
        <f t="shared" si="26"/>
        <v>0.10026773779671812</v>
      </c>
      <c r="K29" s="102">
        <f t="shared" si="26"/>
        <v>0.10375909364757964</v>
      </c>
      <c r="L29" s="102">
        <f t="shared" si="26"/>
        <v>0.11404591644967611</v>
      </c>
      <c r="M29" s="111">
        <f t="shared" si="25"/>
        <v>0.10913138732152973</v>
      </c>
      <c r="P29" s="204"/>
    </row>
    <row r="30" spans="1:21" ht="14.4" thickBot="1" x14ac:dyDescent="0.3">
      <c r="P30" s="204"/>
    </row>
    <row r="31" spans="1:21" ht="15" customHeight="1" thickBot="1" x14ac:dyDescent="0.3">
      <c r="A31" s="217" t="s">
        <v>63</v>
      </c>
      <c r="B31" s="218"/>
      <c r="C31" s="218"/>
      <c r="D31" s="218"/>
      <c r="E31" s="218"/>
      <c r="F31" s="218"/>
      <c r="G31" s="218"/>
      <c r="H31" s="218"/>
      <c r="I31" s="218"/>
      <c r="J31" s="218"/>
      <c r="K31" s="218"/>
      <c r="L31" s="218"/>
      <c r="M31" s="219"/>
      <c r="N31" s="155" t="s">
        <v>66</v>
      </c>
      <c r="P31" s="204"/>
    </row>
    <row r="32" spans="1:21" x14ac:dyDescent="0.25">
      <c r="A32" s="73" t="str">
        <f t="shared" ref="A32:A50" si="27">A3</f>
        <v>Sales</v>
      </c>
      <c r="B32" s="124">
        <f>ABS(B3/B$3)</f>
        <v>1</v>
      </c>
      <c r="C32" s="124">
        <f t="shared" ref="C32:L32" si="28">ABS(C3/C$3)</f>
        <v>1</v>
      </c>
      <c r="D32" s="124">
        <f t="shared" si="28"/>
        <v>1</v>
      </c>
      <c r="E32" s="124">
        <f t="shared" si="28"/>
        <v>1</v>
      </c>
      <c r="F32" s="124">
        <f t="shared" si="28"/>
        <v>1</v>
      </c>
      <c r="G32" s="124">
        <f t="shared" si="28"/>
        <v>1</v>
      </c>
      <c r="H32" s="124">
        <f t="shared" si="28"/>
        <v>1</v>
      </c>
      <c r="I32" s="124">
        <f t="shared" si="28"/>
        <v>1</v>
      </c>
      <c r="J32" s="124">
        <f t="shared" si="28"/>
        <v>1</v>
      </c>
      <c r="K32" s="124">
        <f t="shared" si="28"/>
        <v>1</v>
      </c>
      <c r="L32" s="124">
        <f t="shared" si="28"/>
        <v>1</v>
      </c>
      <c r="M32" s="194">
        <f t="shared" ref="M32:M49" si="29">ABS(M3/M$3)</f>
        <v>1</v>
      </c>
      <c r="N32" s="160"/>
    </row>
    <row r="33" spans="1:16" x14ac:dyDescent="0.25">
      <c r="A33" s="74" t="str">
        <f t="shared" si="27"/>
        <v>COGS</v>
      </c>
      <c r="B33" s="126">
        <f t="shared" ref="B33:L33" si="30">ABS(B4/B$3)</f>
        <v>0.45853657980628415</v>
      </c>
      <c r="C33" s="126">
        <f t="shared" si="30"/>
        <v>0.44573225785568205</v>
      </c>
      <c r="D33" s="126">
        <f t="shared" si="30"/>
        <v>0.47230310387711766</v>
      </c>
      <c r="E33" s="126">
        <f t="shared" si="30"/>
        <v>0.44265995219409943</v>
      </c>
      <c r="F33" s="126">
        <f t="shared" si="30"/>
        <v>0.44756826469102234</v>
      </c>
      <c r="G33" s="126">
        <f t="shared" si="30"/>
        <v>0.45209583455453872</v>
      </c>
      <c r="H33" s="126">
        <f t="shared" si="30"/>
        <v>0.45739079263718091</v>
      </c>
      <c r="I33" s="126">
        <f t="shared" si="30"/>
        <v>0.43787897246617608</v>
      </c>
      <c r="J33" s="126">
        <f t="shared" si="30"/>
        <v>0.43409997658142202</v>
      </c>
      <c r="K33" s="126">
        <f t="shared" si="30"/>
        <v>0.45255664464236944</v>
      </c>
      <c r="L33" s="126">
        <f t="shared" si="30"/>
        <v>0.4475645228411283</v>
      </c>
      <c r="M33" s="195">
        <f t="shared" si="29"/>
        <v>0.39499735826903432</v>
      </c>
      <c r="N33" s="192"/>
      <c r="P33" s="166"/>
    </row>
    <row r="34" spans="1:16" x14ac:dyDescent="0.25">
      <c r="A34" s="75" t="str">
        <f t="shared" si="27"/>
        <v>Gross Profit</v>
      </c>
      <c r="B34" s="116">
        <f t="shared" ref="B34:L34" si="31">ABS(B5/B$3)</f>
        <v>0.54146342019371585</v>
      </c>
      <c r="C34" s="116">
        <f t="shared" si="31"/>
        <v>0.55426774214431795</v>
      </c>
      <c r="D34" s="116">
        <f t="shared" si="31"/>
        <v>0.52769689612288229</v>
      </c>
      <c r="E34" s="116">
        <f t="shared" si="31"/>
        <v>0.55734004780590052</v>
      </c>
      <c r="F34" s="116">
        <f t="shared" si="31"/>
        <v>0.5524317353089776</v>
      </c>
      <c r="G34" s="116">
        <f t="shared" si="31"/>
        <v>0.54790416544546128</v>
      </c>
      <c r="H34" s="116">
        <f t="shared" si="31"/>
        <v>0.54260920736281915</v>
      </c>
      <c r="I34" s="116">
        <f t="shared" si="31"/>
        <v>0.56212102753382398</v>
      </c>
      <c r="J34" s="116">
        <f t="shared" si="31"/>
        <v>0.56590002341857804</v>
      </c>
      <c r="K34" s="116">
        <f t="shared" si="31"/>
        <v>0.54744335535763056</v>
      </c>
      <c r="L34" s="128">
        <f t="shared" si="31"/>
        <v>0.55243547715887176</v>
      </c>
      <c r="M34" s="196">
        <f t="shared" si="29"/>
        <v>0.60500264173096574</v>
      </c>
      <c r="N34" s="191"/>
      <c r="P34" s="166"/>
    </row>
    <row r="35" spans="1:16" x14ac:dyDescent="0.25">
      <c r="A35" s="76" t="str">
        <f t="shared" si="27"/>
        <v>Selling, General, Admin (SGA)</v>
      </c>
      <c r="B35" s="94">
        <f t="shared" ref="B35:L35" si="32">ABS(B6/B$3)</f>
        <v>0.36919218995591602</v>
      </c>
      <c r="C35" s="94">
        <f t="shared" si="32"/>
        <v>0.37083626721863094</v>
      </c>
      <c r="D35" s="94">
        <f t="shared" si="32"/>
        <v>0.36791431061978064</v>
      </c>
      <c r="E35" s="94">
        <f t="shared" si="32"/>
        <v>0.37086262543994752</v>
      </c>
      <c r="F35" s="94">
        <f t="shared" si="32"/>
        <v>0.37140085254294819</v>
      </c>
      <c r="G35" s="94">
        <f t="shared" si="32"/>
        <v>0.37101526107914573</v>
      </c>
      <c r="H35" s="94">
        <f t="shared" si="32"/>
        <v>0.37608437310990933</v>
      </c>
      <c r="I35" s="94">
        <f t="shared" si="32"/>
        <v>0.36885619168658584</v>
      </c>
      <c r="J35" s="94">
        <f t="shared" si="32"/>
        <v>0.37335772001721579</v>
      </c>
      <c r="K35" s="94">
        <f t="shared" si="32"/>
        <v>0.36876893198923666</v>
      </c>
      <c r="L35" s="118">
        <f t="shared" si="32"/>
        <v>0.3729777072610771</v>
      </c>
      <c r="M35" s="197">
        <f t="shared" si="29"/>
        <v>0.37834885821074365</v>
      </c>
      <c r="N35" s="192"/>
      <c r="P35" s="166"/>
    </row>
    <row r="36" spans="1:16" x14ac:dyDescent="0.25">
      <c r="A36" s="77" t="str">
        <f t="shared" si="27"/>
        <v>Commissions Expense</v>
      </c>
      <c r="B36" s="128">
        <f t="shared" ref="B36:L36" si="33">ABS(B7/B$3)</f>
        <v>4.3977601964507007E-2</v>
      </c>
      <c r="C36" s="128">
        <f t="shared" si="33"/>
        <v>4.4015002621324059E-2</v>
      </c>
      <c r="D36" s="128">
        <f t="shared" si="33"/>
        <v>4.6427509948343472E-2</v>
      </c>
      <c r="E36" s="128">
        <f t="shared" si="33"/>
        <v>4.4467137058012689E-2</v>
      </c>
      <c r="F36" s="128">
        <f t="shared" si="33"/>
        <v>4.4188688771025088E-2</v>
      </c>
      <c r="G36" s="128">
        <f t="shared" si="33"/>
        <v>4.4409260395336943E-2</v>
      </c>
      <c r="H36" s="128">
        <f t="shared" si="33"/>
        <v>4.5631706906246662E-2</v>
      </c>
      <c r="I36" s="128">
        <f t="shared" si="33"/>
        <v>4.6280424156360425E-2</v>
      </c>
      <c r="J36" s="128">
        <f t="shared" si="33"/>
        <v>4.5109754572798026E-2</v>
      </c>
      <c r="K36" s="128">
        <f t="shared" si="33"/>
        <v>4.4971508027906393E-2</v>
      </c>
      <c r="L36" s="128">
        <f t="shared" si="33"/>
        <v>4.4722215056631043E-2</v>
      </c>
      <c r="M36" s="196">
        <f t="shared" si="29"/>
        <v>4.6041225901978393E-2</v>
      </c>
      <c r="N36" s="160"/>
      <c r="P36" s="166"/>
    </row>
    <row r="37" spans="1:16" x14ac:dyDescent="0.25">
      <c r="A37" s="77" t="str">
        <f t="shared" si="27"/>
        <v>Payroll Expense</v>
      </c>
      <c r="B37" s="128">
        <f t="shared" ref="B37:L37" si="34">ABS(B8/B$3)</f>
        <v>0.11142916267335569</v>
      </c>
      <c r="C37" s="128">
        <f t="shared" si="34"/>
        <v>0.11333605277157667</v>
      </c>
      <c r="D37" s="128">
        <f t="shared" si="34"/>
        <v>0.11046943827649716</v>
      </c>
      <c r="E37" s="128">
        <f t="shared" si="34"/>
        <v>0.112802366810899</v>
      </c>
      <c r="F37" s="128">
        <f t="shared" si="34"/>
        <v>0.11155379015938434</v>
      </c>
      <c r="G37" s="128">
        <f t="shared" si="34"/>
        <v>0.11358522443934428</v>
      </c>
      <c r="H37" s="128">
        <f t="shared" si="34"/>
        <v>0.11554797537318549</v>
      </c>
      <c r="I37" s="128">
        <f t="shared" si="34"/>
        <v>0.1096822955441531</v>
      </c>
      <c r="J37" s="128">
        <f t="shared" si="34"/>
        <v>0.11470853870375083</v>
      </c>
      <c r="K37" s="128">
        <f t="shared" si="34"/>
        <v>0.11233737630762702</v>
      </c>
      <c r="L37" s="128">
        <f t="shared" si="34"/>
        <v>0.11232887666039337</v>
      </c>
      <c r="M37" s="196">
        <f t="shared" si="29"/>
        <v>0.11763068031130613</v>
      </c>
      <c r="N37" s="160"/>
      <c r="P37" s="166"/>
    </row>
    <row r="38" spans="1:16" x14ac:dyDescent="0.25">
      <c r="A38" s="77" t="str">
        <f t="shared" si="27"/>
        <v>Travel &amp; Entertainment Expense</v>
      </c>
      <c r="B38" s="128">
        <f t="shared" ref="B38:L38" si="35">ABS(B9/B$3)</f>
        <v>1.1091770454536565E-2</v>
      </c>
      <c r="C38" s="128">
        <f t="shared" si="35"/>
        <v>1.148499344909888E-2</v>
      </c>
      <c r="D38" s="128">
        <f t="shared" si="35"/>
        <v>1.1217651778480097E-2</v>
      </c>
      <c r="E38" s="128">
        <f t="shared" si="35"/>
        <v>1.1013229673862472E-2</v>
      </c>
      <c r="F38" s="128">
        <f t="shared" si="35"/>
        <v>1.1047778699880696E-2</v>
      </c>
      <c r="G38" s="128">
        <f t="shared" si="35"/>
        <v>1.0998017510430219E-2</v>
      </c>
      <c r="H38" s="128">
        <f t="shared" si="35"/>
        <v>1.138661374986431E-2</v>
      </c>
      <c r="I38" s="128">
        <f t="shared" si="35"/>
        <v>1.1231797287529457E-2</v>
      </c>
      <c r="J38" s="128">
        <f t="shared" si="35"/>
        <v>1.1407705094753119E-2</v>
      </c>
      <c r="K38" s="128">
        <f t="shared" si="35"/>
        <v>1.1513383595838551E-2</v>
      </c>
      <c r="L38" s="128">
        <f t="shared" si="35"/>
        <v>1.16138983607079E-2</v>
      </c>
      <c r="M38" s="196">
        <f t="shared" si="29"/>
        <v>1.1616584529311759E-2</v>
      </c>
      <c r="N38" s="160"/>
      <c r="P38" s="166"/>
    </row>
    <row r="39" spans="1:16" x14ac:dyDescent="0.25">
      <c r="A39" s="77" t="str">
        <f t="shared" si="27"/>
        <v>R&amp;D Expense</v>
      </c>
      <c r="B39" s="128">
        <f t="shared" ref="B39:L39" si="36">ABS(B10/B$3)</f>
        <v>4.4572536699261804E-2</v>
      </c>
      <c r="C39" s="128">
        <f t="shared" si="36"/>
        <v>4.4510743742166209E-2</v>
      </c>
      <c r="D39" s="128">
        <f t="shared" si="36"/>
        <v>4.4004105257133455E-2</v>
      </c>
      <c r="E39" s="128">
        <f t="shared" si="36"/>
        <v>4.4764195196848648E-2</v>
      </c>
      <c r="F39" s="128">
        <f t="shared" si="36"/>
        <v>4.5503261662930346E-2</v>
      </c>
      <c r="G39" s="128">
        <f t="shared" si="36"/>
        <v>4.4341561477530086E-2</v>
      </c>
      <c r="H39" s="128">
        <f t="shared" si="36"/>
        <v>4.5453614222166774E-2</v>
      </c>
      <c r="I39" s="128">
        <f t="shared" si="36"/>
        <v>4.5787191461223654E-2</v>
      </c>
      <c r="J39" s="128">
        <f t="shared" si="36"/>
        <v>4.5084830592033588E-2</v>
      </c>
      <c r="K39" s="128">
        <f t="shared" si="36"/>
        <v>4.5848894417535042E-2</v>
      </c>
      <c r="L39" s="128">
        <f t="shared" si="36"/>
        <v>4.4921321835735877E-2</v>
      </c>
      <c r="M39" s="196">
        <f t="shared" si="29"/>
        <v>4.520567856778869E-2</v>
      </c>
      <c r="N39" s="160"/>
      <c r="P39" s="166"/>
    </row>
    <row r="40" spans="1:16" x14ac:dyDescent="0.25">
      <c r="A40" s="77" t="str">
        <f t="shared" si="27"/>
        <v>Consulting Expense</v>
      </c>
      <c r="B40" s="128">
        <f t="shared" ref="B40:L40" si="37">ABS(B11/B$3)</f>
        <v>5.6032883279637118E-2</v>
      </c>
      <c r="C40" s="128">
        <f t="shared" si="37"/>
        <v>5.7661333073966516E-2</v>
      </c>
      <c r="D40" s="128">
        <f t="shared" si="37"/>
        <v>5.6284806454465826E-2</v>
      </c>
      <c r="E40" s="128">
        <f t="shared" si="37"/>
        <v>5.5389018147661367E-2</v>
      </c>
      <c r="F40" s="128">
        <f t="shared" si="37"/>
        <v>5.6963377977122059E-2</v>
      </c>
      <c r="G40" s="128">
        <f t="shared" si="37"/>
        <v>5.915308750005957E-2</v>
      </c>
      <c r="H40" s="128">
        <f t="shared" si="37"/>
        <v>5.8521052105158754E-2</v>
      </c>
      <c r="I40" s="128">
        <f t="shared" si="37"/>
        <v>5.5537909697279619E-2</v>
      </c>
      <c r="J40" s="128">
        <f t="shared" si="37"/>
        <v>5.5700247639399972E-2</v>
      </c>
      <c r="K40" s="128">
        <f t="shared" si="37"/>
        <v>5.4405212036507881E-2</v>
      </c>
      <c r="L40" s="128">
        <f t="shared" si="37"/>
        <v>5.5283925829635268E-2</v>
      </c>
      <c r="M40" s="196">
        <f t="shared" si="29"/>
        <v>5.6014630958357549E-2</v>
      </c>
      <c r="N40" s="160"/>
    </row>
    <row r="41" spans="1:16" x14ac:dyDescent="0.25">
      <c r="A41" s="77" t="str">
        <f t="shared" si="27"/>
        <v>Software/Hardware Expense</v>
      </c>
      <c r="B41" s="128">
        <f t="shared" ref="B41:L41" si="38">ABS(B12/B$3)</f>
        <v>7.9882050523507303E-2</v>
      </c>
      <c r="C41" s="128">
        <f t="shared" si="38"/>
        <v>7.7775233522741891E-2</v>
      </c>
      <c r="D41" s="128">
        <f t="shared" si="38"/>
        <v>7.6738166673830016E-2</v>
      </c>
      <c r="E41" s="128">
        <f t="shared" si="38"/>
        <v>7.9792541462726574E-2</v>
      </c>
      <c r="F41" s="128">
        <f t="shared" si="38"/>
        <v>7.9767104794482735E-2</v>
      </c>
      <c r="G41" s="128">
        <f t="shared" si="38"/>
        <v>7.5768647632211861E-2</v>
      </c>
      <c r="H41" s="128">
        <f t="shared" si="38"/>
        <v>7.7261792214471159E-2</v>
      </c>
      <c r="I41" s="128">
        <f t="shared" si="38"/>
        <v>7.8277762573711468E-2</v>
      </c>
      <c r="J41" s="128">
        <f t="shared" si="38"/>
        <v>7.9313628147409845E-2</v>
      </c>
      <c r="K41" s="128">
        <f t="shared" si="38"/>
        <v>7.6597002443752574E-2</v>
      </c>
      <c r="L41" s="128">
        <f t="shared" si="38"/>
        <v>8.151601884489644E-2</v>
      </c>
      <c r="M41" s="196">
        <f t="shared" si="29"/>
        <v>7.9234094637867708E-2</v>
      </c>
      <c r="N41" s="160"/>
    </row>
    <row r="42" spans="1:16" x14ac:dyDescent="0.25">
      <c r="A42" s="78" t="str">
        <f t="shared" si="27"/>
        <v>Marketing Expense</v>
      </c>
      <c r="B42" s="126">
        <f t="shared" ref="B42:L42" si="39">ABS(B13/B$3)</f>
        <v>2.2206184361110541E-2</v>
      </c>
      <c r="C42" s="126">
        <f t="shared" si="39"/>
        <v>2.2052908037756721E-2</v>
      </c>
      <c r="D42" s="126">
        <f t="shared" si="39"/>
        <v>2.2772632231030602E-2</v>
      </c>
      <c r="E42" s="126">
        <f t="shared" si="39"/>
        <v>2.2634137089936793E-2</v>
      </c>
      <c r="F42" s="126">
        <f t="shared" si="39"/>
        <v>2.2376850478122906E-2</v>
      </c>
      <c r="G42" s="126">
        <f t="shared" si="39"/>
        <v>2.2759462124232792E-2</v>
      </c>
      <c r="H42" s="126">
        <f t="shared" si="39"/>
        <v>2.2281618538816213E-2</v>
      </c>
      <c r="I42" s="126">
        <f t="shared" si="39"/>
        <v>2.2058810966328096E-2</v>
      </c>
      <c r="J42" s="126">
        <f t="shared" si="39"/>
        <v>2.2033015267070424E-2</v>
      </c>
      <c r="K42" s="126">
        <f t="shared" si="39"/>
        <v>2.3095555160069205E-2</v>
      </c>
      <c r="L42" s="126">
        <f t="shared" si="39"/>
        <v>2.2591450673077187E-2</v>
      </c>
      <c r="M42" s="195">
        <f t="shared" si="29"/>
        <v>2.2605963304133423E-2</v>
      </c>
      <c r="N42" s="160"/>
    </row>
    <row r="43" spans="1:16" x14ac:dyDescent="0.25">
      <c r="A43" s="37" t="str">
        <f t="shared" si="27"/>
        <v>Income before Depr. &amp; Amort. (EBITDA)</v>
      </c>
      <c r="B43" s="94">
        <f t="shared" ref="B43:L43" si="40">ABS(B14/B$3)</f>
        <v>0.17227123023779986</v>
      </c>
      <c r="C43" s="94">
        <f t="shared" si="40"/>
        <v>0.18343147492568701</v>
      </c>
      <c r="D43" s="94">
        <f t="shared" si="40"/>
        <v>0.1597825855031017</v>
      </c>
      <c r="E43" s="94">
        <f t="shared" si="40"/>
        <v>0.18647742236595302</v>
      </c>
      <c r="F43" s="94">
        <f t="shared" si="40"/>
        <v>0.18103088276602947</v>
      </c>
      <c r="G43" s="94">
        <f t="shared" si="40"/>
        <v>0.17688890436631555</v>
      </c>
      <c r="H43" s="94">
        <f t="shared" si="40"/>
        <v>0.16652483425290976</v>
      </c>
      <c r="I43" s="94">
        <f t="shared" si="40"/>
        <v>0.19326483584723814</v>
      </c>
      <c r="J43" s="94">
        <f t="shared" si="40"/>
        <v>0.19254230340136216</v>
      </c>
      <c r="K43" s="94">
        <f t="shared" si="40"/>
        <v>0.1786744233683939</v>
      </c>
      <c r="L43" s="118">
        <f t="shared" si="40"/>
        <v>0.17945776989779463</v>
      </c>
      <c r="M43" s="197">
        <f t="shared" si="29"/>
        <v>0.22665378352022203</v>
      </c>
      <c r="N43" s="192"/>
    </row>
    <row r="44" spans="1:16" x14ac:dyDescent="0.25">
      <c r="A44" s="82" t="str">
        <f t="shared" si="27"/>
        <v>less Depr. &amp; Amort. (DA)</v>
      </c>
      <c r="B44" s="114">
        <f t="shared" ref="B44:L44" si="41">ABS(B15/B$3)</f>
        <v>9.3627039698561277E-3</v>
      </c>
      <c r="C44" s="114">
        <f t="shared" si="41"/>
        <v>9.9494913114069484E-3</v>
      </c>
      <c r="D44" s="114">
        <f t="shared" si="41"/>
        <v>1.054919603055564E-2</v>
      </c>
      <c r="E44" s="114">
        <f t="shared" si="41"/>
        <v>1.0329259649751737E-2</v>
      </c>
      <c r="F44" s="114">
        <f t="shared" si="41"/>
        <v>9.2398568952476081E-3</v>
      </c>
      <c r="G44" s="114">
        <f t="shared" si="41"/>
        <v>9.3117043630033345E-3</v>
      </c>
      <c r="H44" s="114">
        <f t="shared" si="41"/>
        <v>1.022098025974739E-2</v>
      </c>
      <c r="I44" s="114">
        <f t="shared" si="41"/>
        <v>9.7672301552615831E-3</v>
      </c>
      <c r="J44" s="114">
        <f t="shared" si="41"/>
        <v>1.1590613967177634E-2</v>
      </c>
      <c r="K44" s="114">
        <f t="shared" si="41"/>
        <v>1.0459354981860786E-2</v>
      </c>
      <c r="L44" s="114">
        <f t="shared" si="41"/>
        <v>9.6754157614195053E-3</v>
      </c>
      <c r="M44" s="198">
        <f t="shared" si="29"/>
        <v>1.0137851580911969E-2</v>
      </c>
      <c r="N44" s="191"/>
    </row>
    <row r="45" spans="1:16" x14ac:dyDescent="0.25">
      <c r="A45" s="75" t="str">
        <f t="shared" si="27"/>
        <v>Operating Profit</v>
      </c>
      <c r="B45" s="116">
        <f t="shared" ref="B45:L45" si="42">ABS(B16/B$3)</f>
        <v>0.16290852626794372</v>
      </c>
      <c r="C45" s="116">
        <f t="shared" si="42"/>
        <v>0.17348198361428005</v>
      </c>
      <c r="D45" s="116">
        <f t="shared" si="42"/>
        <v>0.14923338947254605</v>
      </c>
      <c r="E45" s="116">
        <f t="shared" si="42"/>
        <v>0.17614816271620126</v>
      </c>
      <c r="F45" s="116">
        <f t="shared" si="42"/>
        <v>0.17179102587078185</v>
      </c>
      <c r="G45" s="116">
        <f t="shared" si="42"/>
        <v>0.16757720000331219</v>
      </c>
      <c r="H45" s="116">
        <f t="shared" si="42"/>
        <v>0.15630385399316235</v>
      </c>
      <c r="I45" s="116">
        <f t="shared" si="42"/>
        <v>0.18349760569197654</v>
      </c>
      <c r="J45" s="116">
        <f t="shared" si="42"/>
        <v>0.18095168943418452</v>
      </c>
      <c r="K45" s="116">
        <f t="shared" si="42"/>
        <v>0.16821506838653311</v>
      </c>
      <c r="L45" s="128">
        <f t="shared" si="42"/>
        <v>0.1697823541363751</v>
      </c>
      <c r="M45" s="196">
        <f t="shared" si="29"/>
        <v>0.21651593193931004</v>
      </c>
      <c r="N45" s="160"/>
    </row>
    <row r="46" spans="1:16" x14ac:dyDescent="0.25">
      <c r="A46" s="37" t="str">
        <f t="shared" si="27"/>
        <v>Interest Expense</v>
      </c>
      <c r="B46" s="118">
        <f t="shared" ref="B46:L46" si="43">ABS(B17/B$3)</f>
        <v>1.1812745920602876E-2</v>
      </c>
      <c r="C46" s="118">
        <f t="shared" si="43"/>
        <v>1.215510472138431E-2</v>
      </c>
      <c r="D46" s="118">
        <f t="shared" si="43"/>
        <v>1.2465784754813065E-2</v>
      </c>
      <c r="E46" s="118">
        <f t="shared" si="43"/>
        <v>1.179271972140979E-2</v>
      </c>
      <c r="F46" s="118">
        <f t="shared" si="43"/>
        <v>1.0179374994626589E-2</v>
      </c>
      <c r="G46" s="118">
        <f t="shared" si="43"/>
        <v>9.8860598118671872E-3</v>
      </c>
      <c r="H46" s="118">
        <f t="shared" si="43"/>
        <v>1.0442581565514772E-2</v>
      </c>
      <c r="I46" s="118">
        <f t="shared" si="43"/>
        <v>9.5883044884701851E-3</v>
      </c>
      <c r="J46" s="118">
        <f t="shared" si="43"/>
        <v>1.0914661215171387E-2</v>
      </c>
      <c r="K46" s="118">
        <f t="shared" si="43"/>
        <v>9.4310018975833666E-3</v>
      </c>
      <c r="L46" s="118">
        <f t="shared" si="43"/>
        <v>8.3371221490477296E-3</v>
      </c>
      <c r="M46" s="197">
        <f t="shared" si="29"/>
        <v>8.3300802557180892E-3</v>
      </c>
      <c r="N46" s="160"/>
    </row>
    <row r="47" spans="1:16" x14ac:dyDescent="0.25">
      <c r="A47" s="37" t="str">
        <f t="shared" si="27"/>
        <v>Nonoperating Income (Expense)</v>
      </c>
      <c r="B47" s="118">
        <f t="shared" ref="B47:L47" si="44">ABS(B18/B$3)</f>
        <v>0</v>
      </c>
      <c r="C47" s="118">
        <f t="shared" si="44"/>
        <v>0</v>
      </c>
      <c r="D47" s="118">
        <f t="shared" si="44"/>
        <v>0</v>
      </c>
      <c r="E47" s="118">
        <f t="shared" si="44"/>
        <v>0</v>
      </c>
      <c r="F47" s="118">
        <f t="shared" si="44"/>
        <v>0</v>
      </c>
      <c r="G47" s="118">
        <f t="shared" si="44"/>
        <v>0</v>
      </c>
      <c r="H47" s="118">
        <f t="shared" si="44"/>
        <v>0</v>
      </c>
      <c r="I47" s="118">
        <f t="shared" si="44"/>
        <v>0</v>
      </c>
      <c r="J47" s="118">
        <f t="shared" si="44"/>
        <v>0</v>
      </c>
      <c r="K47" s="118">
        <f t="shared" si="44"/>
        <v>0</v>
      </c>
      <c r="L47" s="118">
        <f t="shared" si="44"/>
        <v>0</v>
      </c>
      <c r="M47" s="197">
        <f t="shared" si="29"/>
        <v>0</v>
      </c>
      <c r="N47" s="160"/>
    </row>
    <row r="48" spans="1:16" x14ac:dyDescent="0.25">
      <c r="A48" s="79" t="str">
        <f t="shared" si="27"/>
        <v>Special Items</v>
      </c>
      <c r="B48" s="114">
        <f t="shared" ref="B48:L48" si="45">ABS(B19/B$3)</f>
        <v>0</v>
      </c>
      <c r="C48" s="114">
        <f t="shared" si="45"/>
        <v>0</v>
      </c>
      <c r="D48" s="114">
        <f t="shared" si="45"/>
        <v>0</v>
      </c>
      <c r="E48" s="114">
        <f t="shared" si="45"/>
        <v>0</v>
      </c>
      <c r="F48" s="114">
        <f t="shared" si="45"/>
        <v>0</v>
      </c>
      <c r="G48" s="114">
        <f t="shared" si="45"/>
        <v>0</v>
      </c>
      <c r="H48" s="114">
        <f t="shared" si="45"/>
        <v>0</v>
      </c>
      <c r="I48" s="114">
        <f t="shared" si="45"/>
        <v>0</v>
      </c>
      <c r="J48" s="114">
        <f t="shared" si="45"/>
        <v>0</v>
      </c>
      <c r="K48" s="114">
        <f t="shared" si="45"/>
        <v>0</v>
      </c>
      <c r="L48" s="114">
        <f t="shared" si="45"/>
        <v>0</v>
      </c>
      <c r="M48" s="198">
        <f t="shared" si="29"/>
        <v>0</v>
      </c>
      <c r="N48" s="160"/>
    </row>
    <row r="49" spans="1:14" x14ac:dyDescent="0.25">
      <c r="A49" s="37" t="str">
        <f t="shared" si="27"/>
        <v>Income before Taxes (EBT)</v>
      </c>
      <c r="B49" s="118">
        <f t="shared" ref="B49:L49" si="46">ABS(B20/B$3)</f>
        <v>0.15109578034734084</v>
      </c>
      <c r="C49" s="118">
        <f t="shared" si="46"/>
        <v>0.16132687889289576</v>
      </c>
      <c r="D49" s="118">
        <f t="shared" si="46"/>
        <v>0.136767604717733</v>
      </c>
      <c r="E49" s="118">
        <f t="shared" si="46"/>
        <v>0.16435544299479149</v>
      </c>
      <c r="F49" s="118">
        <f t="shared" si="46"/>
        <v>0.16161165087615526</v>
      </c>
      <c r="G49" s="118">
        <f t="shared" si="46"/>
        <v>0.15769114019144501</v>
      </c>
      <c r="H49" s="118">
        <f t="shared" si="46"/>
        <v>0.14586127242764757</v>
      </c>
      <c r="I49" s="118">
        <f t="shared" si="46"/>
        <v>0.17390930120350637</v>
      </c>
      <c r="J49" s="118">
        <f t="shared" si="46"/>
        <v>0.17003702821901315</v>
      </c>
      <c r="K49" s="118">
        <f t="shared" si="46"/>
        <v>0.15878406648894972</v>
      </c>
      <c r="L49" s="118">
        <f t="shared" si="46"/>
        <v>0.16144523198732738</v>
      </c>
      <c r="M49" s="197">
        <f t="shared" si="29"/>
        <v>0.20818585168359197</v>
      </c>
      <c r="N49" s="160"/>
    </row>
    <row r="50" spans="1:14" x14ac:dyDescent="0.25">
      <c r="A50" s="37" t="str">
        <f t="shared" si="27"/>
        <v xml:space="preserve">  less Income Taxes</v>
      </c>
      <c r="B50" s="118">
        <f t="shared" ref="B50:B51" si="47">ABS(B21/B$3)</f>
        <v>4.0795860693782028E-2</v>
      </c>
      <c r="C50" s="118">
        <f t="shared" ref="C50:M50" si="48">ABS(C21/C$3)</f>
        <v>4.3558257301081857E-2</v>
      </c>
      <c r="D50" s="118">
        <f t="shared" si="48"/>
        <v>3.6927253273787909E-2</v>
      </c>
      <c r="E50" s="118">
        <f t="shared" si="48"/>
        <v>4.4375969608593704E-2</v>
      </c>
      <c r="F50" s="118">
        <f t="shared" si="48"/>
        <v>4.3635145736561916E-2</v>
      </c>
      <c r="G50" s="118">
        <f t="shared" si="48"/>
        <v>4.2576607851690151E-2</v>
      </c>
      <c r="H50" s="118">
        <f t="shared" si="48"/>
        <v>3.9382543555464854E-2</v>
      </c>
      <c r="I50" s="118">
        <f t="shared" si="48"/>
        <v>4.6955511324946721E-2</v>
      </c>
      <c r="J50" s="118">
        <f t="shared" si="48"/>
        <v>4.5909997619133551E-2</v>
      </c>
      <c r="K50" s="118">
        <f t="shared" si="48"/>
        <v>4.2871697952016424E-2</v>
      </c>
      <c r="L50" s="118">
        <f t="shared" si="48"/>
        <v>4.359021263657839E-2</v>
      </c>
      <c r="M50" s="197">
        <f t="shared" si="48"/>
        <v>5.6210179954569839E-2</v>
      </c>
      <c r="N50" s="191"/>
    </row>
    <row r="51" spans="1:14" x14ac:dyDescent="0.25">
      <c r="A51" s="78" t="s">
        <v>84</v>
      </c>
      <c r="B51" s="114">
        <f t="shared" si="47"/>
        <v>9.3627039698561277E-3</v>
      </c>
      <c r="C51" s="114">
        <f t="shared" ref="C51:M51" si="49">ABS(C22/C$3)</f>
        <v>9.9494913114069484E-3</v>
      </c>
      <c r="D51" s="114">
        <f t="shared" si="49"/>
        <v>1.054919603055564E-2</v>
      </c>
      <c r="E51" s="114">
        <f t="shared" si="49"/>
        <v>1.0329259649751737E-2</v>
      </c>
      <c r="F51" s="114">
        <f t="shared" si="49"/>
        <v>9.2398568952476081E-3</v>
      </c>
      <c r="G51" s="114">
        <f t="shared" si="49"/>
        <v>9.3117043630033345E-3</v>
      </c>
      <c r="H51" s="114">
        <f t="shared" si="49"/>
        <v>1.022098025974739E-2</v>
      </c>
      <c r="I51" s="114">
        <f t="shared" si="49"/>
        <v>9.7672301552615831E-3</v>
      </c>
      <c r="J51" s="114">
        <f t="shared" si="49"/>
        <v>1.1590613967177634E-2</v>
      </c>
      <c r="K51" s="114">
        <f t="shared" si="49"/>
        <v>1.0459354981860786E-2</v>
      </c>
      <c r="L51" s="114">
        <f t="shared" si="49"/>
        <v>9.6754157614195053E-3</v>
      </c>
      <c r="M51" s="198">
        <f t="shared" si="49"/>
        <v>1.0137851580911969E-2</v>
      </c>
      <c r="N51" s="191"/>
    </row>
    <row r="52" spans="1:14" ht="14.4" thickBot="1" x14ac:dyDescent="0.3">
      <c r="A52" s="81" t="str">
        <f t="shared" ref="A52" si="50">A23</f>
        <v>Net Income</v>
      </c>
      <c r="B52" s="122">
        <f>SUM(B49:B50)</f>
        <v>0.19189164104112286</v>
      </c>
      <c r="C52" s="122">
        <f t="shared" ref="C52:L52" si="51">SUM(C49:C50)</f>
        <v>0.20488513619397763</v>
      </c>
      <c r="D52" s="122">
        <f t="shared" si="51"/>
        <v>0.1736948579915209</v>
      </c>
      <c r="E52" s="122">
        <f t="shared" si="51"/>
        <v>0.20873141260338518</v>
      </c>
      <c r="F52" s="122">
        <f t="shared" si="51"/>
        <v>0.20524679661271716</v>
      </c>
      <c r="G52" s="122">
        <f t="shared" si="51"/>
        <v>0.20026774804313516</v>
      </c>
      <c r="H52" s="122">
        <f t="shared" si="51"/>
        <v>0.18524381598311243</v>
      </c>
      <c r="I52" s="122">
        <f t="shared" si="51"/>
        <v>0.22086481252845308</v>
      </c>
      <c r="J52" s="122">
        <f t="shared" si="51"/>
        <v>0.21594702583814671</v>
      </c>
      <c r="K52" s="122">
        <f t="shared" si="51"/>
        <v>0.20165576444096614</v>
      </c>
      <c r="L52" s="122">
        <f t="shared" si="51"/>
        <v>0.20503544462390577</v>
      </c>
      <c r="M52" s="199">
        <f t="shared" ref="M52" si="52">ABS(M23/M$3)</f>
        <v>0.15197567172902213</v>
      </c>
      <c r="N52" s="193"/>
    </row>
  </sheetData>
  <scenarios current="0" show="0">
    <scenario name="2023 Good" locked="1" count="2" user="kevin robinson" comment="Created by kevin robinson on 9/1/2025_x000a_Modified by kevin robinson on 9/1/2025">
      <inputCells r="M3" val="1250000000"/>
      <inputCells r="M4" val="-350804440"/>
    </scenario>
    <scenario name="2023 Base" locked="1" count="1" user="kevin robinson" comment="Created by kevin robinson on 9/1/2025">
      <inputCells r="M3" val="968786763"/>
    </scenario>
    <scenario name="2023 Worst" locked="1" count="1" user="kevin robinson" comment="Created by kevin robinson on 9/1/2025_x000a_Modified by kevin robinson on 9/1/2025">
      <inputCells r="M3" val="750000000"/>
    </scenario>
  </scenarios>
  <mergeCells count="4">
    <mergeCell ref="Q6:U6"/>
    <mergeCell ref="A25:L25"/>
    <mergeCell ref="A31:M31"/>
    <mergeCell ref="N3:O7"/>
  </mergeCells>
  <conditionalFormatting sqref="C1:L1">
    <cfRule type="cellIs" dxfId="2" priority="1" operator="lessThan">
      <formula>-0.065</formula>
    </cfRule>
  </conditionalFormatting>
  <dataValidations count="2">
    <dataValidation type="list" allowBlank="1" showInputMessage="1" showErrorMessage="1" sqref="Q3" xr:uid="{8184F887-C244-43D0-A7F5-4EAB72B1E573}">
      <formula1>".035,.04,.045,.0475,.05,.0525,.05675,.06,.625,.0675,.07"</formula1>
    </dataValidation>
    <dataValidation type="list" allowBlank="1" showInputMessage="1" showErrorMessage="1" sqref="N1" xr:uid="{5E5434B7-EAF3-4E58-BEF3-B7284670B22E}">
      <formula1>"Budget,Forecast"</formula1>
    </dataValidation>
  </dataValidations>
  <pageMargins left="0.7" right="0.7" top="0.75" bottom="0.75" header="0.3" footer="0.3"/>
  <legacyDrawing r:id="rId1"/>
  <extLst>
    <ext xmlns:x14="http://schemas.microsoft.com/office/spreadsheetml/2009/9/main" uri="{05C60535-1F16-4fd2-B633-F4F36F0B64E0}">
      <x14:sparklineGroups xmlns:xm="http://schemas.microsoft.com/office/excel/2006/main">
        <x14:sparklineGroup displayEmptyCellsAs="span" xr2:uid="{7ACD0D1C-5CB6-43F4-AF7F-D239DE2C408B}">
          <x14:colorSeries rgb="FF376092"/>
          <x14:colorNegative rgb="FFD00000"/>
          <x14:colorAxis rgb="FF000000"/>
          <x14:colorMarkers rgb="FFD00000"/>
          <x14:colorFirst rgb="FFD00000"/>
          <x14:colorLast rgb="FFD00000"/>
          <x14:colorHigh rgb="FFD00000"/>
          <x14:colorLow rgb="FFD00000"/>
          <x14:sparklines>
            <x14:sparkline>
              <xm:f>'Software Pro-Forma'!B32:M32</xm:f>
              <xm:sqref>N32</xm:sqref>
            </x14:sparkline>
            <x14:sparkline>
              <xm:f>'Software Pro-Forma'!B33:M33</xm:f>
              <xm:sqref>N33</xm:sqref>
            </x14:sparkline>
            <x14:sparkline>
              <xm:f>'Software Pro-Forma'!B34:M34</xm:f>
              <xm:sqref>N34</xm:sqref>
            </x14:sparkline>
            <x14:sparkline>
              <xm:f>'Software Pro-Forma'!B35:M35</xm:f>
              <xm:sqref>N35</xm:sqref>
            </x14:sparkline>
            <x14:sparkline>
              <xm:f>'Software Pro-Forma'!B36:M36</xm:f>
              <xm:sqref>N36</xm:sqref>
            </x14:sparkline>
            <x14:sparkline>
              <xm:f>'Software Pro-Forma'!B37:M37</xm:f>
              <xm:sqref>N37</xm:sqref>
            </x14:sparkline>
            <x14:sparkline>
              <xm:f>'Software Pro-Forma'!B38:M38</xm:f>
              <xm:sqref>N38</xm:sqref>
            </x14:sparkline>
            <x14:sparkline>
              <xm:f>'Software Pro-Forma'!B39:M39</xm:f>
              <xm:sqref>N39</xm:sqref>
            </x14:sparkline>
            <x14:sparkline>
              <xm:f>'Software Pro-Forma'!B40:M40</xm:f>
              <xm:sqref>N40</xm:sqref>
            </x14:sparkline>
            <x14:sparkline>
              <xm:f>'Software Pro-Forma'!B41:M41</xm:f>
              <xm:sqref>N41</xm:sqref>
            </x14:sparkline>
            <x14:sparkline>
              <xm:f>'Software Pro-Forma'!B42:M42</xm:f>
              <xm:sqref>N42</xm:sqref>
            </x14:sparkline>
            <x14:sparkline>
              <xm:f>'Software Pro-Forma'!B43:M43</xm:f>
              <xm:sqref>N43</xm:sqref>
            </x14:sparkline>
            <x14:sparkline>
              <xm:f>'Software Pro-Forma'!B44:M44</xm:f>
              <xm:sqref>N44</xm:sqref>
            </x14:sparkline>
            <x14:sparkline>
              <xm:f>'Software Pro-Forma'!B45:M45</xm:f>
              <xm:sqref>N45</xm:sqref>
            </x14:sparkline>
            <x14:sparkline>
              <xm:f>'Software Pro-Forma'!B46:M46</xm:f>
              <xm:sqref>N46</xm:sqref>
            </x14:sparkline>
            <x14:sparkline>
              <xm:f>'Software Pro-Forma'!B47:M47</xm:f>
              <xm:sqref>N47</xm:sqref>
            </x14:sparkline>
            <x14:sparkline>
              <xm:f>'Software Pro-Forma'!B48:M48</xm:f>
              <xm:sqref>N48</xm:sqref>
            </x14:sparkline>
            <x14:sparkline>
              <xm:f>'Software Pro-Forma'!B49:M49</xm:f>
              <xm:sqref>N49</xm:sqref>
            </x14:sparkline>
            <x14:sparkline>
              <xm:f>'Software Pro-Forma'!B50:M50</xm:f>
              <xm:sqref>N50</xm:sqref>
            </x14:sparkline>
            <x14:sparkline>
              <xm:f>'Software Pro-Forma'!B51:M51</xm:f>
              <xm:sqref>N51</xm:sqref>
            </x14:sparkline>
            <x14:sparkline>
              <xm:f>'Software Pro-Forma'!B52:M52</xm:f>
              <xm:sqref>N52</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E926B-4830-4A0E-82A9-A3100F1FE60E}">
  <dimension ref="A1:U53"/>
  <sheetViews>
    <sheetView zoomScale="80" workbookViewId="0">
      <selection activeCell="B3" sqref="B3"/>
    </sheetView>
  </sheetViews>
  <sheetFormatPr defaultRowHeight="13.8" x14ac:dyDescent="0.25"/>
  <cols>
    <col min="1" max="1" width="36" style="1" bestFit="1" customWidth="1"/>
    <col min="2" max="2" width="15.77734375" style="1" bestFit="1" customWidth="1"/>
    <col min="3" max="12" width="14.21875" style="1" bestFit="1" customWidth="1"/>
    <col min="13" max="16" width="14.21875" style="1" customWidth="1"/>
    <col min="17" max="18" width="15.77734375" style="1" bestFit="1" customWidth="1"/>
    <col min="19" max="19" width="14.77734375" style="1" bestFit="1" customWidth="1"/>
    <col min="20" max="20" width="15.109375" style="1" bestFit="1" customWidth="1"/>
    <col min="21" max="21" width="15.21875" style="1" bestFit="1" customWidth="1"/>
    <col min="22" max="16384" width="8.88671875" style="1"/>
  </cols>
  <sheetData>
    <row r="1" spans="1:21" ht="21.6" thickBot="1" x14ac:dyDescent="0.3">
      <c r="A1" s="25" t="s">
        <v>37</v>
      </c>
      <c r="B1" s="34"/>
      <c r="C1" s="83">
        <f>(C3-B3)/B3</f>
        <v>-7.298453267045539E-2</v>
      </c>
      <c r="D1" s="84">
        <f t="shared" ref="D1:L1" si="0">(D3-C3)/C3</f>
        <v>-4.118852801226712E-2</v>
      </c>
      <c r="E1" s="84">
        <f t="shared" si="0"/>
        <v>2.6794703719277987E-2</v>
      </c>
      <c r="F1" s="84">
        <f t="shared" si="0"/>
        <v>7.8301752014960188E-2</v>
      </c>
      <c r="G1" s="84">
        <f t="shared" si="0"/>
        <v>3.3033309927113425E-2</v>
      </c>
      <c r="H1" s="84">
        <f t="shared" si="0"/>
        <v>-9.8121453696138547E-2</v>
      </c>
      <c r="I1" s="84">
        <f t="shared" si="0"/>
        <v>-7.7357437686072679E-3</v>
      </c>
      <c r="J1" s="84">
        <f t="shared" si="0"/>
        <v>-0.13148863780286782</v>
      </c>
      <c r="K1" s="84">
        <f t="shared" si="0"/>
        <v>0.13291196728745486</v>
      </c>
      <c r="L1" s="84">
        <f t="shared" si="0"/>
        <v>6.588499454498864E-2</v>
      </c>
      <c r="M1" s="150" t="s">
        <v>65</v>
      </c>
      <c r="N1" s="154" t="s">
        <v>25</v>
      </c>
      <c r="O1" s="34"/>
      <c r="P1" s="34"/>
    </row>
    <row r="2" spans="1:21" ht="14.4" thickBot="1" x14ac:dyDescent="0.3">
      <c r="A2" s="65" t="s">
        <v>27</v>
      </c>
      <c r="B2" s="39">
        <v>2012</v>
      </c>
      <c r="C2" s="39">
        <f>B2+1</f>
        <v>2013</v>
      </c>
      <c r="D2" s="39">
        <f t="shared" ref="D2:L2" si="1">C2+1</f>
        <v>2014</v>
      </c>
      <c r="E2" s="39">
        <f t="shared" si="1"/>
        <v>2015</v>
      </c>
      <c r="F2" s="39">
        <f t="shared" si="1"/>
        <v>2016</v>
      </c>
      <c r="G2" s="39">
        <f t="shared" si="1"/>
        <v>2017</v>
      </c>
      <c r="H2" s="39">
        <f t="shared" si="1"/>
        <v>2018</v>
      </c>
      <c r="I2" s="39">
        <f t="shared" si="1"/>
        <v>2019</v>
      </c>
      <c r="J2" s="39">
        <f t="shared" si="1"/>
        <v>2020</v>
      </c>
      <c r="K2" s="39">
        <f t="shared" si="1"/>
        <v>2021</v>
      </c>
      <c r="L2" s="153">
        <f t="shared" si="1"/>
        <v>2022</v>
      </c>
      <c r="M2" s="39">
        <f>L2+1</f>
        <v>2023</v>
      </c>
      <c r="N2" s="23"/>
      <c r="O2" s="23"/>
      <c r="P2" s="46" t="s">
        <v>54</v>
      </c>
      <c r="Q2" s="46" t="s">
        <v>55</v>
      </c>
      <c r="R2" s="45" t="s">
        <v>43</v>
      </c>
      <c r="S2" s="45" t="s">
        <v>49</v>
      </c>
    </row>
    <row r="3" spans="1:21" ht="14.4" thickBot="1" x14ac:dyDescent="0.3">
      <c r="A3" s="73" t="s">
        <v>15</v>
      </c>
      <c r="B3" s="40">
        <f>VLOOKUP(CONCATENATE(B$2," ",$A3),'Hardware All Line Items'!$A$1:$V$118,18,FALSE)</f>
        <v>343023652.19000006</v>
      </c>
      <c r="C3" s="40">
        <f>VLOOKUP(CONCATENATE(C$2," ",$A3),'Hardware All Line Items'!$A$1:$V$118,18,FALSE)</f>
        <v>317988231.24000007</v>
      </c>
      <c r="D3" s="40">
        <f>VLOOKUP(CONCATENATE(D$2," ",$A3),'Hardware All Line Items'!$A$1:$V$118,18,FALSE)</f>
        <v>304890764.07000005</v>
      </c>
      <c r="E3" s="40">
        <f>VLOOKUP(CONCATENATE(E$2," ",$A3),'Hardware All Line Items'!$A$1:$V$118,18,FALSE)</f>
        <v>313060221.75999999</v>
      </c>
      <c r="F3" s="40">
        <f>VLOOKUP(CONCATENATE(F$2," ",$A3),'Hardware All Line Items'!$A$1:$V$118,18,FALSE)</f>
        <v>337573385.60999995</v>
      </c>
      <c r="G3" s="40">
        <f>VLOOKUP(CONCATENATE(G$2," ",$A3),'Hardware All Line Items'!$A$1:$V$118,18,FALSE)</f>
        <v>348724551.88000005</v>
      </c>
      <c r="H3" s="40">
        <f>VLOOKUP(CONCATENATE(H$2," ",$A3),'Hardware All Line Items'!$A$1:$V$118,18,FALSE)</f>
        <v>314507191.90999997</v>
      </c>
      <c r="I3" s="40">
        <f>VLOOKUP(CONCATENATE(I$2," ",$A3),'Hardware All Line Items'!$A$1:$V$118,18,FALSE)</f>
        <v>312074244.86000001</v>
      </c>
      <c r="J3" s="40">
        <f>VLOOKUP(CONCATENATE(J$2," ",$A3),'Hardware All Line Items'!$A$1:$V$118,18,FALSE)</f>
        <v>271040027.50999999</v>
      </c>
      <c r="K3" s="40">
        <f>VLOOKUP(CONCATENATE(K$2," ",$A3),'Hardware All Line Items'!$A$1:$V$118,18,FALSE)</f>
        <v>307064490.77999997</v>
      </c>
      <c r="L3" s="40">
        <f>VLOOKUP(CONCATENATE(L$2," ",$A3),'Hardware All Line Items'!$A$1:$V$118,18,FALSE)</f>
        <v>327295433.07999998</v>
      </c>
      <c r="M3" s="66">
        <f>VLOOKUP(CONCATENATE($M$2," ",$N$1," ",$A3),'Hardware All Line Items'!$C$1:$V$118,16,FALSE)</f>
        <v>304719497.21999997</v>
      </c>
      <c r="N3" s="23"/>
      <c r="O3" s="23"/>
      <c r="P3" s="47">
        <v>0.27</v>
      </c>
      <c r="Q3" s="47">
        <v>0.06</v>
      </c>
      <c r="R3" s="62" cm="1">
        <f t="array" ref="R3">AVERAGE(($B$3:$L$3)*0.3)</f>
        <v>95379332.587909088</v>
      </c>
      <c r="S3" s="48">
        <f>AVERAGE((B3)*0.3-0)/30</f>
        <v>3430236.5219000005</v>
      </c>
    </row>
    <row r="4" spans="1:21" x14ac:dyDescent="0.25">
      <c r="A4" s="74" t="s">
        <v>34</v>
      </c>
      <c r="B4" s="41">
        <f>VLOOKUP(CONCATENATE(B$2," ",$A4),'Hardware All Line Items'!$A$1:$V$118,18,FALSE)</f>
        <v>-152751214</v>
      </c>
      <c r="C4" s="41">
        <f>VLOOKUP(CONCATENATE(C$2," ",$A4),'Hardware All Line Items'!$A$1:$V$118,18,FALSE)</f>
        <v>-145804952</v>
      </c>
      <c r="D4" s="41">
        <f>VLOOKUP(CONCATENATE(D$2," ",$A4),'Hardware All Line Items'!$A$1:$V$118,18,FALSE)</f>
        <v>-135471031</v>
      </c>
      <c r="E4" s="41">
        <f>VLOOKUP(CONCATENATE(E$2," ",$A4),'Hardware All Line Items'!$A$1:$V$118,18,FALSE)</f>
        <v>-139722269</v>
      </c>
      <c r="F4" s="41">
        <f>VLOOKUP(CONCATENATE(F$2," ",$A4),'Hardware All Line Items'!$A$1:$V$118,18,FALSE)</f>
        <v>-148006441</v>
      </c>
      <c r="G4" s="41">
        <f>VLOOKUP(CONCATENATE(G$2," ",$A4),'Hardware All Line Items'!$A$1:$V$118,18,FALSE)</f>
        <v>-157487259</v>
      </c>
      <c r="H4" s="41">
        <f>VLOOKUP(CONCATENATE(H$2," ",$A4),'Hardware All Line Items'!$A$1:$V$118,18,FALSE)</f>
        <v>-139817713</v>
      </c>
      <c r="I4" s="41">
        <f>VLOOKUP(CONCATENATE(I$2," ",$A4),'Hardware All Line Items'!$A$1:$V$118,18,FALSE)</f>
        <v>-139351798</v>
      </c>
      <c r="J4" s="41">
        <f>VLOOKUP(CONCATENATE(J$2," ",$A4),'Hardware All Line Items'!$A$1:$V$118,18,FALSE)</f>
        <v>-119500542</v>
      </c>
      <c r="K4" s="41">
        <f>VLOOKUP(CONCATENATE(K$2," ",$A4),'Hardware All Line Items'!$A$1:$V$118,18,FALSE)</f>
        <v>-137140199</v>
      </c>
      <c r="L4" s="41">
        <f>VLOOKUP(CONCATENATE(L$2," ",$A4),'Hardware All Line Items'!$A$1:$V$118,18,FALSE)</f>
        <v>-149176285</v>
      </c>
      <c r="M4" s="67">
        <f>VLOOKUP(CONCATENATE($M$2," ",$N$1," ",$A4),'Hardware All Line Items'!$C$1:$V$118,16,FALSE)</f>
        <v>-135508595</v>
      </c>
      <c r="N4" s="23"/>
      <c r="O4" s="23"/>
    </row>
    <row r="5" spans="1:21" ht="14.4" thickBot="1" x14ac:dyDescent="0.3">
      <c r="A5" s="75" t="s">
        <v>36</v>
      </c>
      <c r="B5" s="42">
        <f>SUM(B3:B4)</f>
        <v>190272438.19000006</v>
      </c>
      <c r="C5" s="42">
        <f t="shared" ref="C5:L5" si="2">SUM(C3:C4)</f>
        <v>172183279.24000007</v>
      </c>
      <c r="D5" s="42">
        <f t="shared" si="2"/>
        <v>169419733.07000005</v>
      </c>
      <c r="E5" s="42">
        <f t="shared" si="2"/>
        <v>173337952.75999999</v>
      </c>
      <c r="F5" s="42">
        <f t="shared" si="2"/>
        <v>189566944.60999995</v>
      </c>
      <c r="G5" s="42">
        <f t="shared" si="2"/>
        <v>191237292.88000005</v>
      </c>
      <c r="H5" s="42">
        <f t="shared" si="2"/>
        <v>174689478.90999997</v>
      </c>
      <c r="I5" s="42">
        <f t="shared" si="2"/>
        <v>172722446.86000001</v>
      </c>
      <c r="J5" s="42">
        <f t="shared" si="2"/>
        <v>151539485.50999999</v>
      </c>
      <c r="K5" s="42">
        <f t="shared" si="2"/>
        <v>169924291.77999997</v>
      </c>
      <c r="L5" s="42">
        <f t="shared" si="2"/>
        <v>178119148.07999998</v>
      </c>
      <c r="M5" s="68">
        <f>SUM(M3:M4)</f>
        <v>169210902.21999997</v>
      </c>
      <c r="N5" s="42"/>
      <c r="O5" s="42"/>
      <c r="P5" s="42"/>
    </row>
    <row r="6" spans="1:21" ht="14.4" thickBot="1" x14ac:dyDescent="0.3">
      <c r="A6" s="76" t="s">
        <v>38</v>
      </c>
      <c r="B6" s="23">
        <f>SUM(B7:B13)</f>
        <v>-127132706</v>
      </c>
      <c r="C6" s="23">
        <f t="shared" ref="C6:L6" si="3">SUM(C7:C13)</f>
        <v>-117694579</v>
      </c>
      <c r="D6" s="23">
        <f t="shared" si="3"/>
        <v>-112935388</v>
      </c>
      <c r="E6" s="23">
        <f t="shared" si="3"/>
        <v>-115912009</v>
      </c>
      <c r="F6" s="23">
        <f t="shared" si="3"/>
        <v>-126006565</v>
      </c>
      <c r="G6" s="23">
        <f t="shared" si="3"/>
        <v>-130114240</v>
      </c>
      <c r="H6" s="23">
        <f t="shared" si="3"/>
        <v>-117253989</v>
      </c>
      <c r="I6" s="23">
        <f t="shared" si="3"/>
        <v>-116310729</v>
      </c>
      <c r="J6" s="23">
        <f t="shared" si="3"/>
        <v>-100459877</v>
      </c>
      <c r="K6" s="23">
        <f t="shared" si="3"/>
        <v>-115028233</v>
      </c>
      <c r="L6" s="23">
        <f t="shared" si="3"/>
        <v>-121690270</v>
      </c>
      <c r="M6" s="30">
        <f>SUM(M7:M13)</f>
        <v>-111982448</v>
      </c>
      <c r="N6" s="23"/>
      <c r="O6" s="23"/>
      <c r="P6" s="23"/>
      <c r="Q6" s="220" t="s">
        <v>44</v>
      </c>
      <c r="R6" s="221"/>
      <c r="S6" s="221"/>
      <c r="T6" s="221"/>
      <c r="U6" s="222"/>
    </row>
    <row r="7" spans="1:21" ht="14.4" thickBot="1" x14ac:dyDescent="0.3">
      <c r="A7" s="77" t="s">
        <v>17</v>
      </c>
      <c r="B7" s="43">
        <f>VLOOKUP(CONCATENATE(B$2," ",$A7),'Hardware All Line Items'!$A$1:$V$118,18,FALSE)</f>
        <v>-15380736</v>
      </c>
      <c r="C7" s="43">
        <f>VLOOKUP(CONCATENATE(C$2," ",$A7),'Hardware All Line Items'!$A$1:$V$118,18,FALSE)</f>
        <v>-14464805</v>
      </c>
      <c r="D7" s="43">
        <f>VLOOKUP(CONCATENATE(D$2," ",$A7),'Hardware All Line Items'!$A$1:$V$118,18,FALSE)</f>
        <v>-13511922</v>
      </c>
      <c r="E7" s="43">
        <f>VLOOKUP(CONCATENATE(E$2," ",$A7),'Hardware All Line Items'!$A$1:$V$118,18,FALSE)</f>
        <v>-13917817</v>
      </c>
      <c r="F7" s="43">
        <f>VLOOKUP(CONCATENATE(F$2," ",$A7),'Hardware All Line Items'!$A$1:$V$118,18,FALSE)</f>
        <v>-14901546</v>
      </c>
      <c r="G7" s="43">
        <f>VLOOKUP(CONCATENATE(G$2," ",$A7),'Hardware All Line Items'!$A$1:$V$118,18,FALSE)</f>
        <v>-15789617</v>
      </c>
      <c r="H7" s="43">
        <f>VLOOKUP(CONCATENATE(H$2," ",$A7),'Hardware All Line Items'!$A$1:$V$118,18,FALSE)</f>
        <v>-14624838</v>
      </c>
      <c r="I7" s="43">
        <f>VLOOKUP(CONCATENATE(I$2," ",$A7),'Hardware All Line Items'!$A$1:$V$118,18,FALSE)</f>
        <v>-14043921</v>
      </c>
      <c r="J7" s="43">
        <f>VLOOKUP(CONCATENATE(J$2," ",$A7),'Hardware All Line Items'!$A$1:$V$118,18,FALSE)</f>
        <v>-12036495</v>
      </c>
      <c r="K7" s="43">
        <f>VLOOKUP(CONCATENATE(K$2," ",$A7),'Hardware All Line Items'!$A$1:$V$118,18,FALSE)</f>
        <v>-13910358</v>
      </c>
      <c r="L7" s="43">
        <f>VLOOKUP(CONCATENATE(L$2," ",$A7),'Hardware All Line Items'!$A$1:$V$118,18,FALSE)</f>
        <v>-14858177</v>
      </c>
      <c r="M7" s="69">
        <f>VLOOKUP(CONCATENATE($M$2," ",$N$1," ",$A7),'Hardware All Line Items'!$C$1:$V$118,16,FALSE)</f>
        <v>-13838838</v>
      </c>
      <c r="N7" s="43"/>
      <c r="O7" s="43"/>
      <c r="P7" s="43"/>
      <c r="Q7" s="53" t="s">
        <v>45</v>
      </c>
      <c r="R7" s="54" t="s">
        <v>46</v>
      </c>
      <c r="S7" s="54" t="s">
        <v>47</v>
      </c>
      <c r="T7" s="53" t="s">
        <v>48</v>
      </c>
      <c r="U7" s="54" t="s">
        <v>42</v>
      </c>
    </row>
    <row r="8" spans="1:21" x14ac:dyDescent="0.25">
      <c r="A8" s="77" t="s">
        <v>18</v>
      </c>
      <c r="B8" s="43">
        <f>VLOOKUP(CONCATENATE(B$2," ",$A8),'Hardware All Line Items'!$A$1:$V$118,18,FALSE)</f>
        <v>-39458843</v>
      </c>
      <c r="C8" s="43">
        <f>VLOOKUP(CONCATENATE(C$2," ",$A8),'Hardware All Line Items'!$A$1:$V$118,18,FALSE)</f>
        <v>-35369123</v>
      </c>
      <c r="D8" s="43">
        <f>VLOOKUP(CONCATENATE(D$2," ",$A8),'Hardware All Line Items'!$A$1:$V$118,18,FALSE)</f>
        <v>-33749947</v>
      </c>
      <c r="E8" s="43">
        <f>VLOOKUP(CONCATENATE(E$2," ",$A8),'Hardware All Line Items'!$A$1:$V$118,18,FALSE)</f>
        <v>-35654622</v>
      </c>
      <c r="F8" s="43">
        <f>VLOOKUP(CONCATENATE(F$2," ",$A8),'Hardware All Line Items'!$A$1:$V$118,18,FALSE)</f>
        <v>-38606647</v>
      </c>
      <c r="G8" s="43">
        <f>VLOOKUP(CONCATENATE(G$2," ",$A8),'Hardware All Line Items'!$A$1:$V$118,18,FALSE)</f>
        <v>-39707492</v>
      </c>
      <c r="H8" s="43">
        <f>VLOOKUP(CONCATENATE(H$2," ",$A8),'Hardware All Line Items'!$A$1:$V$118,18,FALSE)</f>
        <v>-35545167</v>
      </c>
      <c r="I8" s="43">
        <f>VLOOKUP(CONCATENATE(I$2," ",$A8),'Hardware All Line Items'!$A$1:$V$118,18,FALSE)</f>
        <v>-35248258</v>
      </c>
      <c r="J8" s="43">
        <f>VLOOKUP(CONCATENATE(J$2," ",$A8),'Hardware All Line Items'!$A$1:$V$118,18,FALSE)</f>
        <v>-31060056</v>
      </c>
      <c r="K8" s="43">
        <f>VLOOKUP(CONCATENATE(K$2," ",$A8),'Hardware All Line Items'!$A$1:$V$118,18,FALSE)</f>
        <v>-34265333</v>
      </c>
      <c r="L8" s="43">
        <f>VLOOKUP(CONCATENATE(L$2," ",$A8),'Hardware All Line Items'!$A$1:$V$118,18,FALSE)</f>
        <v>-36367808</v>
      </c>
      <c r="M8" s="69">
        <f>VLOOKUP(CONCATENATE($M$2," ",$N$1," ",$A8),'Hardware All Line Items'!$C$1:$V$118,16,FALSE)</f>
        <v>-33999022</v>
      </c>
      <c r="N8" s="43"/>
      <c r="O8" s="43"/>
      <c r="P8" s="50">
        <v>2012</v>
      </c>
      <c r="Q8" s="26">
        <f>R3</f>
        <v>95379332.587909088</v>
      </c>
      <c r="R8" s="59">
        <v>0</v>
      </c>
      <c r="S8" s="56">
        <f>$S$3</f>
        <v>3430236.5219000005</v>
      </c>
      <c r="T8" s="26">
        <f>Q8+R8-S8</f>
        <v>91949096.066009089</v>
      </c>
      <c r="U8" s="57">
        <f>-((Q8+T8)/2)*$Q$3</f>
        <v>-5619852.8596175453</v>
      </c>
    </row>
    <row r="9" spans="1:21" x14ac:dyDescent="0.25">
      <c r="A9" s="77" t="s">
        <v>19</v>
      </c>
      <c r="B9" s="43">
        <f>VLOOKUP(CONCATENATE(B$2," ",$A9),'Hardware All Line Items'!$A$1:$V$118,18,FALSE)</f>
        <v>-3939536</v>
      </c>
      <c r="C9" s="43">
        <f>VLOOKUP(CONCATENATE(C$2," ",$A9),'Hardware All Line Items'!$A$1:$V$118,18,FALSE)</f>
        <v>-3585657</v>
      </c>
      <c r="D9" s="43">
        <f>VLOOKUP(CONCATENATE(D$2," ",$A9),'Hardware All Line Items'!$A$1:$V$118,18,FALSE)</f>
        <v>-3448500</v>
      </c>
      <c r="E9" s="43">
        <f>VLOOKUP(CONCATENATE(E$2," ",$A9),'Hardware All Line Items'!$A$1:$V$118,18,FALSE)</f>
        <v>-3408929</v>
      </c>
      <c r="F9" s="43">
        <f>VLOOKUP(CONCATENATE(F$2," ",$A9),'Hardware All Line Items'!$A$1:$V$118,18,FALSE)</f>
        <v>-3884529</v>
      </c>
      <c r="G9" s="43">
        <f>VLOOKUP(CONCATENATE(G$2," ",$A9),'Hardware All Line Items'!$A$1:$V$118,18,FALSE)</f>
        <v>-3892534</v>
      </c>
      <c r="H9" s="43">
        <f>VLOOKUP(CONCATENATE(H$2," ",$A9),'Hardware All Line Items'!$A$1:$V$118,18,FALSE)</f>
        <v>-3583040</v>
      </c>
      <c r="I9" s="43">
        <f>VLOOKUP(CONCATENATE(I$2," ",$A9),'Hardware All Line Items'!$A$1:$V$118,18,FALSE)</f>
        <v>-3405215</v>
      </c>
      <c r="J9" s="43">
        <f>VLOOKUP(CONCATENATE(J$2," ",$A9),'Hardware All Line Items'!$A$1:$V$118,18,FALSE)</f>
        <v>-3030478</v>
      </c>
      <c r="K9" s="43">
        <f>VLOOKUP(CONCATENATE(K$2," ",$A9),'Hardware All Line Items'!$A$1:$V$118,18,FALSE)</f>
        <v>-3410410</v>
      </c>
      <c r="L9" s="43">
        <f>VLOOKUP(CONCATENATE(L$2," ",$A9),'Hardware All Line Items'!$A$1:$V$118,18,FALSE)</f>
        <v>-3630516</v>
      </c>
      <c r="M9" s="69">
        <f>VLOOKUP(CONCATENATE($M$2," ",$N$1," ",$A9),'Hardware All Line Items'!$C$1:$V$118,16,FALSE)</f>
        <v>-3428592</v>
      </c>
      <c r="N9" s="43"/>
      <c r="O9" s="43"/>
      <c r="P9" s="51">
        <f>P8+1</f>
        <v>2013</v>
      </c>
      <c r="Q9" s="29">
        <f>T8</f>
        <v>91949096.066009089</v>
      </c>
      <c r="R9" s="60">
        <v>0</v>
      </c>
      <c r="S9" s="57">
        <f t="shared" ref="S9:S19" si="4">$S$3</f>
        <v>3430236.5219000005</v>
      </c>
      <c r="T9" s="29">
        <f t="shared" ref="T9:T18" si="5">Q9+R9-S9</f>
        <v>88518859.544109091</v>
      </c>
      <c r="U9" s="57">
        <f t="shared" ref="U9:U18" si="6">-((Q9+T9)/2)*$Q$3</f>
        <v>-5414038.6683035456</v>
      </c>
    </row>
    <row r="10" spans="1:21" x14ac:dyDescent="0.25">
      <c r="A10" s="77" t="s">
        <v>20</v>
      </c>
      <c r="B10" s="43">
        <f>VLOOKUP(CONCATENATE(B$2," ",$A10),'Hardware All Line Items'!$A$1:$V$118,18,FALSE)</f>
        <v>-15226261</v>
      </c>
      <c r="C10" s="43">
        <f>VLOOKUP(CONCATENATE(C$2," ",$A10),'Hardware All Line Items'!$A$1:$V$118,18,FALSE)</f>
        <v>-14800936</v>
      </c>
      <c r="D10" s="43">
        <f>VLOOKUP(CONCATENATE(D$2," ",$A10),'Hardware All Line Items'!$A$1:$V$118,18,FALSE)</f>
        <v>-13794192</v>
      </c>
      <c r="E10" s="43">
        <f>VLOOKUP(CONCATENATE(E$2," ",$A10),'Hardware All Line Items'!$A$1:$V$118,18,FALSE)</f>
        <v>-14198065</v>
      </c>
      <c r="F10" s="43">
        <f>VLOOKUP(CONCATENATE(F$2," ",$A10),'Hardware All Line Items'!$A$1:$V$118,18,FALSE)</f>
        <v>-14752073</v>
      </c>
      <c r="G10" s="43">
        <f>VLOOKUP(CONCATENATE(G$2," ",$A10),'Hardware All Line Items'!$A$1:$V$118,18,FALSE)</f>
        <v>-15916923</v>
      </c>
      <c r="H10" s="43">
        <f>VLOOKUP(CONCATENATE(H$2," ",$A10),'Hardware All Line Items'!$A$1:$V$118,18,FALSE)</f>
        <v>-14563116</v>
      </c>
      <c r="I10" s="43">
        <f>VLOOKUP(CONCATENATE(I$2," ",$A10),'Hardware All Line Items'!$A$1:$V$118,18,FALSE)</f>
        <v>-14307841</v>
      </c>
      <c r="J10" s="43">
        <f>VLOOKUP(CONCATENATE(J$2," ",$A10),'Hardware All Line Items'!$A$1:$V$118,18,FALSE)</f>
        <v>-12107274</v>
      </c>
      <c r="K10" s="43">
        <f>VLOOKUP(CONCATENATE(K$2," ",$A10),'Hardware All Line Items'!$A$1:$V$118,18,FALSE)</f>
        <v>-13874340</v>
      </c>
      <c r="L10" s="43">
        <f>VLOOKUP(CONCATENATE(L$2," ",$A10),'Hardware All Line Items'!$A$1:$V$118,18,FALSE)</f>
        <v>-15400179</v>
      </c>
      <c r="M10" s="69">
        <f>VLOOKUP(CONCATENATE($M$2," ",$N$1," ",$A10),'Hardware All Line Items'!$C$1:$V$118,16,FALSE)</f>
        <v>-13733242</v>
      </c>
      <c r="N10" s="43"/>
      <c r="O10" s="43"/>
      <c r="P10" s="51">
        <f>P9+1</f>
        <v>2014</v>
      </c>
      <c r="Q10" s="29">
        <f t="shared" ref="Q10:Q18" si="7">T9</f>
        <v>88518859.544109091</v>
      </c>
      <c r="R10" s="60">
        <v>0</v>
      </c>
      <c r="S10" s="57">
        <f t="shared" si="4"/>
        <v>3430236.5219000005</v>
      </c>
      <c r="T10" s="29">
        <f t="shared" si="5"/>
        <v>85088623.022209093</v>
      </c>
      <c r="U10" s="57">
        <f t="shared" si="6"/>
        <v>-5208224.4769895449</v>
      </c>
    </row>
    <row r="11" spans="1:21" x14ac:dyDescent="0.25">
      <c r="A11" s="77" t="s">
        <v>21</v>
      </c>
      <c r="B11" s="43">
        <f>VLOOKUP(CONCATENATE(B$2," ",$A11),'Hardware All Line Items'!$A$1:$V$118,18,FALSE)</f>
        <v>-19383202</v>
      </c>
      <c r="C11" s="43">
        <f>VLOOKUP(CONCATENATE(C$2," ",$A11),'Hardware All Line Items'!$A$1:$V$118,18,FALSE)</f>
        <v>-17095584</v>
      </c>
      <c r="D11" s="43">
        <f>VLOOKUP(CONCATENATE(D$2," ",$A11),'Hardware All Line Items'!$A$1:$V$118,18,FALSE)</f>
        <v>-17402652</v>
      </c>
      <c r="E11" s="43">
        <f>VLOOKUP(CONCATENATE(E$2," ",$A11),'Hardware All Line Items'!$A$1:$V$118,18,FALSE)</f>
        <v>-17581830</v>
      </c>
      <c r="F11" s="43">
        <f>VLOOKUP(CONCATENATE(F$2," ",$A11),'Hardware All Line Items'!$A$1:$V$118,18,FALSE)</f>
        <v>-19347573</v>
      </c>
      <c r="G11" s="43">
        <f>VLOOKUP(CONCATENATE(G$2," ",$A11),'Hardware All Line Items'!$A$1:$V$118,18,FALSE)</f>
        <v>-19450057</v>
      </c>
      <c r="H11" s="43">
        <f>VLOOKUP(CONCATENATE(H$2," ",$A11),'Hardware All Line Items'!$A$1:$V$118,18,FALSE)</f>
        <v>-17424786</v>
      </c>
      <c r="I11" s="43">
        <f>VLOOKUP(CONCATENATE(I$2," ",$A11),'Hardware All Line Items'!$A$1:$V$118,18,FALSE)</f>
        <v>-17673510</v>
      </c>
      <c r="J11" s="43">
        <f>VLOOKUP(CONCATENATE(J$2," ",$A11),'Hardware All Line Items'!$A$1:$V$118,18,FALSE)</f>
        <v>-15143796</v>
      </c>
      <c r="K11" s="43">
        <f>VLOOKUP(CONCATENATE(K$2," ",$A11),'Hardware All Line Items'!$A$1:$V$118,18,FALSE)</f>
        <v>-17643233</v>
      </c>
      <c r="L11" s="43">
        <f>VLOOKUP(CONCATENATE(L$2," ",$A11),'Hardware All Line Items'!$A$1:$V$118,18,FALSE)</f>
        <v>-18287162</v>
      </c>
      <c r="M11" s="69">
        <f>VLOOKUP(CONCATENATE($M$2," ",$N$1," ",$A11),'Hardware All Line Items'!$C$1:$V$118,16,FALSE)</f>
        <v>-16543883</v>
      </c>
      <c r="N11" s="43"/>
      <c r="O11" s="43"/>
      <c r="P11" s="51">
        <f t="shared" ref="P11:P19" si="8">P10+1</f>
        <v>2015</v>
      </c>
      <c r="Q11" s="29">
        <f t="shared" si="7"/>
        <v>85088623.022209093</v>
      </c>
      <c r="R11" s="60">
        <v>0</v>
      </c>
      <c r="S11" s="57">
        <f t="shared" si="4"/>
        <v>3430236.5219000005</v>
      </c>
      <c r="T11" s="29">
        <f t="shared" si="5"/>
        <v>81658386.500309095</v>
      </c>
      <c r="U11" s="57">
        <f t="shared" si="6"/>
        <v>-5002410.2856755452</v>
      </c>
    </row>
    <row r="12" spans="1:21" x14ac:dyDescent="0.25">
      <c r="A12" s="77" t="s">
        <v>22</v>
      </c>
      <c r="B12" s="43">
        <f>VLOOKUP(CONCATENATE(B$2," ",$A12),'Hardware All Line Items'!$A$1:$V$118,18,FALSE)</f>
        <v>-25790675</v>
      </c>
      <c r="C12" s="43">
        <f>VLOOKUP(CONCATENATE(C$2," ",$A12),'Hardware All Line Items'!$A$1:$V$118,18,FALSE)</f>
        <v>-25199238</v>
      </c>
      <c r="D12" s="43">
        <f>VLOOKUP(CONCATENATE(D$2," ",$A12),'Hardware All Line Items'!$A$1:$V$118,18,FALSE)</f>
        <v>-24257147</v>
      </c>
      <c r="E12" s="43">
        <f>VLOOKUP(CONCATENATE(E$2," ",$A12),'Hardware All Line Items'!$A$1:$V$118,18,FALSE)</f>
        <v>-24176618</v>
      </c>
      <c r="F12" s="43">
        <f>VLOOKUP(CONCATENATE(F$2," ",$A12),'Hardware All Line Items'!$A$1:$V$118,18,FALSE)</f>
        <v>-26961537</v>
      </c>
      <c r="G12" s="43">
        <f>VLOOKUP(CONCATENATE(G$2," ",$A12),'Hardware All Line Items'!$A$1:$V$118,18,FALSE)</f>
        <v>-27756217</v>
      </c>
      <c r="H12" s="43">
        <f>VLOOKUP(CONCATENATE(H$2," ",$A12),'Hardware All Line Items'!$A$1:$V$118,18,FALSE)</f>
        <v>-24318074</v>
      </c>
      <c r="I12" s="43">
        <f>VLOOKUP(CONCATENATE(I$2," ",$A12),'Hardware All Line Items'!$A$1:$V$118,18,FALSE)</f>
        <v>-24546517</v>
      </c>
      <c r="J12" s="43">
        <f>VLOOKUP(CONCATENATE(J$2," ",$A12),'Hardware All Line Items'!$A$1:$V$118,18,FALSE)</f>
        <v>-21004875</v>
      </c>
      <c r="K12" s="43">
        <f>VLOOKUP(CONCATENATE(K$2," ",$A12),'Hardware All Line Items'!$A$1:$V$118,18,FALSE)</f>
        <v>-24779479</v>
      </c>
      <c r="L12" s="43">
        <f>VLOOKUP(CONCATENATE(L$2," ",$A12),'Hardware All Line Items'!$A$1:$V$118,18,FALSE)</f>
        <v>-26099361</v>
      </c>
      <c r="M12" s="69">
        <f>VLOOKUP(CONCATENATE($M$2," ",$N$1," ",$A12),'Hardware All Line Items'!$C$1:$V$118,16,FALSE)</f>
        <v>-23613009</v>
      </c>
      <c r="N12" s="43"/>
      <c r="O12" s="43"/>
      <c r="P12" s="51">
        <f t="shared" si="8"/>
        <v>2016</v>
      </c>
      <c r="Q12" s="29">
        <f t="shared" si="7"/>
        <v>81658386.500309095</v>
      </c>
      <c r="R12" s="60">
        <v>0</v>
      </c>
      <c r="S12" s="57">
        <f t="shared" si="4"/>
        <v>3430236.5219000005</v>
      </c>
      <c r="T12" s="29">
        <f t="shared" si="5"/>
        <v>78228149.978409097</v>
      </c>
      <c r="U12" s="57">
        <f t="shared" si="6"/>
        <v>-4796596.0943615455</v>
      </c>
    </row>
    <row r="13" spans="1:21" x14ac:dyDescent="0.25">
      <c r="A13" s="78" t="s">
        <v>23</v>
      </c>
      <c r="B13" s="41">
        <f>VLOOKUP(CONCATENATE(B$2," ",$A13),'Hardware All Line Items'!$A$1:$V$118,18,FALSE)</f>
        <v>-7953453</v>
      </c>
      <c r="C13" s="41">
        <f>VLOOKUP(CONCATENATE(C$2," ",$A13),'Hardware All Line Items'!$A$1:$V$118,18,FALSE)</f>
        <v>-7179236</v>
      </c>
      <c r="D13" s="41">
        <f>VLOOKUP(CONCATENATE(D$2," ",$A13),'Hardware All Line Items'!$A$1:$V$118,18,FALSE)</f>
        <v>-6771028</v>
      </c>
      <c r="E13" s="41">
        <f>VLOOKUP(CONCATENATE(E$2," ",$A13),'Hardware All Line Items'!$A$1:$V$118,18,FALSE)</f>
        <v>-6974128</v>
      </c>
      <c r="F13" s="41">
        <f>VLOOKUP(CONCATENATE(F$2," ",$A13),'Hardware All Line Items'!$A$1:$V$118,18,FALSE)</f>
        <v>-7552660</v>
      </c>
      <c r="G13" s="41">
        <f>VLOOKUP(CONCATENATE(G$2," ",$A13),'Hardware All Line Items'!$A$1:$V$118,18,FALSE)</f>
        <v>-7601400</v>
      </c>
      <c r="H13" s="41">
        <f>VLOOKUP(CONCATENATE(H$2," ",$A13),'Hardware All Line Items'!$A$1:$V$118,18,FALSE)</f>
        <v>-7194968</v>
      </c>
      <c r="I13" s="41">
        <f>VLOOKUP(CONCATENATE(I$2," ",$A13),'Hardware All Line Items'!$A$1:$V$118,18,FALSE)</f>
        <v>-7085467</v>
      </c>
      <c r="J13" s="41">
        <f>VLOOKUP(CONCATENATE(J$2," ",$A13),'Hardware All Line Items'!$A$1:$V$118,18,FALSE)</f>
        <v>-6076903</v>
      </c>
      <c r="K13" s="41">
        <f>VLOOKUP(CONCATENATE(K$2," ",$A13),'Hardware All Line Items'!$A$1:$V$118,18,FALSE)</f>
        <v>-7145080</v>
      </c>
      <c r="L13" s="41">
        <f>VLOOKUP(CONCATENATE(L$2," ",$A13),'Hardware All Line Items'!$A$1:$V$118,18,FALSE)</f>
        <v>-7047067</v>
      </c>
      <c r="M13" s="67">
        <f>VLOOKUP(CONCATENATE($M$2," ",$N$1," ",$A13),'Hardware All Line Items'!$C$1:$V$118,16,FALSE)</f>
        <v>-6825862</v>
      </c>
      <c r="N13" s="43"/>
      <c r="O13" s="43"/>
      <c r="P13" s="51">
        <f t="shared" si="8"/>
        <v>2017</v>
      </c>
      <c r="Q13" s="29">
        <f t="shared" si="7"/>
        <v>78228149.978409097</v>
      </c>
      <c r="R13" s="60">
        <v>0</v>
      </c>
      <c r="S13" s="57">
        <f t="shared" si="4"/>
        <v>3430236.5219000005</v>
      </c>
      <c r="T13" s="29">
        <f t="shared" si="5"/>
        <v>74797913.456509098</v>
      </c>
      <c r="U13" s="57">
        <f t="shared" si="6"/>
        <v>-4590781.9030475458</v>
      </c>
    </row>
    <row r="14" spans="1:21" x14ac:dyDescent="0.25">
      <c r="A14" s="37" t="s">
        <v>39</v>
      </c>
      <c r="B14" s="23">
        <f>SUM(B5:B6)</f>
        <v>63139732.190000057</v>
      </c>
      <c r="C14" s="23">
        <f t="shared" ref="C14:L14" si="9">SUM(C5:C6)</f>
        <v>54488700.240000069</v>
      </c>
      <c r="D14" s="23">
        <f t="shared" si="9"/>
        <v>56484345.070000052</v>
      </c>
      <c r="E14" s="23">
        <f t="shared" si="9"/>
        <v>57425943.75999999</v>
      </c>
      <c r="F14" s="23">
        <f t="shared" si="9"/>
        <v>63560379.609999955</v>
      </c>
      <c r="G14" s="23">
        <f t="shared" si="9"/>
        <v>61123052.880000055</v>
      </c>
      <c r="H14" s="23">
        <f t="shared" si="9"/>
        <v>57435489.909999967</v>
      </c>
      <c r="I14" s="23">
        <f t="shared" si="9"/>
        <v>56411717.860000014</v>
      </c>
      <c r="J14" s="23">
        <f t="shared" si="9"/>
        <v>51079608.50999999</v>
      </c>
      <c r="K14" s="23">
        <f t="shared" si="9"/>
        <v>54896058.779999971</v>
      </c>
      <c r="L14" s="23">
        <f t="shared" si="9"/>
        <v>56428878.079999983</v>
      </c>
      <c r="M14" s="30">
        <f>SUM(M5:M6)</f>
        <v>57228454.219999969</v>
      </c>
      <c r="N14" s="23"/>
      <c r="O14" s="23"/>
      <c r="P14" s="51">
        <f t="shared" si="8"/>
        <v>2018</v>
      </c>
      <c r="Q14" s="29">
        <f t="shared" si="7"/>
        <v>74797913.456509098</v>
      </c>
      <c r="R14" s="60">
        <v>0</v>
      </c>
      <c r="S14" s="57">
        <f t="shared" si="4"/>
        <v>3430236.5219000005</v>
      </c>
      <c r="T14" s="29">
        <f t="shared" si="5"/>
        <v>71367676.9346091</v>
      </c>
      <c r="U14" s="57">
        <f t="shared" si="6"/>
        <v>-4384967.7117335461</v>
      </c>
    </row>
    <row r="15" spans="1:21" x14ac:dyDescent="0.25">
      <c r="A15" s="82" t="s">
        <v>40</v>
      </c>
      <c r="B15" s="44" cm="1">
        <f t="array" ref="B15">-AVERAGE(($B$3:$L$3)*0.3-0)/30</f>
        <v>-3179311.0862636361</v>
      </c>
      <c r="C15" s="44" cm="1">
        <f t="array" ref="C15">-AVERAGE(($B$3:$L$3)*0.3-0)/30</f>
        <v>-3179311.0862636361</v>
      </c>
      <c r="D15" s="44" cm="1">
        <f t="array" ref="D15">-AVERAGE(($B$3:$L$3)*0.3-0)/30</f>
        <v>-3179311.0862636361</v>
      </c>
      <c r="E15" s="44" cm="1">
        <f t="array" ref="E15">-AVERAGE(($B$3:$L$3)*0.3-0)/30</f>
        <v>-3179311.0862636361</v>
      </c>
      <c r="F15" s="44" cm="1">
        <f t="array" ref="F15">-AVERAGE(($B$3:$L$3)*0.3-0)/30</f>
        <v>-3179311.0862636361</v>
      </c>
      <c r="G15" s="44" cm="1">
        <f t="array" ref="G15">-AVERAGE(($B$3:$L$3)*0.3-0)/30</f>
        <v>-3179311.0862636361</v>
      </c>
      <c r="H15" s="44" cm="1">
        <f t="array" ref="H15">-AVERAGE(($B$3:$L$3)*0.3-0)/30</f>
        <v>-3179311.0862636361</v>
      </c>
      <c r="I15" s="44" cm="1">
        <f t="array" ref="I15">-AVERAGE(($B$3:$L$3)*0.3-0)/30</f>
        <v>-3179311.0862636361</v>
      </c>
      <c r="J15" s="44" cm="1">
        <f t="array" ref="J15">-AVERAGE(($B$3:$L$3)*0.3-0)/30</f>
        <v>-3179311.0862636361</v>
      </c>
      <c r="K15" s="44" cm="1">
        <f t="array" ref="K15">-AVERAGE(($B$3:$L$3)*0.3-0)/30</f>
        <v>-3179311.0862636361</v>
      </c>
      <c r="L15" s="44" cm="1">
        <f t="array" ref="L15">-AVERAGE(($B$3:$L$3)*0.3-0)/30</f>
        <v>-3179311.0862636361</v>
      </c>
      <c r="M15" s="70" cm="1">
        <f t="array" ref="M15">-AVERAGE(($B$3:$L$3)*0.3-0)/30</f>
        <v>-3179311.0862636361</v>
      </c>
      <c r="N15" s="23"/>
      <c r="O15" s="23"/>
      <c r="P15" s="51">
        <f t="shared" si="8"/>
        <v>2019</v>
      </c>
      <c r="Q15" s="29">
        <f t="shared" si="7"/>
        <v>71367676.9346091</v>
      </c>
      <c r="R15" s="60">
        <v>0</v>
      </c>
      <c r="S15" s="57">
        <f t="shared" si="4"/>
        <v>3430236.5219000005</v>
      </c>
      <c r="T15" s="29">
        <f t="shared" si="5"/>
        <v>67937440.412709102</v>
      </c>
      <c r="U15" s="57">
        <f t="shared" si="6"/>
        <v>-4179153.5204195459</v>
      </c>
    </row>
    <row r="16" spans="1:21" x14ac:dyDescent="0.25">
      <c r="A16" s="75" t="s">
        <v>41</v>
      </c>
      <c r="B16" s="42">
        <f>SUM(B14:B15)</f>
        <v>59960421.103736423</v>
      </c>
      <c r="C16" s="42">
        <f t="shared" ref="C16:L16" si="10">SUM(C14:C15)</f>
        <v>51309389.153736435</v>
      </c>
      <c r="D16" s="42">
        <f t="shared" si="10"/>
        <v>53305033.983736418</v>
      </c>
      <c r="E16" s="42">
        <f t="shared" si="10"/>
        <v>54246632.673736356</v>
      </c>
      <c r="F16" s="42">
        <f t="shared" si="10"/>
        <v>60381068.52373632</v>
      </c>
      <c r="G16" s="42">
        <f t="shared" si="10"/>
        <v>57943741.793736421</v>
      </c>
      <c r="H16" s="42">
        <f t="shared" si="10"/>
        <v>54256178.823736332</v>
      </c>
      <c r="I16" s="42">
        <f t="shared" si="10"/>
        <v>53232406.77373638</v>
      </c>
      <c r="J16" s="42">
        <f t="shared" si="10"/>
        <v>47900297.423736356</v>
      </c>
      <c r="K16" s="42">
        <f t="shared" si="10"/>
        <v>51716747.693736337</v>
      </c>
      <c r="L16" s="42">
        <f t="shared" si="10"/>
        <v>53249566.993736349</v>
      </c>
      <c r="M16" s="68">
        <f>SUM(M14:M15)</f>
        <v>54049143.133736335</v>
      </c>
      <c r="N16" s="42"/>
      <c r="O16" s="42"/>
      <c r="P16" s="51">
        <f t="shared" si="8"/>
        <v>2020</v>
      </c>
      <c r="Q16" s="29">
        <f t="shared" si="7"/>
        <v>67937440.412709102</v>
      </c>
      <c r="R16" s="60">
        <v>0</v>
      </c>
      <c r="S16" s="57">
        <f t="shared" si="4"/>
        <v>3430236.5219000005</v>
      </c>
      <c r="T16" s="29">
        <f t="shared" si="5"/>
        <v>64507203.890809104</v>
      </c>
      <c r="U16" s="57">
        <f t="shared" si="6"/>
        <v>-3973339.3291055462</v>
      </c>
    </row>
    <row r="17" spans="1:21" x14ac:dyDescent="0.25">
      <c r="A17" s="37" t="s">
        <v>42</v>
      </c>
      <c r="B17" s="8">
        <f>VLOOKUP(B2,$P$8:$U$19,6,FALSE)</f>
        <v>-5619852.8596175453</v>
      </c>
      <c r="C17" s="8">
        <f t="shared" ref="C17:L17" si="11">VLOOKUP(C2,$P$8:$U$19,6,FALSE)</f>
        <v>-5414038.6683035456</v>
      </c>
      <c r="D17" s="8">
        <f t="shared" si="11"/>
        <v>-5208224.4769895449</v>
      </c>
      <c r="E17" s="8">
        <f t="shared" si="11"/>
        <v>-5002410.2856755452</v>
      </c>
      <c r="F17" s="8">
        <f t="shared" si="11"/>
        <v>-4796596.0943615455</v>
      </c>
      <c r="G17" s="8">
        <f t="shared" si="11"/>
        <v>-4590781.9030475458</v>
      </c>
      <c r="H17" s="8">
        <f t="shared" si="11"/>
        <v>-4384967.7117335461</v>
      </c>
      <c r="I17" s="8">
        <f t="shared" si="11"/>
        <v>-4179153.5204195459</v>
      </c>
      <c r="J17" s="8">
        <f t="shared" si="11"/>
        <v>-3973339.3291055462</v>
      </c>
      <c r="K17" s="8">
        <f t="shared" si="11"/>
        <v>-3767525.1377915461</v>
      </c>
      <c r="L17" s="8">
        <f t="shared" si="11"/>
        <v>-3561710.9464775464</v>
      </c>
      <c r="M17" s="9">
        <f>VLOOKUP(M2,$P$8:$U$19,6,FALSE)</f>
        <v>-3355896.7551635462</v>
      </c>
      <c r="P17" s="51">
        <f t="shared" si="8"/>
        <v>2021</v>
      </c>
      <c r="Q17" s="29">
        <f t="shared" si="7"/>
        <v>64507203.890809104</v>
      </c>
      <c r="R17" s="60">
        <v>0</v>
      </c>
      <c r="S17" s="57">
        <f t="shared" si="4"/>
        <v>3430236.5219000005</v>
      </c>
      <c r="T17" s="29">
        <f t="shared" si="5"/>
        <v>61076967.368909106</v>
      </c>
      <c r="U17" s="57">
        <f t="shared" si="6"/>
        <v>-3767525.1377915461</v>
      </c>
    </row>
    <row r="18" spans="1:21" ht="14.4" thickBot="1" x14ac:dyDescent="0.3">
      <c r="A18" s="37" t="s">
        <v>50</v>
      </c>
      <c r="B18" s="21">
        <v>0</v>
      </c>
      <c r="C18" s="21">
        <v>0</v>
      </c>
      <c r="D18" s="21">
        <v>0</v>
      </c>
      <c r="E18" s="21">
        <v>0</v>
      </c>
      <c r="F18" s="21">
        <v>0</v>
      </c>
      <c r="G18" s="21">
        <v>0</v>
      </c>
      <c r="H18" s="21">
        <v>0</v>
      </c>
      <c r="I18" s="21">
        <v>0</v>
      </c>
      <c r="J18" s="21">
        <v>0</v>
      </c>
      <c r="K18" s="21">
        <v>0</v>
      </c>
      <c r="L18" s="21">
        <v>0</v>
      </c>
      <c r="M18" s="22">
        <v>0</v>
      </c>
      <c r="P18" s="52">
        <f t="shared" si="8"/>
        <v>2022</v>
      </c>
      <c r="Q18" s="31">
        <f t="shared" si="7"/>
        <v>61076967.368909106</v>
      </c>
      <c r="R18" s="61">
        <v>0</v>
      </c>
      <c r="S18" s="58">
        <f t="shared" si="4"/>
        <v>3430236.5219000005</v>
      </c>
      <c r="T18" s="31">
        <f t="shared" si="5"/>
        <v>57646730.847009107</v>
      </c>
      <c r="U18" s="58">
        <f t="shared" si="6"/>
        <v>-3561710.9464775464</v>
      </c>
    </row>
    <row r="19" spans="1:21" ht="14.4" thickBot="1" x14ac:dyDescent="0.3">
      <c r="A19" s="37" t="s">
        <v>51</v>
      </c>
      <c r="B19" s="21">
        <v>0</v>
      </c>
      <c r="C19" s="21">
        <v>0</v>
      </c>
      <c r="D19" s="21">
        <v>0</v>
      </c>
      <c r="E19" s="21">
        <v>0</v>
      </c>
      <c r="F19" s="21">
        <v>0</v>
      </c>
      <c r="G19" s="21">
        <v>0</v>
      </c>
      <c r="H19" s="21">
        <v>0</v>
      </c>
      <c r="I19" s="21">
        <v>0</v>
      </c>
      <c r="J19" s="21">
        <v>0</v>
      </c>
      <c r="K19" s="21">
        <v>0</v>
      </c>
      <c r="L19" s="21">
        <v>0</v>
      </c>
      <c r="M19" s="22">
        <v>0</v>
      </c>
      <c r="P19" s="52">
        <f t="shared" si="8"/>
        <v>2023</v>
      </c>
      <c r="Q19" s="31">
        <f t="shared" ref="Q19" si="12">T18</f>
        <v>57646730.847009107</v>
      </c>
      <c r="R19" s="61">
        <v>0</v>
      </c>
      <c r="S19" s="58">
        <f t="shared" si="4"/>
        <v>3430236.5219000005</v>
      </c>
      <c r="T19" s="31">
        <f t="shared" ref="T19" si="13">Q19+R19-S19</f>
        <v>54216494.325109109</v>
      </c>
      <c r="U19" s="58">
        <f t="shared" ref="U19" si="14">-((Q19+T19)/2)*$Q$3</f>
        <v>-3355896.7551635462</v>
      </c>
    </row>
    <row r="20" spans="1:21" x14ac:dyDescent="0.25">
      <c r="A20" s="37" t="s">
        <v>52</v>
      </c>
      <c r="B20" s="23">
        <f>SUM(B16:B19)</f>
        <v>54340568.244118877</v>
      </c>
      <c r="C20" s="23">
        <f t="shared" ref="C20:L20" si="15">SUM(C16:C19)</f>
        <v>45895350.485432893</v>
      </c>
      <c r="D20" s="23">
        <f t="shared" si="15"/>
        <v>48096809.506746873</v>
      </c>
      <c r="E20" s="23">
        <f t="shared" si="15"/>
        <v>49244222.388060808</v>
      </c>
      <c r="F20" s="23">
        <f t="shared" si="15"/>
        <v>55584472.429374777</v>
      </c>
      <c r="G20" s="23">
        <f t="shared" si="15"/>
        <v>53352959.890688874</v>
      </c>
      <c r="H20" s="23">
        <f t="shared" si="15"/>
        <v>49871211.11200279</v>
      </c>
      <c r="I20" s="23">
        <f t="shared" si="15"/>
        <v>49053253.253316835</v>
      </c>
      <c r="J20" s="23">
        <f t="shared" si="15"/>
        <v>43926958.094630808</v>
      </c>
      <c r="K20" s="23">
        <f t="shared" si="15"/>
        <v>47949222.555944793</v>
      </c>
      <c r="L20" s="23">
        <f t="shared" si="15"/>
        <v>49687856.047258802</v>
      </c>
      <c r="M20" s="30">
        <f>SUM(M16:M19)</f>
        <v>50693246.378572792</v>
      </c>
      <c r="P20" s="49"/>
    </row>
    <row r="21" spans="1:21" x14ac:dyDescent="0.25">
      <c r="A21" s="37" t="s">
        <v>53</v>
      </c>
      <c r="B21" s="23">
        <f>-$P$3*B20</f>
        <v>-14671953.425912097</v>
      </c>
      <c r="C21" s="23">
        <f t="shared" ref="C21:L21" si="16">-$P$3*C20</f>
        <v>-12391744.631066881</v>
      </c>
      <c r="D21" s="23">
        <f t="shared" si="16"/>
        <v>-12986138.566821657</v>
      </c>
      <c r="E21" s="23">
        <f t="shared" si="16"/>
        <v>-13295940.044776419</v>
      </c>
      <c r="F21" s="23">
        <f t="shared" si="16"/>
        <v>-15007807.55593119</v>
      </c>
      <c r="G21" s="23">
        <f t="shared" si="16"/>
        <v>-14405299.170485998</v>
      </c>
      <c r="H21" s="23">
        <f t="shared" si="16"/>
        <v>-13465227.000240754</v>
      </c>
      <c r="I21" s="23">
        <f t="shared" si="16"/>
        <v>-13244378.378395546</v>
      </c>
      <c r="J21" s="23">
        <f t="shared" si="16"/>
        <v>-11860278.685550319</v>
      </c>
      <c r="K21" s="23">
        <f t="shared" si="16"/>
        <v>-12946290.090105094</v>
      </c>
      <c r="L21" s="23">
        <f t="shared" si="16"/>
        <v>-13415721.132759877</v>
      </c>
      <c r="M21" s="30">
        <f>-$P$3*M20</f>
        <v>-13687176.522214655</v>
      </c>
      <c r="P21" s="49"/>
    </row>
    <row r="22" spans="1:21" x14ac:dyDescent="0.25">
      <c r="A22" s="78" t="s">
        <v>84</v>
      </c>
      <c r="B22" s="44">
        <f>ABS(B15)</f>
        <v>3179311.0862636361</v>
      </c>
      <c r="C22" s="44">
        <f t="shared" ref="C22:M22" si="17">ABS(C15)</f>
        <v>3179311.0862636361</v>
      </c>
      <c r="D22" s="44">
        <f t="shared" si="17"/>
        <v>3179311.0862636361</v>
      </c>
      <c r="E22" s="44">
        <f t="shared" si="17"/>
        <v>3179311.0862636361</v>
      </c>
      <c r="F22" s="44">
        <f t="shared" si="17"/>
        <v>3179311.0862636361</v>
      </c>
      <c r="G22" s="44">
        <f t="shared" si="17"/>
        <v>3179311.0862636361</v>
      </c>
      <c r="H22" s="44">
        <f t="shared" si="17"/>
        <v>3179311.0862636361</v>
      </c>
      <c r="I22" s="44">
        <f t="shared" si="17"/>
        <v>3179311.0862636361</v>
      </c>
      <c r="J22" s="44">
        <f t="shared" si="17"/>
        <v>3179311.0862636361</v>
      </c>
      <c r="K22" s="44">
        <f t="shared" si="17"/>
        <v>3179311.0862636361</v>
      </c>
      <c r="L22" s="44">
        <f t="shared" si="17"/>
        <v>3179311.0862636361</v>
      </c>
      <c r="M22" s="70">
        <f t="shared" si="17"/>
        <v>3179311.0862636361</v>
      </c>
    </row>
    <row r="23" spans="1:21" ht="14.4" thickBot="1" x14ac:dyDescent="0.3">
      <c r="A23" s="81" t="s">
        <v>56</v>
      </c>
      <c r="B23" s="32">
        <f>SUM(B20:B22)</f>
        <v>42847925.904470414</v>
      </c>
      <c r="C23" s="32">
        <f t="shared" ref="C23:M23" si="18">SUM(C20:C22)</f>
        <v>36682916.940629646</v>
      </c>
      <c r="D23" s="32">
        <f t="shared" si="18"/>
        <v>38289982.02618885</v>
      </c>
      <c r="E23" s="32">
        <f t="shared" si="18"/>
        <v>39127593.429548025</v>
      </c>
      <c r="F23" s="32">
        <f t="shared" si="18"/>
        <v>43755975.959707223</v>
      </c>
      <c r="G23" s="32">
        <f t="shared" si="18"/>
        <v>42126971.806466512</v>
      </c>
      <c r="H23" s="32">
        <f t="shared" si="18"/>
        <v>39585295.198025666</v>
      </c>
      <c r="I23" s="32">
        <f t="shared" si="18"/>
        <v>38988185.961184926</v>
      </c>
      <c r="J23" s="32">
        <f t="shared" si="18"/>
        <v>35245990.495344125</v>
      </c>
      <c r="K23" s="32">
        <f t="shared" si="18"/>
        <v>38182243.552103333</v>
      </c>
      <c r="L23" s="32">
        <f t="shared" si="18"/>
        <v>39451446.000762559</v>
      </c>
      <c r="M23" s="33">
        <f t="shared" si="18"/>
        <v>40185380.942621775</v>
      </c>
    </row>
    <row r="24" spans="1:21" ht="14.4" thickBot="1" x14ac:dyDescent="0.3"/>
    <row r="25" spans="1:21" ht="14.4" thickBot="1" x14ac:dyDescent="0.3">
      <c r="A25" s="217" t="s">
        <v>61</v>
      </c>
      <c r="B25" s="218"/>
      <c r="C25" s="218"/>
      <c r="D25" s="218"/>
      <c r="E25" s="218"/>
      <c r="F25" s="218"/>
      <c r="G25" s="218"/>
      <c r="H25" s="218"/>
      <c r="I25" s="218"/>
      <c r="J25" s="218"/>
      <c r="K25" s="218"/>
      <c r="L25" s="219"/>
    </row>
    <row r="26" spans="1:21" ht="14.4" thickBot="1" x14ac:dyDescent="0.3">
      <c r="A26" s="105" t="s">
        <v>1</v>
      </c>
      <c r="B26" s="106">
        <f>B2</f>
        <v>2012</v>
      </c>
      <c r="C26" s="106">
        <f t="shared" ref="C26:L26" si="19">C2</f>
        <v>2013</v>
      </c>
      <c r="D26" s="106">
        <f t="shared" si="19"/>
        <v>2014</v>
      </c>
      <c r="E26" s="106">
        <f t="shared" si="19"/>
        <v>2015</v>
      </c>
      <c r="F26" s="106">
        <f t="shared" si="19"/>
        <v>2016</v>
      </c>
      <c r="G26" s="106">
        <f t="shared" si="19"/>
        <v>2017</v>
      </c>
      <c r="H26" s="106">
        <f t="shared" si="19"/>
        <v>2018</v>
      </c>
      <c r="I26" s="106">
        <f t="shared" si="19"/>
        <v>2019</v>
      </c>
      <c r="J26" s="106">
        <f t="shared" si="19"/>
        <v>2020</v>
      </c>
      <c r="K26" s="106">
        <f t="shared" si="19"/>
        <v>2021</v>
      </c>
      <c r="L26" s="106">
        <f t="shared" si="19"/>
        <v>2022</v>
      </c>
      <c r="M26" s="108" t="s">
        <v>62</v>
      </c>
    </row>
    <row r="27" spans="1:21" x14ac:dyDescent="0.25">
      <c r="A27" s="95" t="s">
        <v>58</v>
      </c>
      <c r="B27" s="96">
        <f>B5/B$3</f>
        <v>0.55469189070556735</v>
      </c>
      <c r="C27" s="96">
        <f t="shared" ref="C27:L27" si="20">C5/C$3</f>
        <v>0.54147689230060081</v>
      </c>
      <c r="D27" s="96">
        <f t="shared" si="20"/>
        <v>0.55567354946541736</v>
      </c>
      <c r="E27" s="96">
        <f t="shared" si="20"/>
        <v>0.55368884550553121</v>
      </c>
      <c r="F27" s="96">
        <f t="shared" si="20"/>
        <v>0.56155773141727316</v>
      </c>
      <c r="G27" s="96">
        <f t="shared" si="20"/>
        <v>0.54839067639208527</v>
      </c>
      <c r="H27" s="96">
        <f t="shared" si="20"/>
        <v>0.55543874163611962</v>
      </c>
      <c r="I27" s="96">
        <f t="shared" si="20"/>
        <v>0.55346588097164262</v>
      </c>
      <c r="J27" s="96">
        <f t="shared" si="20"/>
        <v>0.55910371210543419</v>
      </c>
      <c r="K27" s="96">
        <f t="shared" si="20"/>
        <v>0.55338307385644359</v>
      </c>
      <c r="L27" s="96">
        <f t="shared" si="20"/>
        <v>0.54421519543923114</v>
      </c>
      <c r="M27" s="109">
        <f>AVERAGE(B27:L27)</f>
        <v>0.5528260172541225</v>
      </c>
    </row>
    <row r="28" spans="1:21" x14ac:dyDescent="0.25">
      <c r="A28" s="37" t="s">
        <v>59</v>
      </c>
      <c r="B28" s="99">
        <f>B16/$B$3</f>
        <v>0.17479966970477148</v>
      </c>
      <c r="C28" s="99">
        <f t="shared" ref="C28:L28" si="21">C16/$B$3</f>
        <v>0.14957974129817811</v>
      </c>
      <c r="D28" s="99">
        <f t="shared" si="21"/>
        <v>0.15539754662226871</v>
      </c>
      <c r="E28" s="99">
        <f t="shared" si="21"/>
        <v>0.15814254302117123</v>
      </c>
      <c r="F28" s="99">
        <f t="shared" si="21"/>
        <v>0.17602596246130392</v>
      </c>
      <c r="G28" s="99">
        <f t="shared" si="21"/>
        <v>0.16892054359459011</v>
      </c>
      <c r="H28" s="99">
        <f t="shared" si="21"/>
        <v>0.15817037244325052</v>
      </c>
      <c r="I28" s="99">
        <f t="shared" si="21"/>
        <v>0.15518582008523152</v>
      </c>
      <c r="J28" s="99">
        <f t="shared" si="21"/>
        <v>0.13964138367113088</v>
      </c>
      <c r="K28" s="99">
        <f t="shared" si="21"/>
        <v>0.15076729363574773</v>
      </c>
      <c r="L28" s="99">
        <f t="shared" si="21"/>
        <v>0.15523584643149194</v>
      </c>
      <c r="M28" s="110">
        <f t="shared" ref="M28:M29" si="22">AVERAGE(B28:L28)</f>
        <v>0.15835152026992147</v>
      </c>
      <c r="N28" s="129"/>
    </row>
    <row r="29" spans="1:21" ht="14.4" thickBot="1" x14ac:dyDescent="0.3">
      <c r="A29" s="38" t="s">
        <v>60</v>
      </c>
      <c r="B29" s="102">
        <f>B23/$B$3</f>
        <v>0.12491245321106033</v>
      </c>
      <c r="C29" s="102">
        <f t="shared" ref="C29:L29" si="23">C23/$B$3</f>
        <v>0.10693990547424717</v>
      </c>
      <c r="D29" s="102">
        <f t="shared" si="23"/>
        <v>0.11162490336083331</v>
      </c>
      <c r="E29" s="102">
        <f t="shared" si="23"/>
        <v>0.11406675073203214</v>
      </c>
      <c r="F29" s="102">
        <f t="shared" si="23"/>
        <v>0.12755964692332902</v>
      </c>
      <c r="G29" s="102">
        <f t="shared" si="23"/>
        <v>0.12281069115062793</v>
      </c>
      <c r="H29" s="102">
        <f t="shared" si="23"/>
        <v>0.11540106621015002</v>
      </c>
      <c r="I29" s="102">
        <f t="shared" si="23"/>
        <v>0.11366034298879617</v>
      </c>
      <c r="J29" s="102">
        <f t="shared" si="23"/>
        <v>0.1027509044065027</v>
      </c>
      <c r="K29" s="102">
        <f t="shared" si="23"/>
        <v>0.111310818680673</v>
      </c>
      <c r="L29" s="102">
        <f t="shared" si="23"/>
        <v>0.11501086222156626</v>
      </c>
      <c r="M29" s="111">
        <f t="shared" si="22"/>
        <v>0.1150953041236198</v>
      </c>
      <c r="N29" s="129"/>
    </row>
    <row r="30" spans="1:21" ht="14.4" thickBot="1" x14ac:dyDescent="0.3">
      <c r="A30" s="34"/>
      <c r="B30" s="34"/>
      <c r="C30" s="34"/>
      <c r="D30" s="34"/>
      <c r="E30" s="34"/>
      <c r="F30" s="34"/>
      <c r="G30" s="34"/>
      <c r="H30" s="34"/>
      <c r="I30" s="34"/>
      <c r="J30" s="34"/>
      <c r="K30" s="34"/>
      <c r="L30" s="34"/>
    </row>
    <row r="31" spans="1:21" ht="15" customHeight="1" thickBot="1" x14ac:dyDescent="0.3">
      <c r="A31" s="217" t="s">
        <v>63</v>
      </c>
      <c r="B31" s="218"/>
      <c r="C31" s="218"/>
      <c r="D31" s="218"/>
      <c r="E31" s="218"/>
      <c r="F31" s="218"/>
      <c r="G31" s="218"/>
      <c r="H31" s="218"/>
      <c r="I31" s="218"/>
      <c r="J31" s="218"/>
      <c r="K31" s="218"/>
      <c r="L31" s="218"/>
      <c r="M31" s="219"/>
      <c r="N31" s="107" t="s">
        <v>66</v>
      </c>
    </row>
    <row r="32" spans="1:21" x14ac:dyDescent="0.25">
      <c r="A32" s="73" t="str">
        <f t="shared" ref="A32:A50" si="24">A3</f>
        <v>Sales</v>
      </c>
      <c r="B32" s="124">
        <f t="shared" ref="B32:B51" si="25">ABS(B3/B$3)</f>
        <v>1</v>
      </c>
      <c r="C32" s="124">
        <f t="shared" ref="C32:L32" si="26">ABS(C3/C$3)</f>
        <v>1</v>
      </c>
      <c r="D32" s="124">
        <f t="shared" si="26"/>
        <v>1</v>
      </c>
      <c r="E32" s="124">
        <f t="shared" si="26"/>
        <v>1</v>
      </c>
      <c r="F32" s="124">
        <f t="shared" si="26"/>
        <v>1</v>
      </c>
      <c r="G32" s="124">
        <f t="shared" si="26"/>
        <v>1</v>
      </c>
      <c r="H32" s="124">
        <f t="shared" si="26"/>
        <v>1</v>
      </c>
      <c r="I32" s="124">
        <f t="shared" si="26"/>
        <v>1</v>
      </c>
      <c r="J32" s="124">
        <f t="shared" si="26"/>
        <v>1</v>
      </c>
      <c r="K32" s="124">
        <f t="shared" si="26"/>
        <v>1</v>
      </c>
      <c r="L32" s="125">
        <f t="shared" si="26"/>
        <v>1</v>
      </c>
      <c r="M32" s="124">
        <f t="shared" ref="M32:M52" si="27">ABS(M3/M$3)</f>
        <v>1</v>
      </c>
    </row>
    <row r="33" spans="1:14" x14ac:dyDescent="0.25">
      <c r="A33" s="74" t="str">
        <f t="shared" si="24"/>
        <v>COGS</v>
      </c>
      <c r="B33" s="126">
        <f t="shared" si="25"/>
        <v>0.44530810929443265</v>
      </c>
      <c r="C33" s="126">
        <f t="shared" ref="C33:L33" si="28">ABS(C4/C$3)</f>
        <v>0.45852310769939919</v>
      </c>
      <c r="D33" s="126">
        <f t="shared" si="28"/>
        <v>0.4443264505345827</v>
      </c>
      <c r="E33" s="126">
        <f t="shared" si="28"/>
        <v>0.44631115449446873</v>
      </c>
      <c r="F33" s="126">
        <f t="shared" si="28"/>
        <v>0.43844226858272678</v>
      </c>
      <c r="G33" s="126">
        <f t="shared" si="28"/>
        <v>0.45160932360791473</v>
      </c>
      <c r="H33" s="126">
        <f t="shared" si="28"/>
        <v>0.44456125836388038</v>
      </c>
      <c r="I33" s="126">
        <f t="shared" si="28"/>
        <v>0.44653411902835738</v>
      </c>
      <c r="J33" s="126">
        <f t="shared" si="28"/>
        <v>0.44089628789456586</v>
      </c>
      <c r="K33" s="126">
        <f t="shared" si="28"/>
        <v>0.44661692614355641</v>
      </c>
      <c r="L33" s="127">
        <f t="shared" si="28"/>
        <v>0.45578480456076886</v>
      </c>
      <c r="M33" s="126">
        <f t="shared" si="27"/>
        <v>0.4446994571606494</v>
      </c>
      <c r="N33" s="152"/>
    </row>
    <row r="34" spans="1:14" x14ac:dyDescent="0.25">
      <c r="A34" s="75" t="str">
        <f t="shared" si="24"/>
        <v>Gross Profit</v>
      </c>
      <c r="B34" s="116">
        <f t="shared" si="25"/>
        <v>0.55469189070556735</v>
      </c>
      <c r="C34" s="116">
        <f t="shared" ref="C34:L34" si="29">ABS(C5/C$3)</f>
        <v>0.54147689230060081</v>
      </c>
      <c r="D34" s="116">
        <f t="shared" si="29"/>
        <v>0.55567354946541736</v>
      </c>
      <c r="E34" s="116">
        <f t="shared" si="29"/>
        <v>0.55368884550553121</v>
      </c>
      <c r="F34" s="116">
        <f t="shared" si="29"/>
        <v>0.56155773141727316</v>
      </c>
      <c r="G34" s="116">
        <f t="shared" si="29"/>
        <v>0.54839067639208527</v>
      </c>
      <c r="H34" s="116">
        <f t="shared" si="29"/>
        <v>0.55543874163611962</v>
      </c>
      <c r="I34" s="116">
        <f t="shared" si="29"/>
        <v>0.55346588097164262</v>
      </c>
      <c r="J34" s="116">
        <f t="shared" si="29"/>
        <v>0.55910371210543419</v>
      </c>
      <c r="K34" s="116">
        <f t="shared" si="29"/>
        <v>0.55338307385644359</v>
      </c>
      <c r="L34" s="117">
        <f t="shared" si="29"/>
        <v>0.54421519543923114</v>
      </c>
      <c r="M34" s="116">
        <f t="shared" si="27"/>
        <v>0.5553005428393506</v>
      </c>
      <c r="N34" s="151"/>
    </row>
    <row r="35" spans="1:14" x14ac:dyDescent="0.25">
      <c r="A35" s="76" t="str">
        <f t="shared" si="24"/>
        <v>Selling, General, Admin (SGA)</v>
      </c>
      <c r="B35" s="94">
        <f t="shared" si="25"/>
        <v>0.37062373159499062</v>
      </c>
      <c r="C35" s="94">
        <f t="shared" ref="C35:L35" si="30">ABS(C6/C$3)</f>
        <v>0.37012243673625328</v>
      </c>
      <c r="D35" s="94">
        <f t="shared" si="30"/>
        <v>0.37041262415568316</v>
      </c>
      <c r="E35" s="94">
        <f t="shared" si="30"/>
        <v>0.37025466968735848</v>
      </c>
      <c r="F35" s="94">
        <f t="shared" si="30"/>
        <v>0.37327162143515646</v>
      </c>
      <c r="G35" s="94">
        <f t="shared" si="30"/>
        <v>0.3731146525202898</v>
      </c>
      <c r="H35" s="94">
        <f t="shared" si="30"/>
        <v>0.37281814857052187</v>
      </c>
      <c r="I35" s="94">
        <f t="shared" si="30"/>
        <v>0.37270210828252837</v>
      </c>
      <c r="J35" s="94">
        <f t="shared" si="30"/>
        <v>0.37064590762814009</v>
      </c>
      <c r="K35" s="94">
        <f t="shared" si="30"/>
        <v>0.37460610540739259</v>
      </c>
      <c r="L35" s="119">
        <f t="shared" si="30"/>
        <v>0.37180558510957151</v>
      </c>
      <c r="M35" s="94">
        <f t="shared" si="27"/>
        <v>0.36749354413364443</v>
      </c>
      <c r="N35" s="152"/>
    </row>
    <row r="36" spans="1:14" x14ac:dyDescent="0.25">
      <c r="A36" s="77" t="str">
        <f t="shared" si="24"/>
        <v>Commissions Expense</v>
      </c>
      <c r="B36" s="128">
        <f t="shared" si="25"/>
        <v>4.4838703983830955E-2</v>
      </c>
      <c r="C36" s="128">
        <f t="shared" ref="C36:L36" si="31">ABS(C7/C$3)</f>
        <v>4.5488491645097266E-2</v>
      </c>
      <c r="D36" s="128">
        <f t="shared" si="31"/>
        <v>4.4317255857897322E-2</v>
      </c>
      <c r="E36" s="128">
        <f t="shared" si="31"/>
        <v>4.4457315342572509E-2</v>
      </c>
      <c r="F36" s="128">
        <f t="shared" si="31"/>
        <v>4.4143130457612034E-2</v>
      </c>
      <c r="G36" s="128">
        <f t="shared" si="31"/>
        <v>4.527819138307583E-2</v>
      </c>
      <c r="H36" s="128">
        <f t="shared" si="31"/>
        <v>4.6500806265139638E-2</v>
      </c>
      <c r="I36" s="128">
        <f t="shared" si="31"/>
        <v>4.5001858472173056E-2</v>
      </c>
      <c r="J36" s="128">
        <f t="shared" si="31"/>
        <v>4.4408551425327444E-2</v>
      </c>
      <c r="K36" s="128">
        <f t="shared" si="31"/>
        <v>4.5301096081364359E-2</v>
      </c>
      <c r="L36" s="117">
        <f t="shared" si="31"/>
        <v>4.5396835697271258E-2</v>
      </c>
      <c r="M36" s="128">
        <f t="shared" si="27"/>
        <v>4.5415006674183044E-2</v>
      </c>
    </row>
    <row r="37" spans="1:14" x14ac:dyDescent="0.25">
      <c r="A37" s="77" t="str">
        <f t="shared" si="24"/>
        <v>Payroll Expense</v>
      </c>
      <c r="B37" s="128">
        <f t="shared" si="25"/>
        <v>0.1150324263300183</v>
      </c>
      <c r="C37" s="128">
        <f t="shared" ref="C37:L37" si="32">ABS(C8/C$3)</f>
        <v>0.11122777362570166</v>
      </c>
      <c r="D37" s="128">
        <f t="shared" si="32"/>
        <v>0.11069520948903303</v>
      </c>
      <c r="E37" s="128">
        <f t="shared" si="32"/>
        <v>0.11389061759284688</v>
      </c>
      <c r="F37" s="128">
        <f t="shared" si="32"/>
        <v>0.11436519774874206</v>
      </c>
      <c r="G37" s="128">
        <f t="shared" si="32"/>
        <v>0.11386491655357775</v>
      </c>
      <c r="H37" s="128">
        <f t="shared" si="32"/>
        <v>0.11301861424578068</v>
      </c>
      <c r="I37" s="128">
        <f t="shared" si="32"/>
        <v>0.11294830823291029</v>
      </c>
      <c r="J37" s="128">
        <f t="shared" si="32"/>
        <v>0.1145958266214168</v>
      </c>
      <c r="K37" s="128">
        <f t="shared" si="32"/>
        <v>0.11159002108306235</v>
      </c>
      <c r="L37" s="117">
        <f t="shared" si="32"/>
        <v>0.11111614866654956</v>
      </c>
      <c r="M37" s="128">
        <f t="shared" si="27"/>
        <v>0.11157481654497987</v>
      </c>
    </row>
    <row r="38" spans="1:14" x14ac:dyDescent="0.25">
      <c r="A38" s="77" t="str">
        <f t="shared" si="24"/>
        <v>Travel &amp; Entertainment Expense</v>
      </c>
      <c r="B38" s="128">
        <f t="shared" si="25"/>
        <v>1.1484735745912645E-2</v>
      </c>
      <c r="C38" s="128">
        <f t="shared" ref="C38:L38" si="33">ABS(C9/C$3)</f>
        <v>1.1276068255789451E-2</v>
      </c>
      <c r="D38" s="128">
        <f t="shared" si="33"/>
        <v>1.1310608278079086E-2</v>
      </c>
      <c r="E38" s="128">
        <f t="shared" si="33"/>
        <v>1.0889051891790241E-2</v>
      </c>
      <c r="F38" s="128">
        <f t="shared" si="33"/>
        <v>1.150721344036231E-2</v>
      </c>
      <c r="G38" s="128">
        <f t="shared" si="33"/>
        <v>1.1162202314161877E-2</v>
      </c>
      <c r="H38" s="128">
        <f t="shared" si="33"/>
        <v>1.1392553468301387E-2</v>
      </c>
      <c r="I38" s="128">
        <f t="shared" si="33"/>
        <v>1.0911554080752858E-2</v>
      </c>
      <c r="J38" s="128">
        <f t="shared" si="33"/>
        <v>1.118092418983462E-2</v>
      </c>
      <c r="K38" s="128">
        <f t="shared" si="33"/>
        <v>1.110649424600329E-2</v>
      </c>
      <c r="L38" s="117">
        <f t="shared" si="33"/>
        <v>1.1092473750199266E-2</v>
      </c>
      <c r="M38" s="128">
        <f t="shared" si="27"/>
        <v>1.1251633161906411E-2</v>
      </c>
    </row>
    <row r="39" spans="1:14" x14ac:dyDescent="0.25">
      <c r="A39" s="77" t="str">
        <f t="shared" si="24"/>
        <v>R&amp;D Expense</v>
      </c>
      <c r="B39" s="128">
        <f t="shared" si="25"/>
        <v>4.4388370605902727E-2</v>
      </c>
      <c r="C39" s="128">
        <f t="shared" ref="C39:L39" si="34">ABS(C10/C$3)</f>
        <v>4.654554648857135E-2</v>
      </c>
      <c r="D39" s="128">
        <f t="shared" si="34"/>
        <v>4.5243062846052576E-2</v>
      </c>
      <c r="E39" s="128">
        <f t="shared" si="34"/>
        <v>4.5352504129012601E-2</v>
      </c>
      <c r="F39" s="128">
        <f t="shared" si="34"/>
        <v>4.3700343773673961E-2</v>
      </c>
      <c r="G39" s="128">
        <f t="shared" si="34"/>
        <v>4.5643253146905434E-2</v>
      </c>
      <c r="H39" s="128">
        <f t="shared" si="34"/>
        <v>4.6304556380915483E-2</v>
      </c>
      <c r="I39" s="128">
        <f t="shared" si="34"/>
        <v>4.5847554662572863E-2</v>
      </c>
      <c r="J39" s="128">
        <f t="shared" si="34"/>
        <v>4.4669689976154184E-2</v>
      </c>
      <c r="K39" s="128">
        <f t="shared" si="34"/>
        <v>4.5183798246279272E-2</v>
      </c>
      <c r="L39" s="117">
        <f t="shared" si="34"/>
        <v>4.7052838027946985E-2</v>
      </c>
      <c r="M39" s="128">
        <f t="shared" si="27"/>
        <v>4.506847157891225E-2</v>
      </c>
    </row>
    <row r="40" spans="1:14" x14ac:dyDescent="0.25">
      <c r="A40" s="77" t="str">
        <f t="shared" si="24"/>
        <v>Consulting Expense</v>
      </c>
      <c r="B40" s="128">
        <f t="shared" si="25"/>
        <v>5.6506896466905106E-2</v>
      </c>
      <c r="C40" s="128">
        <f t="shared" ref="C40:L40" si="35">ABS(C11/C$3)</f>
        <v>5.3761687762265614E-2</v>
      </c>
      <c r="D40" s="128">
        <f t="shared" si="35"/>
        <v>5.7078318043128767E-2</v>
      </c>
      <c r="E40" s="128">
        <f t="shared" si="35"/>
        <v>5.6161175320059292E-2</v>
      </c>
      <c r="F40" s="128">
        <f t="shared" si="35"/>
        <v>5.7313680001871765E-2</v>
      </c>
      <c r="G40" s="128">
        <f t="shared" si="35"/>
        <v>5.577484262333493E-2</v>
      </c>
      <c r="H40" s="128">
        <f t="shared" si="35"/>
        <v>5.5403458007365097E-2</v>
      </c>
      <c r="I40" s="128">
        <f t="shared" si="35"/>
        <v>5.6632388898124338E-2</v>
      </c>
      <c r="J40" s="128">
        <f t="shared" si="35"/>
        <v>5.587291345534294E-2</v>
      </c>
      <c r="K40" s="128">
        <f t="shared" si="35"/>
        <v>5.7457744316781668E-2</v>
      </c>
      <c r="L40" s="117">
        <f t="shared" si="35"/>
        <v>5.5873563000587656E-2</v>
      </c>
      <c r="M40" s="128">
        <f t="shared" si="27"/>
        <v>5.4292170835579072E-2</v>
      </c>
    </row>
    <row r="41" spans="1:14" x14ac:dyDescent="0.25">
      <c r="A41" s="77" t="str">
        <f t="shared" si="24"/>
        <v>Software/Hardware Expense</v>
      </c>
      <c r="B41" s="128">
        <f t="shared" si="25"/>
        <v>7.5186287695737666E-2</v>
      </c>
      <c r="C41" s="128">
        <f t="shared" ref="C41:L41" si="36">ABS(C12/C$3)</f>
        <v>7.9245819575571017E-2</v>
      </c>
      <c r="D41" s="128">
        <f t="shared" si="36"/>
        <v>7.9560124013565686E-2</v>
      </c>
      <c r="E41" s="128">
        <f t="shared" si="36"/>
        <v>7.7226732492812256E-2</v>
      </c>
      <c r="F41" s="128">
        <f t="shared" si="36"/>
        <v>7.9868669004459922E-2</v>
      </c>
      <c r="G41" s="128">
        <f t="shared" si="36"/>
        <v>7.9593526897845782E-2</v>
      </c>
      <c r="H41" s="128">
        <f t="shared" si="36"/>
        <v>7.7321201630768777E-2</v>
      </c>
      <c r="I41" s="128">
        <f t="shared" si="36"/>
        <v>7.8656016650819241E-2</v>
      </c>
      <c r="J41" s="128">
        <f t="shared" si="36"/>
        <v>7.7497317252246178E-2</v>
      </c>
      <c r="K41" s="128">
        <f t="shared" si="36"/>
        <v>8.0697963274931561E-2</v>
      </c>
      <c r="L41" s="117">
        <f t="shared" si="36"/>
        <v>7.9742515055566329E-2</v>
      </c>
      <c r="M41" s="128">
        <f t="shared" si="27"/>
        <v>7.7490968629919957E-2</v>
      </c>
    </row>
    <row r="42" spans="1:14" x14ac:dyDescent="0.25">
      <c r="A42" s="78" t="str">
        <f t="shared" si="24"/>
        <v>Marketing Expense</v>
      </c>
      <c r="B42" s="126">
        <f t="shared" si="25"/>
        <v>2.3186310766683225E-2</v>
      </c>
      <c r="C42" s="126">
        <f t="shared" ref="C42:L42" si="37">ABS(C13/C$3)</f>
        <v>2.2577049383256911E-2</v>
      </c>
      <c r="D42" s="126">
        <f t="shared" si="37"/>
        <v>2.2208045627926713E-2</v>
      </c>
      <c r="E42" s="126">
        <f t="shared" si="37"/>
        <v>2.2277272918264736E-2</v>
      </c>
      <c r="F42" s="126">
        <f t="shared" si="37"/>
        <v>2.2373387008434432E-2</v>
      </c>
      <c r="G42" s="126">
        <f t="shared" si="37"/>
        <v>2.1797719601388217E-2</v>
      </c>
      <c r="H42" s="126">
        <f t="shared" si="37"/>
        <v>2.2876958572250795E-2</v>
      </c>
      <c r="I42" s="126">
        <f t="shared" si="37"/>
        <v>2.2704427285175743E-2</v>
      </c>
      <c r="J42" s="126">
        <f t="shared" si="37"/>
        <v>2.2420684707817901E-2</v>
      </c>
      <c r="K42" s="126">
        <f t="shared" si="37"/>
        <v>2.3268988158970091E-2</v>
      </c>
      <c r="L42" s="127">
        <f t="shared" si="37"/>
        <v>2.1531210911450462E-2</v>
      </c>
      <c r="M42" s="126">
        <f t="shared" si="27"/>
        <v>2.2400476708163822E-2</v>
      </c>
    </row>
    <row r="43" spans="1:14" x14ac:dyDescent="0.25">
      <c r="A43" s="37" t="str">
        <f t="shared" si="24"/>
        <v>Income before Depr. &amp; Amort. (EBITDA)</v>
      </c>
      <c r="B43" s="94">
        <f t="shared" si="25"/>
        <v>0.18406815911057672</v>
      </c>
      <c r="C43" s="94">
        <f t="shared" ref="C43:L43" si="38">ABS(C14/C$3)</f>
        <v>0.17135445556434756</v>
      </c>
      <c r="D43" s="94">
        <f t="shared" si="38"/>
        <v>0.18526092530973415</v>
      </c>
      <c r="E43" s="94">
        <f t="shared" si="38"/>
        <v>0.18343417581817276</v>
      </c>
      <c r="F43" s="94">
        <f t="shared" si="38"/>
        <v>0.18828610998211673</v>
      </c>
      <c r="G43" s="94">
        <f t="shared" si="38"/>
        <v>0.17527602387179544</v>
      </c>
      <c r="H43" s="94">
        <f t="shared" si="38"/>
        <v>0.18262059306559777</v>
      </c>
      <c r="I43" s="94">
        <f t="shared" si="38"/>
        <v>0.18076377268911423</v>
      </c>
      <c r="J43" s="94">
        <f t="shared" si="38"/>
        <v>0.1884578044772941</v>
      </c>
      <c r="K43" s="94">
        <f t="shared" si="38"/>
        <v>0.17877696844905103</v>
      </c>
      <c r="L43" s="119">
        <f t="shared" si="38"/>
        <v>0.17240961032965962</v>
      </c>
      <c r="M43" s="94">
        <f t="shared" si="27"/>
        <v>0.18780699870570616</v>
      </c>
      <c r="N43" s="152"/>
    </row>
    <row r="44" spans="1:14" x14ac:dyDescent="0.25">
      <c r="A44" s="82" t="str">
        <f t="shared" si="24"/>
        <v>less Depr. &amp; Amort. (DA)</v>
      </c>
      <c r="B44" s="114">
        <f t="shared" si="25"/>
        <v>9.2684894058052379E-3</v>
      </c>
      <c r="C44" s="114">
        <f t="shared" ref="C44:L44" si="39">ABS(C15/C$3)</f>
        <v>9.9982036249136111E-3</v>
      </c>
      <c r="D44" s="114">
        <f t="shared" si="39"/>
        <v>1.0427705463500679E-2</v>
      </c>
      <c r="E44" s="114">
        <f t="shared" si="39"/>
        <v>1.0155589453012582E-2</v>
      </c>
      <c r="F44" s="114">
        <f t="shared" si="39"/>
        <v>9.4181331283524489E-3</v>
      </c>
      <c r="G44" s="114">
        <f t="shared" si="39"/>
        <v>9.1169694508853281E-3</v>
      </c>
      <c r="H44" s="114">
        <f t="shared" si="39"/>
        <v>1.0108866086513641E-2</v>
      </c>
      <c r="I44" s="114">
        <f t="shared" si="39"/>
        <v>1.0187675332483494E-2</v>
      </c>
      <c r="J44" s="114">
        <f t="shared" si="39"/>
        <v>1.1730042663703375E-2</v>
      </c>
      <c r="K44" s="114">
        <f t="shared" si="39"/>
        <v>1.0353887153111077E-2</v>
      </c>
      <c r="L44" s="115">
        <f t="shared" si="39"/>
        <v>9.7138877140596248E-3</v>
      </c>
      <c r="M44" s="114">
        <f t="shared" si="27"/>
        <v>1.0433566329916369E-2</v>
      </c>
      <c r="N44" s="151"/>
    </row>
    <row r="45" spans="1:14" x14ac:dyDescent="0.25">
      <c r="A45" s="75" t="str">
        <f t="shared" si="24"/>
        <v>Operating Profit</v>
      </c>
      <c r="B45" s="116">
        <f t="shared" si="25"/>
        <v>0.17479966970477148</v>
      </c>
      <c r="C45" s="116">
        <f t="shared" ref="C45:L45" si="40">ABS(C16/C$3)</f>
        <v>0.16135625193943395</v>
      </c>
      <c r="D45" s="116">
        <f t="shared" si="40"/>
        <v>0.17483321984623346</v>
      </c>
      <c r="E45" s="116">
        <f t="shared" si="40"/>
        <v>0.17327858636516019</v>
      </c>
      <c r="F45" s="116">
        <f t="shared" si="40"/>
        <v>0.17886797685376429</v>
      </c>
      <c r="G45" s="116">
        <f t="shared" si="40"/>
        <v>0.16615905442091011</v>
      </c>
      <c r="H45" s="116">
        <f t="shared" si="40"/>
        <v>0.17251172697908412</v>
      </c>
      <c r="I45" s="116">
        <f t="shared" si="40"/>
        <v>0.17057609735663073</v>
      </c>
      <c r="J45" s="116">
        <f t="shared" si="40"/>
        <v>0.17672776181359073</v>
      </c>
      <c r="K45" s="116">
        <f t="shared" si="40"/>
        <v>0.16842308129593994</v>
      </c>
      <c r="L45" s="117">
        <f t="shared" si="40"/>
        <v>0.1626957226156</v>
      </c>
      <c r="M45" s="116">
        <f t="shared" si="27"/>
        <v>0.17737343237578981</v>
      </c>
    </row>
    <row r="46" spans="1:14" x14ac:dyDescent="0.25">
      <c r="A46" s="37" t="str">
        <f t="shared" si="24"/>
        <v>Interest Expense</v>
      </c>
      <c r="B46" s="118">
        <f t="shared" si="25"/>
        <v>1.6383280930449429E-2</v>
      </c>
      <c r="C46" s="118">
        <f t="shared" ref="C46:L46" si="41">ABS(C17/C$3)</f>
        <v>1.702590893754595E-2</v>
      </c>
      <c r="D46" s="118">
        <f t="shared" si="41"/>
        <v>1.708226384907411E-2</v>
      </c>
      <c r="E46" s="118">
        <f t="shared" si="41"/>
        <v>1.5979067086685072E-2</v>
      </c>
      <c r="F46" s="118">
        <f t="shared" si="41"/>
        <v>1.4209046977130699E-2</v>
      </c>
      <c r="G46" s="118">
        <f t="shared" si="41"/>
        <v>1.3164492945215066E-2</v>
      </c>
      <c r="H46" s="118">
        <f t="shared" si="41"/>
        <v>1.3942344800141669E-2</v>
      </c>
      <c r="I46" s="118">
        <f t="shared" si="41"/>
        <v>1.3391536114408803E-2</v>
      </c>
      <c r="J46" s="118">
        <f t="shared" si="41"/>
        <v>1.4659603474837126E-2</v>
      </c>
      <c r="K46" s="118">
        <f t="shared" si="41"/>
        <v>1.226949142905239E-2</v>
      </c>
      <c r="L46" s="119">
        <f t="shared" si="41"/>
        <v>1.0882250671695032E-2</v>
      </c>
      <c r="M46" s="118">
        <f t="shared" si="27"/>
        <v>1.1013068693601418E-2</v>
      </c>
    </row>
    <row r="47" spans="1:14" x14ac:dyDescent="0.25">
      <c r="A47" s="37" t="str">
        <f t="shared" si="24"/>
        <v>Nonoperating Income (Expense)</v>
      </c>
      <c r="B47" s="118">
        <f t="shared" si="25"/>
        <v>0</v>
      </c>
      <c r="C47" s="118">
        <f t="shared" ref="C47:L47" si="42">ABS(C18/C$3)</f>
        <v>0</v>
      </c>
      <c r="D47" s="118">
        <f t="shared" si="42"/>
        <v>0</v>
      </c>
      <c r="E47" s="118">
        <f t="shared" si="42"/>
        <v>0</v>
      </c>
      <c r="F47" s="118">
        <f t="shared" si="42"/>
        <v>0</v>
      </c>
      <c r="G47" s="118">
        <f t="shared" si="42"/>
        <v>0</v>
      </c>
      <c r="H47" s="118">
        <f t="shared" si="42"/>
        <v>0</v>
      </c>
      <c r="I47" s="118">
        <f t="shared" si="42"/>
        <v>0</v>
      </c>
      <c r="J47" s="118">
        <f t="shared" si="42"/>
        <v>0</v>
      </c>
      <c r="K47" s="118">
        <f t="shared" si="42"/>
        <v>0</v>
      </c>
      <c r="L47" s="119">
        <f t="shared" si="42"/>
        <v>0</v>
      </c>
      <c r="M47" s="118">
        <f t="shared" si="27"/>
        <v>0</v>
      </c>
    </row>
    <row r="48" spans="1:14" x14ac:dyDescent="0.25">
      <c r="A48" s="79" t="str">
        <f t="shared" si="24"/>
        <v>Special Items</v>
      </c>
      <c r="B48" s="114">
        <f t="shared" si="25"/>
        <v>0</v>
      </c>
      <c r="C48" s="114">
        <f t="shared" ref="C48:L48" si="43">ABS(C19/C$3)</f>
        <v>0</v>
      </c>
      <c r="D48" s="114">
        <f t="shared" si="43"/>
        <v>0</v>
      </c>
      <c r="E48" s="114">
        <f t="shared" si="43"/>
        <v>0</v>
      </c>
      <c r="F48" s="114">
        <f t="shared" si="43"/>
        <v>0</v>
      </c>
      <c r="G48" s="114">
        <f t="shared" si="43"/>
        <v>0</v>
      </c>
      <c r="H48" s="114">
        <f t="shared" si="43"/>
        <v>0</v>
      </c>
      <c r="I48" s="114">
        <f t="shared" si="43"/>
        <v>0</v>
      </c>
      <c r="J48" s="114">
        <f t="shared" si="43"/>
        <v>0</v>
      </c>
      <c r="K48" s="114">
        <f t="shared" si="43"/>
        <v>0</v>
      </c>
      <c r="L48" s="115">
        <f t="shared" si="43"/>
        <v>0</v>
      </c>
      <c r="M48" s="114">
        <f t="shared" si="27"/>
        <v>0</v>
      </c>
    </row>
    <row r="49" spans="1:14" x14ac:dyDescent="0.25">
      <c r="A49" s="1" t="str">
        <f t="shared" si="24"/>
        <v>Income before Taxes (EBT)</v>
      </c>
      <c r="B49" s="118">
        <f t="shared" si="25"/>
        <v>0.15841638877432204</v>
      </c>
      <c r="C49" s="118">
        <f t="shared" ref="C49:L49" si="44">ABS(C20/C$3)</f>
        <v>0.14433034300188802</v>
      </c>
      <c r="D49" s="118">
        <f t="shared" si="44"/>
        <v>0.15775095599715935</v>
      </c>
      <c r="E49" s="118">
        <f t="shared" si="44"/>
        <v>0.1572995192784751</v>
      </c>
      <c r="F49" s="118">
        <f t="shared" si="44"/>
        <v>0.16465892987663361</v>
      </c>
      <c r="G49" s="118">
        <f t="shared" si="44"/>
        <v>0.15299456147569504</v>
      </c>
      <c r="H49" s="118">
        <f t="shared" si="44"/>
        <v>0.15856938217894248</v>
      </c>
      <c r="I49" s="118">
        <f t="shared" si="44"/>
        <v>0.15718456124222194</v>
      </c>
      <c r="J49" s="118">
        <f t="shared" si="44"/>
        <v>0.1620681583387536</v>
      </c>
      <c r="K49" s="118">
        <f t="shared" si="44"/>
        <v>0.15615358986688757</v>
      </c>
      <c r="L49" s="118">
        <f t="shared" si="44"/>
        <v>0.15181347194390496</v>
      </c>
      <c r="M49" s="118">
        <f t="shared" si="27"/>
        <v>0.1663603636821884</v>
      </c>
    </row>
    <row r="50" spans="1:14" x14ac:dyDescent="0.25">
      <c r="A50" s="1" t="str">
        <f t="shared" si="24"/>
        <v xml:space="preserve">  less Income Taxes</v>
      </c>
      <c r="B50" s="118">
        <f t="shared" si="25"/>
        <v>4.2772424969066955E-2</v>
      </c>
      <c r="C50" s="118">
        <f t="shared" ref="C50:L50" si="45">ABS(C21/C$3)</f>
        <v>3.8969192610509767E-2</v>
      </c>
      <c r="D50" s="118">
        <f t="shared" si="45"/>
        <v>4.2592758119233028E-2</v>
      </c>
      <c r="E50" s="118">
        <f t="shared" si="45"/>
        <v>4.2470870205188277E-2</v>
      </c>
      <c r="F50" s="118">
        <f t="shared" si="45"/>
        <v>4.4457911066691072E-2</v>
      </c>
      <c r="G50" s="118">
        <f t="shared" si="45"/>
        <v>4.1308531598437663E-2</v>
      </c>
      <c r="H50" s="118">
        <f t="shared" si="45"/>
        <v>4.2813733188314475E-2</v>
      </c>
      <c r="I50" s="118">
        <f t="shared" si="45"/>
        <v>4.2439831535399923E-2</v>
      </c>
      <c r="J50" s="118">
        <f t="shared" si="45"/>
        <v>4.3758402751463477E-2</v>
      </c>
      <c r="K50" s="118">
        <f t="shared" si="45"/>
        <v>4.2161469264059642E-2</v>
      </c>
      <c r="L50" s="118">
        <f t="shared" si="45"/>
        <v>4.0989637424854342E-2</v>
      </c>
      <c r="M50" s="118">
        <f t="shared" si="27"/>
        <v>4.4917298194190873E-2</v>
      </c>
      <c r="N50" s="151"/>
    </row>
    <row r="51" spans="1:14" x14ac:dyDescent="0.25">
      <c r="A51" s="78" t="s">
        <v>84</v>
      </c>
      <c r="B51" s="114">
        <f t="shared" si="25"/>
        <v>9.2684894058052379E-3</v>
      </c>
      <c r="C51" s="114">
        <f t="shared" ref="C51:L51" si="46">ABS(C22/C$3)</f>
        <v>9.9982036249136111E-3</v>
      </c>
      <c r="D51" s="114">
        <f t="shared" si="46"/>
        <v>1.0427705463500679E-2</v>
      </c>
      <c r="E51" s="114">
        <f t="shared" si="46"/>
        <v>1.0155589453012582E-2</v>
      </c>
      <c r="F51" s="114">
        <f t="shared" si="46"/>
        <v>9.4181331283524489E-3</v>
      </c>
      <c r="G51" s="114">
        <f t="shared" si="46"/>
        <v>9.1169694508853281E-3</v>
      </c>
      <c r="H51" s="114">
        <f t="shared" si="46"/>
        <v>1.0108866086513641E-2</v>
      </c>
      <c r="I51" s="114">
        <f t="shared" si="46"/>
        <v>1.0187675332483494E-2</v>
      </c>
      <c r="J51" s="114">
        <f t="shared" si="46"/>
        <v>1.1730042663703375E-2</v>
      </c>
      <c r="K51" s="114">
        <f t="shared" si="46"/>
        <v>1.0353887153111077E-2</v>
      </c>
      <c r="L51" s="114">
        <f t="shared" si="46"/>
        <v>9.7138877140596248E-3</v>
      </c>
      <c r="M51" s="114">
        <f t="shared" si="27"/>
        <v>1.0433566329916369E-2</v>
      </c>
      <c r="N51" s="151"/>
    </row>
    <row r="52" spans="1:14" ht="14.4" thickBot="1" x14ac:dyDescent="0.3">
      <c r="A52" s="81" t="str">
        <f t="shared" ref="A52" si="47">A23</f>
        <v>Net Income</v>
      </c>
      <c r="B52" s="122">
        <f>SUM(B49:B50)</f>
        <v>0.20118881374338898</v>
      </c>
      <c r="C52" s="122">
        <f t="shared" ref="C52:L52" si="48">SUM(C49:C50)</f>
        <v>0.18329953561239778</v>
      </c>
      <c r="D52" s="122">
        <f t="shared" si="48"/>
        <v>0.20034371411639237</v>
      </c>
      <c r="E52" s="122">
        <f t="shared" si="48"/>
        <v>0.19977038948366338</v>
      </c>
      <c r="F52" s="122">
        <f t="shared" si="48"/>
        <v>0.20911684094332467</v>
      </c>
      <c r="G52" s="122">
        <f t="shared" si="48"/>
        <v>0.19430309307413271</v>
      </c>
      <c r="H52" s="122">
        <f t="shared" si="48"/>
        <v>0.20138311536725695</v>
      </c>
      <c r="I52" s="122">
        <f t="shared" si="48"/>
        <v>0.19962439277762187</v>
      </c>
      <c r="J52" s="122">
        <f t="shared" si="48"/>
        <v>0.20582656109021708</v>
      </c>
      <c r="K52" s="122">
        <f t="shared" si="48"/>
        <v>0.19831505913094721</v>
      </c>
      <c r="L52" s="123">
        <f t="shared" si="48"/>
        <v>0.1928031093687593</v>
      </c>
      <c r="M52" s="122">
        <f t="shared" si="27"/>
        <v>0.1318766318179139</v>
      </c>
    </row>
    <row r="53" spans="1:14" x14ac:dyDescent="0.25">
      <c r="M53" s="118"/>
    </row>
  </sheetData>
  <mergeCells count="3">
    <mergeCell ref="Q6:U6"/>
    <mergeCell ref="A25:L25"/>
    <mergeCell ref="A31:M31"/>
  </mergeCells>
  <conditionalFormatting sqref="C1:L1">
    <cfRule type="cellIs" dxfId="1" priority="1" operator="lessThan">
      <formula>-0.06</formula>
    </cfRule>
  </conditionalFormatting>
  <dataValidations count="2">
    <dataValidation type="list" allowBlank="1" showInputMessage="1" showErrorMessage="1" sqref="Q3" xr:uid="{D3CA94FE-7828-4BCF-97CD-173E9660C957}">
      <formula1>".035,.04,.045,.0475,.05,.0525,.05675,.06,.625,.0675,.07"</formula1>
    </dataValidation>
    <dataValidation type="list" allowBlank="1" showInputMessage="1" showErrorMessage="1" sqref="N1" xr:uid="{D70F556A-C652-4FEA-8200-C43E739C7D8C}">
      <formula1>"Budget,Forecast"</formula1>
    </dataValidation>
  </dataValidations>
  <pageMargins left="0.7" right="0.7" top="0.75" bottom="0.75" header="0.3" footer="0.3"/>
  <legacyDrawing r:id="rId1"/>
  <extLst>
    <ext xmlns:x14="http://schemas.microsoft.com/office/spreadsheetml/2009/9/main" uri="{05C60535-1F16-4fd2-B633-F4F36F0B64E0}">
      <x14:sparklineGroups xmlns:xm="http://schemas.microsoft.com/office/excel/2006/main">
        <x14:sparklineGroup displayEmptyCellsAs="span" xr2:uid="{DDF33FF1-4CCE-484B-9C53-911922923EC6}">
          <x14:colorSeries rgb="FF376092"/>
          <x14:colorNegative rgb="FFD00000"/>
          <x14:colorAxis rgb="FF000000"/>
          <x14:colorMarkers rgb="FFD00000"/>
          <x14:colorFirst rgb="FFD00000"/>
          <x14:colorLast rgb="FFD00000"/>
          <x14:colorHigh rgb="FFD00000"/>
          <x14:colorLow rgb="FFD00000"/>
          <x14:sparklines>
            <x14:sparkline>
              <xm:f>'Hardware Pro-Forma'!B32:M32</xm:f>
              <xm:sqref>N32</xm:sqref>
            </x14:sparkline>
            <x14:sparkline>
              <xm:f>'Hardware Pro-Forma'!B33:M33</xm:f>
              <xm:sqref>N33</xm:sqref>
            </x14:sparkline>
            <x14:sparkline>
              <xm:f>'Hardware Pro-Forma'!B34:M34</xm:f>
              <xm:sqref>N34</xm:sqref>
            </x14:sparkline>
            <x14:sparkline>
              <xm:f>'Hardware Pro-Forma'!B35:M35</xm:f>
              <xm:sqref>N35</xm:sqref>
            </x14:sparkline>
            <x14:sparkline>
              <xm:f>'Hardware Pro-Forma'!B36:M36</xm:f>
              <xm:sqref>N36</xm:sqref>
            </x14:sparkline>
            <x14:sparkline>
              <xm:f>'Hardware Pro-Forma'!B37:M37</xm:f>
              <xm:sqref>N37</xm:sqref>
            </x14:sparkline>
            <x14:sparkline>
              <xm:f>'Hardware Pro-Forma'!B38:M38</xm:f>
              <xm:sqref>N38</xm:sqref>
            </x14:sparkline>
            <x14:sparkline>
              <xm:f>'Hardware Pro-Forma'!B39:M39</xm:f>
              <xm:sqref>N39</xm:sqref>
            </x14:sparkline>
            <x14:sparkline>
              <xm:f>'Hardware Pro-Forma'!B40:M40</xm:f>
              <xm:sqref>N40</xm:sqref>
            </x14:sparkline>
            <x14:sparkline>
              <xm:f>'Hardware Pro-Forma'!B41:M41</xm:f>
              <xm:sqref>N41</xm:sqref>
            </x14:sparkline>
            <x14:sparkline>
              <xm:f>'Hardware Pro-Forma'!B42:M42</xm:f>
              <xm:sqref>N42</xm:sqref>
            </x14:sparkline>
            <x14:sparkline>
              <xm:f>'Hardware Pro-Forma'!B43:M43</xm:f>
              <xm:sqref>N43</xm:sqref>
            </x14:sparkline>
            <x14:sparkline>
              <xm:f>'Hardware Pro-Forma'!B44:M44</xm:f>
              <xm:sqref>N44</xm:sqref>
            </x14:sparkline>
            <x14:sparkline>
              <xm:f>'Hardware Pro-Forma'!B45:M45</xm:f>
              <xm:sqref>N45</xm:sqref>
            </x14:sparkline>
            <x14:sparkline>
              <xm:f>'Hardware Pro-Forma'!B46:M46</xm:f>
              <xm:sqref>N46</xm:sqref>
            </x14:sparkline>
            <x14:sparkline>
              <xm:f>'Hardware Pro-Forma'!B47:M47</xm:f>
              <xm:sqref>N47</xm:sqref>
            </x14:sparkline>
            <x14:sparkline>
              <xm:f>'Hardware Pro-Forma'!B48:M48</xm:f>
              <xm:sqref>N48</xm:sqref>
            </x14:sparkline>
            <x14:sparkline>
              <xm:f>'Hardware Pro-Forma'!B49:M49</xm:f>
              <xm:sqref>N49</xm:sqref>
            </x14:sparkline>
            <x14:sparkline>
              <xm:f>'Hardware Pro-Forma'!B50:M50</xm:f>
              <xm:sqref>N50</xm:sqref>
            </x14:sparkline>
            <x14:sparkline>
              <xm:f>'Hardware Pro-Forma'!B51:M51</xm:f>
              <xm:sqref>N51</xm:sqref>
            </x14:sparkline>
            <x14:sparkline>
              <xm:f>'Hardware Pro-Forma'!B52:M52</xm:f>
              <xm:sqref>N52</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BED64-EC6C-4001-8429-766DF1E31BF1}">
  <dimension ref="A1:U51"/>
  <sheetViews>
    <sheetView zoomScale="62" zoomScaleNormal="55" workbookViewId="0">
      <pane xSplit="1" topLeftCell="B1" activePane="topRight" state="frozen"/>
      <selection pane="topRight" activeCell="O24" sqref="O24"/>
    </sheetView>
  </sheetViews>
  <sheetFormatPr defaultRowHeight="13.8" x14ac:dyDescent="0.25"/>
  <cols>
    <col min="1" max="1" width="36" style="1" bestFit="1" customWidth="1"/>
    <col min="2" max="5" width="15.77734375" style="1" bestFit="1" customWidth="1"/>
    <col min="6" max="6" width="15.77734375" style="1" customWidth="1"/>
    <col min="7" max="9" width="15.77734375" style="1" bestFit="1" customWidth="1"/>
    <col min="10" max="10" width="15.5546875" style="1" customWidth="1"/>
    <col min="11" max="12" width="15.77734375" style="1" bestFit="1" customWidth="1"/>
    <col min="13" max="13" width="20.5546875" style="1" bestFit="1" customWidth="1"/>
    <col min="14" max="14" width="13.88671875" style="1" customWidth="1"/>
    <col min="15" max="15" width="8.88671875" style="1"/>
    <col min="16" max="16" width="9.109375" style="1" bestFit="1" customWidth="1"/>
    <col min="17" max="17" width="16.21875" style="1" bestFit="1" customWidth="1"/>
    <col min="18" max="18" width="17.44140625" style="1" bestFit="1" customWidth="1"/>
    <col min="19" max="19" width="16.6640625" style="1" bestFit="1" customWidth="1"/>
    <col min="20" max="20" width="14.6640625" style="1" bestFit="1" customWidth="1"/>
    <col min="21" max="21" width="16.88671875" style="1" bestFit="1" customWidth="1"/>
    <col min="22" max="16384" width="8.88671875" style="1"/>
  </cols>
  <sheetData>
    <row r="1" spans="1:21" ht="21.6" thickBot="1" x14ac:dyDescent="0.3">
      <c r="A1" s="25" t="s">
        <v>37</v>
      </c>
      <c r="B1" s="34"/>
      <c r="C1" s="83">
        <f>(C3-B3)/B3</f>
        <v>-6.5467105354983179E-2</v>
      </c>
      <c r="D1" s="84">
        <f t="shared" ref="D1:L1" si="0">(D3-C3)/C3</f>
        <v>-6.7427606086129896E-2</v>
      </c>
      <c r="E1" s="84">
        <f t="shared" si="0"/>
        <v>-1.39442636620622E-2</v>
      </c>
      <c r="F1" s="84">
        <f t="shared" si="0"/>
        <v>0.15156788046035155</v>
      </c>
      <c r="G1" s="84">
        <f t="shared" si="0"/>
        <v>-2.2651821844405239E-2</v>
      </c>
      <c r="H1" s="84">
        <f t="shared" si="0"/>
        <v>-4.8898614738411873E-2</v>
      </c>
      <c r="I1" s="84">
        <f t="shared" si="0"/>
        <v>-1.9916346039874449E-2</v>
      </c>
      <c r="J1" s="84">
        <f t="shared" si="0"/>
        <v>-9.3540647070280231E-2</v>
      </c>
      <c r="K1" s="84">
        <f t="shared" si="0"/>
        <v>2.6124832330359674E-2</v>
      </c>
      <c r="L1" s="85">
        <f t="shared" si="0"/>
        <v>0.13745687343842153</v>
      </c>
      <c r="M1" s="150" t="s">
        <v>65</v>
      </c>
      <c r="N1" s="149" t="s">
        <v>25</v>
      </c>
      <c r="O1" s="34"/>
      <c r="P1" s="34"/>
    </row>
    <row r="2" spans="1:21" ht="14.4" thickBot="1" x14ac:dyDescent="0.3">
      <c r="A2" s="65" t="s">
        <v>28</v>
      </c>
      <c r="B2" s="39">
        <v>2012</v>
      </c>
      <c r="C2" s="39">
        <f>B2+1</f>
        <v>2013</v>
      </c>
      <c r="D2" s="39">
        <f t="shared" ref="D2:L2" si="1">C2+1</f>
        <v>2014</v>
      </c>
      <c r="E2" s="39">
        <f t="shared" si="1"/>
        <v>2015</v>
      </c>
      <c r="F2" s="39">
        <f t="shared" si="1"/>
        <v>2016</v>
      </c>
      <c r="G2" s="39">
        <f t="shared" si="1"/>
        <v>2017</v>
      </c>
      <c r="H2" s="39">
        <f t="shared" si="1"/>
        <v>2018</v>
      </c>
      <c r="I2" s="39">
        <f t="shared" si="1"/>
        <v>2019</v>
      </c>
      <c r="J2" s="39">
        <f t="shared" si="1"/>
        <v>2020</v>
      </c>
      <c r="K2" s="39">
        <f t="shared" si="1"/>
        <v>2021</v>
      </c>
      <c r="L2" s="39">
        <f t="shared" si="1"/>
        <v>2022</v>
      </c>
      <c r="M2" s="39">
        <f>L2+1</f>
        <v>2023</v>
      </c>
      <c r="N2" s="23"/>
      <c r="O2" s="23"/>
      <c r="P2" s="46" t="s">
        <v>54</v>
      </c>
      <c r="Q2" s="46" t="s">
        <v>55</v>
      </c>
      <c r="R2" s="45" t="s">
        <v>43</v>
      </c>
      <c r="S2" s="45" t="s">
        <v>49</v>
      </c>
    </row>
    <row r="3" spans="1:21" ht="14.4" thickBot="1" x14ac:dyDescent="0.3">
      <c r="A3" s="73" t="s">
        <v>15</v>
      </c>
      <c r="B3" s="133">
        <f>VLOOKUP(CONCATENATE(B$2," ",$A3),'Advertising All Line Items'!$A$1:$V$118,18,FALSE)</f>
        <v>249390381.65000004</v>
      </c>
      <c r="C3" s="40">
        <f>VLOOKUP(CONCATENATE(C$2," ",$A3),'Advertising All Line Items'!$A$1:$V$118,18,FALSE)</f>
        <v>233063515.26000002</v>
      </c>
      <c r="D3" s="40">
        <f>VLOOKUP(CONCATENATE(D$2," ",$A3),'Advertising All Line Items'!$A$1:$V$118,18,FALSE)</f>
        <v>217348600.36000001</v>
      </c>
      <c r="E3" s="40">
        <f>VLOOKUP(CONCATENATE(E$2," ",$A3),'Advertising All Line Items'!$A$1:$V$118,18,FALSE)</f>
        <v>214317834.16999999</v>
      </c>
      <c r="F3" s="40">
        <f>VLOOKUP(CONCATENATE(F$2," ",$A3),'Advertising All Line Items'!$A$1:$V$118,18,FALSE)</f>
        <v>246801534.03999999</v>
      </c>
      <c r="G3" s="40">
        <f>VLOOKUP(CONCATENATE(G$2," ",$A3),'Advertising All Line Items'!$A$1:$V$118,18,FALSE)</f>
        <v>241211029.66</v>
      </c>
      <c r="H3" s="40">
        <f>VLOOKUP(CONCATENATE(H$2," ",$A3),'Advertising All Line Items'!$A$1:$V$118,18,FALSE)</f>
        <v>229416144.45000002</v>
      </c>
      <c r="I3" s="40">
        <f>VLOOKUP(CONCATENATE(I$2," ",$A3),'Advertising All Line Items'!$A$1:$V$118,18,FALSE)</f>
        <v>224847013.13</v>
      </c>
      <c r="J3" s="40">
        <f>VLOOKUP(CONCATENATE(J$2," ",$A3),'Advertising All Line Items'!$A$1:$V$118,18,FALSE)</f>
        <v>203814678.03</v>
      </c>
      <c r="K3" s="40">
        <f>VLOOKUP(CONCATENATE(K$2," ",$A3),'Advertising All Line Items'!$A$1:$V$118,18,FALSE)</f>
        <v>209139302.31999999</v>
      </c>
      <c r="L3" s="66">
        <f>VLOOKUP(CONCATENATE(L$2," ",$A3),'Advertising All Line Items'!$A$1:$V$118,18,FALSE)</f>
        <v>237886936.93000001</v>
      </c>
      <c r="M3" s="57">
        <f>VLOOKUP(CONCATENATE($M$2," ",$N$1," ",$A3),'Advertising All Line Items'!$C$1:$V$118,16,FALSE)</f>
        <v>217400409.76999998</v>
      </c>
      <c r="N3" s="23"/>
      <c r="O3" s="23"/>
      <c r="P3" s="47">
        <v>0.27</v>
      </c>
      <c r="Q3" s="47">
        <v>0.06</v>
      </c>
      <c r="R3" s="62" cm="1">
        <f t="array" ref="R3">AVERAGE(($B$3:$L$3)*0.3)</f>
        <v>68379190.090909109</v>
      </c>
      <c r="S3" s="48">
        <f>AVERAGE((B3)*0.3-0)/30</f>
        <v>2493903.8165000002</v>
      </c>
    </row>
    <row r="4" spans="1:21" x14ac:dyDescent="0.25">
      <c r="A4" s="74" t="s">
        <v>34</v>
      </c>
      <c r="B4" s="134">
        <f>VLOOKUP(CONCATENATE(B$2," ",$A4),'Advertising All Line Items'!$A$1:$V$118,18,FALSE)</f>
        <v>-116945952</v>
      </c>
      <c r="C4" s="41">
        <f>VLOOKUP(CONCATENATE(C$2," ",$A4),'Advertising All Line Items'!$A$1:$V$118,18,FALSE)</f>
        <v>-103903250</v>
      </c>
      <c r="D4" s="41">
        <f>VLOOKUP(CONCATENATE(D$2," ",$A4),'Advertising All Line Items'!$A$1:$V$118,18,FALSE)</f>
        <v>-96089276</v>
      </c>
      <c r="E4" s="41">
        <f>VLOOKUP(CONCATENATE(E$2," ",$A4),'Advertising All Line Items'!$A$1:$V$118,18,FALSE)</f>
        <v>-100128619</v>
      </c>
      <c r="F4" s="41">
        <f>VLOOKUP(CONCATENATE(F$2," ",$A4),'Advertising All Line Items'!$A$1:$V$118,18,FALSE)</f>
        <v>-114997104</v>
      </c>
      <c r="G4" s="41">
        <f>VLOOKUP(CONCATENATE(G$2," ",$A4),'Advertising All Line Items'!$A$1:$V$118,18,FALSE)</f>
        <v>-104321826</v>
      </c>
      <c r="H4" s="41">
        <f>VLOOKUP(CONCATENATE(H$2," ",$A4),'Advertising All Line Items'!$A$1:$V$118,18,FALSE)</f>
        <v>-103892217</v>
      </c>
      <c r="I4" s="41">
        <f>VLOOKUP(CONCATENATE(I$2," ",$A4),'Advertising All Line Items'!$A$1:$V$118,18,FALSE)</f>
        <v>-100340543</v>
      </c>
      <c r="J4" s="41">
        <f>VLOOKUP(CONCATENATE(J$2," ",$A4),'Advertising All Line Items'!$A$1:$V$118,18,FALSE)</f>
        <v>-96180023</v>
      </c>
      <c r="K4" s="41">
        <f>VLOOKUP(CONCATENATE(K$2," ",$A4),'Advertising All Line Items'!$A$1:$V$118,18,FALSE)</f>
        <v>-93684214</v>
      </c>
      <c r="L4" s="67">
        <f>VLOOKUP(CONCATENATE(L$2," ",$A4),'Advertising All Line Items'!$A$1:$V$118,18,FALSE)</f>
        <v>-102619389</v>
      </c>
      <c r="M4" s="57">
        <f>VLOOKUP(CONCATENATE($M$2," ",$N$1," ",$A4),'Advertising All Line Items'!$C$1:$V$118,16,FALSE)</f>
        <v>-94465341</v>
      </c>
      <c r="N4" s="23"/>
      <c r="O4" s="23"/>
    </row>
    <row r="5" spans="1:21" ht="14.4" thickBot="1" x14ac:dyDescent="0.3">
      <c r="A5" s="75" t="s">
        <v>36</v>
      </c>
      <c r="B5" s="135">
        <f>SUM(B3:B4)</f>
        <v>132444429.65000004</v>
      </c>
      <c r="C5" s="42">
        <f t="shared" ref="C5:M5" si="2">SUM(C3:C4)</f>
        <v>129160265.26000002</v>
      </c>
      <c r="D5" s="42">
        <f t="shared" si="2"/>
        <v>121259324.36000001</v>
      </c>
      <c r="E5" s="42">
        <f t="shared" si="2"/>
        <v>114189215.16999999</v>
      </c>
      <c r="F5" s="42">
        <f t="shared" si="2"/>
        <v>131804430.03999999</v>
      </c>
      <c r="G5" s="42">
        <f t="shared" si="2"/>
        <v>136889203.66</v>
      </c>
      <c r="H5" s="42">
        <f t="shared" si="2"/>
        <v>125523927.45000002</v>
      </c>
      <c r="I5" s="42">
        <f t="shared" si="2"/>
        <v>124506470.13</v>
      </c>
      <c r="J5" s="42">
        <f t="shared" si="2"/>
        <v>107634655.03</v>
      </c>
      <c r="K5" s="42">
        <f t="shared" si="2"/>
        <v>115455088.31999999</v>
      </c>
      <c r="L5" s="68">
        <f t="shared" si="2"/>
        <v>135267547.93000001</v>
      </c>
      <c r="M5" s="146">
        <f t="shared" si="2"/>
        <v>122935068.76999998</v>
      </c>
      <c r="N5" s="42"/>
      <c r="O5" s="42"/>
      <c r="P5" s="42"/>
    </row>
    <row r="6" spans="1:21" ht="14.4" thickBot="1" x14ac:dyDescent="0.3">
      <c r="A6" s="76" t="s">
        <v>38</v>
      </c>
      <c r="B6" s="29">
        <f t="shared" ref="B6:M6" si="3">SUM(B7:B12)</f>
        <v>-63436179</v>
      </c>
      <c r="C6" s="23">
        <f t="shared" si="3"/>
        <v>-58847629</v>
      </c>
      <c r="D6" s="23">
        <f t="shared" si="3"/>
        <v>-55131836</v>
      </c>
      <c r="E6" s="23">
        <f t="shared" si="3"/>
        <v>-54374111</v>
      </c>
      <c r="F6" s="23">
        <f t="shared" si="3"/>
        <v>-61873435</v>
      </c>
      <c r="G6" s="23">
        <f t="shared" si="3"/>
        <v>-60870996</v>
      </c>
      <c r="H6" s="23">
        <f t="shared" si="3"/>
        <v>-57363809</v>
      </c>
      <c r="I6" s="23">
        <f t="shared" si="3"/>
        <v>-55635879</v>
      </c>
      <c r="J6" s="23">
        <f t="shared" si="3"/>
        <v>-51309416</v>
      </c>
      <c r="K6" s="23">
        <f t="shared" si="3"/>
        <v>-53032393</v>
      </c>
      <c r="L6" s="30">
        <f t="shared" si="3"/>
        <v>-60524042</v>
      </c>
      <c r="M6" s="57">
        <f t="shared" si="3"/>
        <v>-63717382</v>
      </c>
      <c r="N6" s="23"/>
      <c r="O6" s="23"/>
      <c r="P6" s="23"/>
      <c r="Q6" s="220" t="s">
        <v>44</v>
      </c>
      <c r="R6" s="221"/>
      <c r="S6" s="221"/>
      <c r="T6" s="221"/>
      <c r="U6" s="222"/>
    </row>
    <row r="7" spans="1:21" ht="14.4" thickBot="1" x14ac:dyDescent="0.3">
      <c r="A7" s="77" t="s">
        <v>17</v>
      </c>
      <c r="B7" s="136">
        <f>VLOOKUP(CONCATENATE(B$2," ",$A7),'Advertising All Line Items'!$A$1:$V$118,18,FALSE)</f>
        <v>-11231586</v>
      </c>
      <c r="C7" s="43">
        <f>VLOOKUP(CONCATENATE(C$2," ",$A7),'Advertising All Line Items'!$A$1:$V$118,18,FALSE)</f>
        <v>-10320602</v>
      </c>
      <c r="D7" s="43">
        <f>VLOOKUP(CONCATENATE(D$2," ",$A7),'Advertising All Line Items'!$A$1:$V$118,18,FALSE)</f>
        <v>-9879999</v>
      </c>
      <c r="E7" s="43">
        <f>VLOOKUP(CONCATENATE(E$2," ",$A7),'Advertising All Line Items'!$A$1:$V$118,18,FALSE)</f>
        <v>-9529673</v>
      </c>
      <c r="F7" s="43">
        <f>VLOOKUP(CONCATENATE(F$2," ",$A7),'Advertising All Line Items'!$A$1:$V$118,18,FALSE)</f>
        <v>-11110701</v>
      </c>
      <c r="G7" s="43">
        <f>VLOOKUP(CONCATENATE(G$2," ",$A7),'Advertising All Line Items'!$A$1:$V$118,18,FALSE)</f>
        <v>-10829379</v>
      </c>
      <c r="H7" s="43">
        <f>VLOOKUP(CONCATENATE(H$2," ",$A7),'Advertising All Line Items'!$A$1:$V$118,18,FALSE)</f>
        <v>-10199977</v>
      </c>
      <c r="I7" s="43">
        <f>VLOOKUP(CONCATENATE(I$2," ",$A7),'Advertising All Line Items'!$A$1:$V$118,18,FALSE)</f>
        <v>-10211081</v>
      </c>
      <c r="J7" s="43">
        <f>VLOOKUP(CONCATENATE(J$2," ",$A7),'Advertising All Line Items'!$A$1:$V$118,18,FALSE)</f>
        <v>-9223419</v>
      </c>
      <c r="K7" s="43">
        <f>VLOOKUP(CONCATENATE(K$2," ",$A7),'Advertising All Line Items'!$A$1:$V$118,18,FALSE)</f>
        <v>-9269067</v>
      </c>
      <c r="L7" s="69">
        <f>VLOOKUP(CONCATENATE(L$2," ",$A7),'Advertising All Line Items'!$A$1:$V$118,18,FALSE)</f>
        <v>-10426423</v>
      </c>
      <c r="M7" s="57">
        <f>VLOOKUP(CONCATENATE($M$2," ",$N$1," ",$A7),'Advertising All Line Items'!$C$1:$V$118,16,FALSE)</f>
        <v>-9801714</v>
      </c>
      <c r="N7" s="43"/>
      <c r="O7" s="43"/>
      <c r="P7" s="43"/>
      <c r="Q7" s="53" t="s">
        <v>45</v>
      </c>
      <c r="R7" s="54" t="s">
        <v>46</v>
      </c>
      <c r="S7" s="54" t="s">
        <v>47</v>
      </c>
      <c r="T7" s="54" t="s">
        <v>48</v>
      </c>
      <c r="U7" s="55" t="s">
        <v>42</v>
      </c>
    </row>
    <row r="8" spans="1:21" x14ac:dyDescent="0.25">
      <c r="A8" s="77" t="s">
        <v>18</v>
      </c>
      <c r="B8" s="136">
        <f>VLOOKUP(CONCATENATE(B$2," ",$A8),'Advertising All Line Items'!$A$1:$V$118,18,FALSE)</f>
        <v>-28655077</v>
      </c>
      <c r="C8" s="43">
        <f>VLOOKUP(CONCATENATE(C$2," ",$A8),'Advertising All Line Items'!$A$1:$V$118,18,FALSE)</f>
        <v>-26800788</v>
      </c>
      <c r="D8" s="43">
        <f>VLOOKUP(CONCATENATE(D$2," ",$A8),'Advertising All Line Items'!$A$1:$V$118,18,FALSE)</f>
        <v>-25048154</v>
      </c>
      <c r="E8" s="43">
        <f>VLOOKUP(CONCATENATE(E$2," ",$A8),'Advertising All Line Items'!$A$1:$V$118,18,FALSE)</f>
        <v>-24712925</v>
      </c>
      <c r="F8" s="43">
        <f>VLOOKUP(CONCATENATE(F$2," ",$A8),'Advertising All Line Items'!$A$1:$V$118,18,FALSE)</f>
        <v>-27280317</v>
      </c>
      <c r="G8" s="43">
        <f>VLOOKUP(CONCATENATE(G$2," ",$A8),'Advertising All Line Items'!$A$1:$V$118,18,FALSE)</f>
        <v>-27216052</v>
      </c>
      <c r="H8" s="43">
        <f>VLOOKUP(CONCATENATE(H$2," ",$A8),'Advertising All Line Items'!$A$1:$V$118,18,FALSE)</f>
        <v>-25408674</v>
      </c>
      <c r="I8" s="43">
        <f>VLOOKUP(CONCATENATE(I$2," ",$A8),'Advertising All Line Items'!$A$1:$V$118,18,FALSE)</f>
        <v>-24945224</v>
      </c>
      <c r="J8" s="43">
        <f>VLOOKUP(CONCATENATE(J$2," ",$A8),'Advertising All Line Items'!$A$1:$V$118,18,FALSE)</f>
        <v>-23250825</v>
      </c>
      <c r="K8" s="43">
        <f>VLOOKUP(CONCATENATE(K$2," ",$A8),'Advertising All Line Items'!$A$1:$V$118,18,FALSE)</f>
        <v>-23798276</v>
      </c>
      <c r="L8" s="69">
        <f>VLOOKUP(CONCATENATE(L$2," ",$A8),'Advertising All Line Items'!$A$1:$V$118,18,FALSE)</f>
        <v>-27915808</v>
      </c>
      <c r="M8" s="57">
        <f>VLOOKUP(CONCATENATE($M$2," ",$N$1," ",$A8),'Advertising All Line Items'!$C$1:$V$118,16,FALSE)</f>
        <v>-24689433</v>
      </c>
      <c r="N8" s="43"/>
      <c r="O8" s="43"/>
      <c r="P8" s="50">
        <v>2012</v>
      </c>
      <c r="Q8" s="26">
        <f>R3</f>
        <v>68379190.090909109</v>
      </c>
      <c r="R8" s="142">
        <v>0</v>
      </c>
      <c r="S8" s="56">
        <f>$S$3</f>
        <v>2493903.8165000002</v>
      </c>
      <c r="T8" s="56">
        <f>Q8+R8-S8</f>
        <v>65885286.274409108</v>
      </c>
      <c r="U8" s="57">
        <f>-((Q8+T8)/2)*$Q$3</f>
        <v>-4027934.2909595463</v>
      </c>
    </row>
    <row r="9" spans="1:21" x14ac:dyDescent="0.25">
      <c r="A9" s="77" t="s">
        <v>19</v>
      </c>
      <c r="B9" s="136">
        <f>VLOOKUP(CONCATENATE(B$2," ",$A9),'Advertising All Line Items'!$A$1:$V$118,18,FALSE)</f>
        <v>-2879056</v>
      </c>
      <c r="C9" s="43">
        <f>VLOOKUP(CONCATENATE(C$2," ",$A9),'Advertising All Line Items'!$A$1:$V$118,18,FALSE)</f>
        <v>-2573129</v>
      </c>
      <c r="D9" s="43">
        <f>VLOOKUP(CONCATENATE(D$2," ",$A9),'Advertising All Line Items'!$A$1:$V$118,18,FALSE)</f>
        <v>-2467610</v>
      </c>
      <c r="E9" s="43">
        <f>VLOOKUP(CONCATENATE(E$2," ",$A9),'Advertising All Line Items'!$A$1:$V$118,18,FALSE)</f>
        <v>-2438073</v>
      </c>
      <c r="F9" s="43">
        <f>VLOOKUP(CONCATENATE(F$2," ",$A9),'Advertising All Line Items'!$A$1:$V$118,18,FALSE)</f>
        <v>-2793844</v>
      </c>
      <c r="G9" s="43">
        <f>VLOOKUP(CONCATENATE(G$2," ",$A9),'Advertising All Line Items'!$A$1:$V$118,18,FALSE)</f>
        <v>-2676344</v>
      </c>
      <c r="H9" s="43">
        <f>VLOOKUP(CONCATENATE(H$2," ",$A9),'Advertising All Line Items'!$A$1:$V$118,18,FALSE)</f>
        <v>-2554005</v>
      </c>
      <c r="I9" s="43">
        <f>VLOOKUP(CONCATENATE(I$2," ",$A9),'Advertising All Line Items'!$A$1:$V$118,18,FALSE)</f>
        <v>-2424736</v>
      </c>
      <c r="J9" s="43">
        <f>VLOOKUP(CONCATENATE(J$2," ",$A9),'Advertising All Line Items'!$A$1:$V$118,18,FALSE)</f>
        <v>-2314551</v>
      </c>
      <c r="K9" s="43">
        <f>VLOOKUP(CONCATENATE(K$2," ",$A9),'Advertising All Line Items'!$A$1:$V$118,18,FALSE)</f>
        <v>-2438461</v>
      </c>
      <c r="L9" s="69">
        <f>VLOOKUP(CONCATENATE(L$2," ",$A9),'Advertising All Line Items'!$A$1:$V$118,18,FALSE)</f>
        <v>-2664300</v>
      </c>
      <c r="M9" s="57">
        <f>VLOOKUP(CONCATENATE($M$2," ",$N$1," ",$A9),'Advertising All Line Items'!$C$1:$V$118,16,FALSE)</f>
        <v>-2409302</v>
      </c>
      <c r="N9" s="43"/>
      <c r="O9" s="43"/>
      <c r="P9" s="51">
        <f>P8+1</f>
        <v>2013</v>
      </c>
      <c r="Q9" s="29">
        <f>T8</f>
        <v>65885286.274409108</v>
      </c>
      <c r="R9" s="143">
        <v>0</v>
      </c>
      <c r="S9" s="57">
        <f t="shared" ref="S9:S19" si="4">$S$3</f>
        <v>2493903.8165000002</v>
      </c>
      <c r="T9" s="57">
        <f t="shared" ref="T9:T18" si="5">Q9+R9-S9</f>
        <v>63391382.457909107</v>
      </c>
      <c r="U9" s="57">
        <f t="shared" ref="U9:U18" si="6">-((Q9+T9)/2)*$Q$3</f>
        <v>-3878300.0619695466</v>
      </c>
    </row>
    <row r="10" spans="1:21" x14ac:dyDescent="0.25">
      <c r="A10" s="77" t="s">
        <v>20</v>
      </c>
      <c r="B10" s="136">
        <f>VLOOKUP(CONCATENATE(B$2," ",$A10),'Advertising All Line Items'!$A$1:$V$118,17,FALSE)</f>
        <v>-822644</v>
      </c>
      <c r="C10" s="43">
        <f>VLOOKUP(CONCATENATE(C$2," ",$A10),'Advertising All Line Items'!$A$1:$V$118,17,FALSE)</f>
        <v>-507909</v>
      </c>
      <c r="D10" s="43">
        <f>VLOOKUP(CONCATENATE(D$2," ",$A10),'Advertising All Line Items'!$A$1:$V$118,17,FALSE)</f>
        <v>-926859</v>
      </c>
      <c r="E10" s="43">
        <f>VLOOKUP(CONCATENATE(E$2," ",$A10),'Advertising All Line Items'!$A$1:$V$118,17,FALSE)</f>
        <v>-811089</v>
      </c>
      <c r="F10" s="43">
        <f>VLOOKUP(CONCATENATE(F$2," ",$A10),'Advertising All Line Items'!$A$1:$V$118,17,FALSE)</f>
        <v>-887310</v>
      </c>
      <c r="G10" s="43">
        <f>VLOOKUP(CONCATENATE(G$2," ",$A10),'Advertising All Line Items'!$A$1:$V$118,17,FALSE)</f>
        <v>-1316006</v>
      </c>
      <c r="H10" s="43">
        <f>VLOOKUP(CONCATENATE(H$2," ",$A10),'Advertising All Line Items'!$A$1:$V$118,17,FALSE)</f>
        <v>-878808</v>
      </c>
      <c r="I10" s="43">
        <f>VLOOKUP(CONCATENATE(I$2," ",$A10),'Advertising All Line Items'!$A$1:$V$118,17,FALSE)</f>
        <v>-644524</v>
      </c>
      <c r="J10" s="43">
        <f>VLOOKUP(CONCATENATE(J$2," ",$A10),'Advertising All Line Items'!$A$1:$V$118,17,FALSE)</f>
        <v>-540653</v>
      </c>
      <c r="K10" s="43">
        <f>VLOOKUP(CONCATENATE(K$2," ",$A10),'Advertising All Line Items'!$A$1:$V$118,17,FALSE)</f>
        <v>-630264</v>
      </c>
      <c r="L10" s="69">
        <f>VLOOKUP(CONCATENATE(L$2," ",$A10),'Advertising All Line Items'!$A$1:$V$118,17,FALSE)</f>
        <v>-876587</v>
      </c>
      <c r="M10" s="57">
        <f>VLOOKUP(CONCATENATE($M$2," ",$N$1," ",$A10),'Advertising All Line Items'!$C$1:$V$118,16,FALSE)</f>
        <v>-9630193</v>
      </c>
      <c r="N10" s="43"/>
      <c r="O10" s="43"/>
      <c r="P10" s="51">
        <f>P9+1</f>
        <v>2014</v>
      </c>
      <c r="Q10" s="29">
        <f t="shared" ref="Q10:Q18" si="7">T9</f>
        <v>63391382.457909107</v>
      </c>
      <c r="R10" s="143">
        <v>0</v>
      </c>
      <c r="S10" s="57">
        <f t="shared" si="4"/>
        <v>2493903.8165000002</v>
      </c>
      <c r="T10" s="57">
        <f t="shared" si="5"/>
        <v>60897478.641409107</v>
      </c>
      <c r="U10" s="57">
        <f t="shared" si="6"/>
        <v>-3728665.8329795459</v>
      </c>
    </row>
    <row r="11" spans="1:21" x14ac:dyDescent="0.25">
      <c r="A11" s="77" t="s">
        <v>21</v>
      </c>
      <c r="B11" s="136">
        <f>VLOOKUP(CONCATENATE(B$2," ",$A11),'Advertising All Line Items'!$A$1:$V$118,18,FALSE)</f>
        <v>-14242252</v>
      </c>
      <c r="C11" s="43">
        <f>VLOOKUP(CONCATENATE(C$2," ",$A11),'Advertising All Line Items'!$A$1:$V$118,18,FALSE)</f>
        <v>-13459078</v>
      </c>
      <c r="D11" s="43">
        <f>VLOOKUP(CONCATENATE(D$2," ",$A11),'Advertising All Line Items'!$A$1:$V$118,18,FALSE)</f>
        <v>-12013486</v>
      </c>
      <c r="E11" s="43">
        <f>VLOOKUP(CONCATENATE(E$2," ",$A11),'Advertising All Line Items'!$A$1:$V$118,18,FALSE)</f>
        <v>-12102458</v>
      </c>
      <c r="F11" s="43">
        <f>VLOOKUP(CONCATENATE(F$2," ",$A11),'Advertising All Line Items'!$A$1:$V$118,18,FALSE)</f>
        <v>-14333053</v>
      </c>
      <c r="G11" s="43">
        <f>VLOOKUP(CONCATENATE(G$2," ",$A11),'Advertising All Line Items'!$A$1:$V$118,18,FALSE)</f>
        <v>-13611313</v>
      </c>
      <c r="H11" s="43">
        <f>VLOOKUP(CONCATENATE(H$2," ",$A11),'Advertising All Line Items'!$A$1:$V$118,18,FALSE)</f>
        <v>-13160984</v>
      </c>
      <c r="I11" s="43">
        <f>VLOOKUP(CONCATENATE(I$2," ",$A11),'Advertising All Line Items'!$A$1:$V$118,18,FALSE)</f>
        <v>-12403414</v>
      </c>
      <c r="J11" s="43">
        <f>VLOOKUP(CONCATENATE(J$2," ",$A11),'Advertising All Line Items'!$A$1:$V$118,18,FALSE)</f>
        <v>-11525350</v>
      </c>
      <c r="K11" s="43">
        <f>VLOOKUP(CONCATENATE(K$2," ",$A11),'Advertising All Line Items'!$A$1:$V$118,18,FALSE)</f>
        <v>-11999157</v>
      </c>
      <c r="L11" s="69">
        <f>VLOOKUP(CONCATENATE(L$2," ",$A11),'Advertising All Line Items'!$A$1:$V$118,18,FALSE)</f>
        <v>-13436879</v>
      </c>
      <c r="M11" s="57">
        <f>VLOOKUP(CONCATENATE($M$2," ",$N$1," ",$A11),'Advertising All Line Items'!$C$1:$V$118,16,FALSE)</f>
        <v>-12185992</v>
      </c>
      <c r="N11" s="43"/>
      <c r="O11" s="43"/>
      <c r="P11" s="51">
        <f t="shared" ref="P11:P18" si="8">P10+1</f>
        <v>2015</v>
      </c>
      <c r="Q11" s="29">
        <f t="shared" si="7"/>
        <v>60897478.641409107</v>
      </c>
      <c r="R11" s="143">
        <v>0</v>
      </c>
      <c r="S11" s="57">
        <f t="shared" si="4"/>
        <v>2493903.8165000002</v>
      </c>
      <c r="T11" s="57">
        <f t="shared" si="5"/>
        <v>58403574.824909106</v>
      </c>
      <c r="U11" s="57">
        <f t="shared" si="6"/>
        <v>-3579031.6039895467</v>
      </c>
    </row>
    <row r="12" spans="1:21" x14ac:dyDescent="0.25">
      <c r="A12" s="78" t="s">
        <v>23</v>
      </c>
      <c r="B12" s="134">
        <f>VLOOKUP(CONCATENATE(B$2," ",$A12),'Advertising All Line Items'!$A$1:$V$118,18,FALSE)</f>
        <v>-5605564</v>
      </c>
      <c r="C12" s="41">
        <f>VLOOKUP(CONCATENATE(C$2," ",$A12),'Advertising All Line Items'!$A$1:$V$118,18,FALSE)</f>
        <v>-5186123</v>
      </c>
      <c r="D12" s="41">
        <f>VLOOKUP(CONCATENATE(D$2," ",$A12),'Advertising All Line Items'!$A$1:$V$118,18,FALSE)</f>
        <v>-4795728</v>
      </c>
      <c r="E12" s="41">
        <f>VLOOKUP(CONCATENATE(E$2," ",$A12),'Advertising All Line Items'!$A$1:$V$118,18,FALSE)</f>
        <v>-4779893</v>
      </c>
      <c r="F12" s="41">
        <f>VLOOKUP(CONCATENATE(F$2," ",$A12),'Advertising All Line Items'!$A$1:$V$118,18,FALSE)</f>
        <v>-5468210</v>
      </c>
      <c r="G12" s="41">
        <f>VLOOKUP(CONCATENATE(G$2," ",$A12),'Advertising All Line Items'!$A$1:$V$118,18,FALSE)</f>
        <v>-5221902</v>
      </c>
      <c r="H12" s="41">
        <f>VLOOKUP(CONCATENATE(H$2," ",$A12),'Advertising All Line Items'!$A$1:$V$118,18,FALSE)</f>
        <v>-5161361</v>
      </c>
      <c r="I12" s="41">
        <f>VLOOKUP(CONCATENATE(I$2," ",$A12),'Advertising All Line Items'!$A$1:$V$118,18,FALSE)</f>
        <v>-5006900</v>
      </c>
      <c r="J12" s="41">
        <f>VLOOKUP(CONCATENATE(J$2," ",$A12),'Advertising All Line Items'!$A$1:$V$118,18,FALSE)</f>
        <v>-4454618</v>
      </c>
      <c r="K12" s="41">
        <f>VLOOKUP(CONCATENATE(K$2," ",$A12),'Advertising All Line Items'!$A$1:$V$118,18,FALSE)</f>
        <v>-4897168</v>
      </c>
      <c r="L12" s="67">
        <f>VLOOKUP(CONCATENATE(L$2," ",$A12),'Advertising All Line Items'!$A$1:$V$118,18,FALSE)</f>
        <v>-5204045</v>
      </c>
      <c r="M12" s="57">
        <f>VLOOKUP(CONCATENATE($M$2," ",$N$1," ",$A12),'Advertising All Line Items'!$C$1:$V$118,16,FALSE)</f>
        <v>-5000748</v>
      </c>
      <c r="N12" s="43"/>
      <c r="O12" s="43"/>
      <c r="P12" s="51">
        <f t="shared" si="8"/>
        <v>2016</v>
      </c>
      <c r="Q12" s="29">
        <f t="shared" si="7"/>
        <v>58403574.824909106</v>
      </c>
      <c r="R12" s="143">
        <v>0</v>
      </c>
      <c r="S12" s="57">
        <f t="shared" si="4"/>
        <v>2493903.8165000002</v>
      </c>
      <c r="T12" s="57">
        <f t="shared" si="5"/>
        <v>55909671.008409105</v>
      </c>
      <c r="U12" s="57">
        <f t="shared" si="6"/>
        <v>-3429397.374999546</v>
      </c>
    </row>
    <row r="13" spans="1:21" x14ac:dyDescent="0.25">
      <c r="A13" s="37" t="s">
        <v>39</v>
      </c>
      <c r="B13" s="29">
        <f t="shared" ref="B13:M13" si="9">SUM(B5:B6)</f>
        <v>69008250.650000036</v>
      </c>
      <c r="C13" s="23">
        <f t="shared" si="9"/>
        <v>70312636.26000002</v>
      </c>
      <c r="D13" s="23">
        <f t="shared" si="9"/>
        <v>66127488.360000014</v>
      </c>
      <c r="E13" s="23">
        <f t="shared" si="9"/>
        <v>59815104.169999987</v>
      </c>
      <c r="F13" s="23">
        <f t="shared" si="9"/>
        <v>69930995.039999992</v>
      </c>
      <c r="G13" s="23">
        <f t="shared" si="9"/>
        <v>76018207.659999996</v>
      </c>
      <c r="H13" s="23">
        <f t="shared" si="9"/>
        <v>68160118.450000018</v>
      </c>
      <c r="I13" s="23">
        <f t="shared" si="9"/>
        <v>68870591.129999995</v>
      </c>
      <c r="J13" s="23">
        <f t="shared" si="9"/>
        <v>56325239.030000001</v>
      </c>
      <c r="K13" s="23">
        <f t="shared" si="9"/>
        <v>62422695.319999993</v>
      </c>
      <c r="L13" s="30">
        <f t="shared" si="9"/>
        <v>74743505.930000007</v>
      </c>
      <c r="M13" s="57">
        <f t="shared" si="9"/>
        <v>59217686.769999981</v>
      </c>
      <c r="N13" s="43"/>
      <c r="O13" s="43"/>
      <c r="P13" s="51">
        <f t="shared" si="8"/>
        <v>2017</v>
      </c>
      <c r="Q13" s="29">
        <f t="shared" si="7"/>
        <v>55909671.008409105</v>
      </c>
      <c r="R13" s="143">
        <v>0</v>
      </c>
      <c r="S13" s="57">
        <f t="shared" si="4"/>
        <v>2493903.8165000002</v>
      </c>
      <c r="T13" s="57">
        <f t="shared" si="5"/>
        <v>53415767.191909105</v>
      </c>
      <c r="U13" s="57">
        <f t="shared" si="6"/>
        <v>-3279763.1460095462</v>
      </c>
    </row>
    <row r="14" spans="1:21" x14ac:dyDescent="0.25">
      <c r="A14" s="78" t="s">
        <v>40</v>
      </c>
      <c r="B14" s="137" cm="1">
        <f t="array" ref="B14">-AVERAGE(($B$3:$L$3)*0.3-0)/30</f>
        <v>-2279306.3363636369</v>
      </c>
      <c r="C14" s="44" cm="1">
        <f t="array" ref="C14">-AVERAGE(($B$3:$L$3)*0.3-0)/30</f>
        <v>-2279306.3363636369</v>
      </c>
      <c r="D14" s="44" cm="1">
        <f t="array" ref="D14">-AVERAGE(($B$3:$L$3)*0.3-0)/30</f>
        <v>-2279306.3363636369</v>
      </c>
      <c r="E14" s="44" cm="1">
        <f t="array" ref="E14">-AVERAGE(($B$3:$L$3)*0.3-0)/30</f>
        <v>-2279306.3363636369</v>
      </c>
      <c r="F14" s="44" cm="1">
        <f t="array" ref="F14">-AVERAGE(($B$3:$L$3)*0.3-0)/30</f>
        <v>-2279306.3363636369</v>
      </c>
      <c r="G14" s="44" cm="1">
        <f t="array" ref="G14">-AVERAGE(($B$3:$L$3)*0.3-0)/30</f>
        <v>-2279306.3363636369</v>
      </c>
      <c r="H14" s="44" cm="1">
        <f t="array" ref="H14">-AVERAGE(($B$3:$L$3)*0.3-0)/30</f>
        <v>-2279306.3363636369</v>
      </c>
      <c r="I14" s="44" cm="1">
        <f t="array" ref="I14">-AVERAGE(($B$3:$L$3)*0.3-0)/30</f>
        <v>-2279306.3363636369</v>
      </c>
      <c r="J14" s="44" cm="1">
        <f t="array" ref="J14">-AVERAGE(($B$3:$L$3)*0.3-0)/30</f>
        <v>-2279306.3363636369</v>
      </c>
      <c r="K14" s="44" cm="1">
        <f t="array" ref="K14">-AVERAGE(($B$3:$L$3)*0.3-0)/30</f>
        <v>-2279306.3363636369</v>
      </c>
      <c r="L14" s="70" cm="1">
        <f t="array" ref="L14">-AVERAGE(($B$3:$L$3)*0.3-0)/30</f>
        <v>-2279306.3363636369</v>
      </c>
      <c r="M14" s="147" cm="1">
        <f t="array" ref="M14">-AVERAGE(($B$3:$L$3)*0.3-0)/30</f>
        <v>-2279306.3363636369</v>
      </c>
      <c r="N14" s="23"/>
      <c r="O14" s="23"/>
      <c r="P14" s="51">
        <f t="shared" si="8"/>
        <v>2018</v>
      </c>
      <c r="Q14" s="29">
        <f t="shared" si="7"/>
        <v>53415767.191909105</v>
      </c>
      <c r="R14" s="143">
        <v>0</v>
      </c>
      <c r="S14" s="57">
        <f t="shared" si="4"/>
        <v>2493903.8165000002</v>
      </c>
      <c r="T14" s="57">
        <f t="shared" si="5"/>
        <v>50921863.375409104</v>
      </c>
      <c r="U14" s="57">
        <f t="shared" si="6"/>
        <v>-3130128.917019546</v>
      </c>
    </row>
    <row r="15" spans="1:21" x14ac:dyDescent="0.25">
      <c r="A15" s="75" t="s">
        <v>41</v>
      </c>
      <c r="B15" s="135">
        <f>SUM(B13:B14)</f>
        <v>66728944.3136364</v>
      </c>
      <c r="C15" s="42">
        <f t="shared" ref="C15:M15" si="10">SUM(C13:C14)</f>
        <v>68033329.923636377</v>
      </c>
      <c r="D15" s="42">
        <f t="shared" si="10"/>
        <v>63848182.023636378</v>
      </c>
      <c r="E15" s="42">
        <f t="shared" si="10"/>
        <v>57535797.833636351</v>
      </c>
      <c r="F15" s="42">
        <f t="shared" si="10"/>
        <v>67651688.703636348</v>
      </c>
      <c r="G15" s="42">
        <f t="shared" si="10"/>
        <v>73738901.323636353</v>
      </c>
      <c r="H15" s="42">
        <f t="shared" si="10"/>
        <v>65880812.113636382</v>
      </c>
      <c r="I15" s="42">
        <f t="shared" si="10"/>
        <v>66591284.793636359</v>
      </c>
      <c r="J15" s="42">
        <f t="shared" si="10"/>
        <v>54045932.693636365</v>
      </c>
      <c r="K15" s="42">
        <f t="shared" si="10"/>
        <v>60143388.983636357</v>
      </c>
      <c r="L15" s="68">
        <f t="shared" si="10"/>
        <v>72464199.593636364</v>
      </c>
      <c r="M15" s="146">
        <f t="shared" si="10"/>
        <v>56938380.433636345</v>
      </c>
      <c r="N15" s="23"/>
      <c r="O15" s="23"/>
      <c r="P15" s="51">
        <f t="shared" si="8"/>
        <v>2019</v>
      </c>
      <c r="Q15" s="29">
        <f t="shared" si="7"/>
        <v>50921863.375409104</v>
      </c>
      <c r="R15" s="143">
        <v>0</v>
      </c>
      <c r="S15" s="57">
        <f t="shared" si="4"/>
        <v>2493903.8165000002</v>
      </c>
      <c r="T15" s="57">
        <f t="shared" si="5"/>
        <v>48427959.558909103</v>
      </c>
      <c r="U15" s="57">
        <f t="shared" si="6"/>
        <v>-2980494.6880295463</v>
      </c>
    </row>
    <row r="16" spans="1:21" x14ac:dyDescent="0.25">
      <c r="A16" s="37" t="s">
        <v>42</v>
      </c>
      <c r="B16" s="138">
        <f>VLOOKUP(B2,$P$8:$U$19,6,FALSE)</f>
        <v>-4027934.2909595463</v>
      </c>
      <c r="C16" s="138">
        <f t="shared" ref="C16:M16" si="11">VLOOKUP(C2,$P$8:$U$19,6,FALSE)</f>
        <v>-3878300.0619695466</v>
      </c>
      <c r="D16" s="138">
        <f t="shared" si="11"/>
        <v>-3728665.8329795459</v>
      </c>
      <c r="E16" s="138">
        <f t="shared" si="11"/>
        <v>-3579031.6039895467</v>
      </c>
      <c r="F16" s="138">
        <f t="shared" si="11"/>
        <v>-3429397.374999546</v>
      </c>
      <c r="G16" s="138">
        <f t="shared" si="11"/>
        <v>-3279763.1460095462</v>
      </c>
      <c r="H16" s="138">
        <f t="shared" si="11"/>
        <v>-3130128.917019546</v>
      </c>
      <c r="I16" s="138">
        <f t="shared" si="11"/>
        <v>-2980494.6880295463</v>
      </c>
      <c r="J16" s="138">
        <f t="shared" si="11"/>
        <v>-2830860.4590395456</v>
      </c>
      <c r="K16" s="138">
        <f t="shared" si="11"/>
        <v>-2681226.2300495463</v>
      </c>
      <c r="L16" s="138">
        <f t="shared" si="11"/>
        <v>-2531592.0010595457</v>
      </c>
      <c r="M16" s="60">
        <f t="shared" si="11"/>
        <v>-2381957.7720695464</v>
      </c>
      <c r="N16" s="42"/>
      <c r="O16" s="42"/>
      <c r="P16" s="51">
        <f t="shared" si="8"/>
        <v>2020</v>
      </c>
      <c r="Q16" s="29">
        <f t="shared" si="7"/>
        <v>48427959.558909103</v>
      </c>
      <c r="R16" s="143">
        <v>0</v>
      </c>
      <c r="S16" s="57">
        <f t="shared" si="4"/>
        <v>2493903.8165000002</v>
      </c>
      <c r="T16" s="57">
        <f t="shared" si="5"/>
        <v>45934055.742409103</v>
      </c>
      <c r="U16" s="57">
        <f t="shared" si="6"/>
        <v>-2830860.4590395456</v>
      </c>
    </row>
    <row r="17" spans="1:21" x14ac:dyDescent="0.25">
      <c r="A17" s="37" t="s">
        <v>50</v>
      </c>
      <c r="B17" s="139">
        <v>0</v>
      </c>
      <c r="C17" s="21">
        <v>0</v>
      </c>
      <c r="D17" s="21">
        <v>0</v>
      </c>
      <c r="E17" s="21">
        <v>0</v>
      </c>
      <c r="F17" s="21">
        <v>0</v>
      </c>
      <c r="G17" s="21">
        <v>0</v>
      </c>
      <c r="H17" s="21">
        <v>0</v>
      </c>
      <c r="I17" s="21">
        <v>0</v>
      </c>
      <c r="J17" s="21">
        <v>0</v>
      </c>
      <c r="K17" s="21">
        <v>0</v>
      </c>
      <c r="L17" s="22">
        <v>0</v>
      </c>
      <c r="M17" s="143">
        <v>0</v>
      </c>
      <c r="P17" s="51">
        <f t="shared" si="8"/>
        <v>2021</v>
      </c>
      <c r="Q17" s="29">
        <f t="shared" si="7"/>
        <v>45934055.742409103</v>
      </c>
      <c r="R17" s="143">
        <v>0</v>
      </c>
      <c r="S17" s="57">
        <f t="shared" si="4"/>
        <v>2493903.8165000002</v>
      </c>
      <c r="T17" s="57">
        <f t="shared" si="5"/>
        <v>43440151.925909102</v>
      </c>
      <c r="U17" s="57">
        <f t="shared" si="6"/>
        <v>-2681226.2300495463</v>
      </c>
    </row>
    <row r="18" spans="1:21" ht="14.4" thickBot="1" x14ac:dyDescent="0.3">
      <c r="A18" s="79" t="s">
        <v>51</v>
      </c>
      <c r="B18" s="140">
        <v>0</v>
      </c>
      <c r="C18" s="63">
        <v>0</v>
      </c>
      <c r="D18" s="63">
        <v>0</v>
      </c>
      <c r="E18" s="63">
        <v>0</v>
      </c>
      <c r="F18" s="63">
        <v>0</v>
      </c>
      <c r="G18" s="63">
        <v>0</v>
      </c>
      <c r="H18" s="63">
        <v>0</v>
      </c>
      <c r="I18" s="63">
        <v>0</v>
      </c>
      <c r="J18" s="63">
        <v>0</v>
      </c>
      <c r="K18" s="63">
        <v>0</v>
      </c>
      <c r="L18" s="71">
        <v>0</v>
      </c>
      <c r="M18" s="148">
        <v>0</v>
      </c>
      <c r="P18" s="52">
        <f t="shared" si="8"/>
        <v>2022</v>
      </c>
      <c r="Q18" s="31">
        <f t="shared" si="7"/>
        <v>43440151.925909102</v>
      </c>
      <c r="R18" s="144">
        <v>0</v>
      </c>
      <c r="S18" s="58">
        <f t="shared" si="4"/>
        <v>2493903.8165000002</v>
      </c>
      <c r="T18" s="58">
        <f t="shared" si="5"/>
        <v>40946248.109409101</v>
      </c>
      <c r="U18" s="58">
        <f t="shared" si="6"/>
        <v>-2531592.0010595457</v>
      </c>
    </row>
    <row r="19" spans="1:21" ht="14.4" thickBot="1" x14ac:dyDescent="0.3">
      <c r="A19" s="80" t="s">
        <v>52</v>
      </c>
      <c r="B19" s="141">
        <f>SUM(B15:B18)</f>
        <v>62701010.022676855</v>
      </c>
      <c r="C19" s="64">
        <f t="shared" ref="C19:M19" si="12">SUM(C15:C18)</f>
        <v>64155029.861666828</v>
      </c>
      <c r="D19" s="64">
        <f t="shared" si="12"/>
        <v>60119516.190656833</v>
      </c>
      <c r="E19" s="64">
        <f t="shared" si="12"/>
        <v>53956766.229646802</v>
      </c>
      <c r="F19" s="64">
        <f t="shared" si="12"/>
        <v>64222291.328636803</v>
      </c>
      <c r="G19" s="64">
        <f t="shared" si="12"/>
        <v>70459138.177626804</v>
      </c>
      <c r="H19" s="64">
        <f t="shared" si="12"/>
        <v>62750683.196616836</v>
      </c>
      <c r="I19" s="64">
        <f t="shared" si="12"/>
        <v>63610790.105606809</v>
      </c>
      <c r="J19" s="64">
        <f t="shared" si="12"/>
        <v>51215072.234596819</v>
      </c>
      <c r="K19" s="64">
        <f t="shared" si="12"/>
        <v>57462162.753586814</v>
      </c>
      <c r="L19" s="72">
        <f t="shared" si="12"/>
        <v>69932607.592576817</v>
      </c>
      <c r="M19" s="72">
        <f t="shared" si="12"/>
        <v>54556422.661566801</v>
      </c>
      <c r="P19" s="145">
        <v>2023</v>
      </c>
      <c r="Q19" s="31">
        <f t="shared" ref="Q19" si="13">T18</f>
        <v>40946248.109409101</v>
      </c>
      <c r="R19" s="144">
        <v>0</v>
      </c>
      <c r="S19" s="58">
        <f t="shared" si="4"/>
        <v>2493903.8165000002</v>
      </c>
      <c r="T19" s="58">
        <f t="shared" ref="T19" si="14">Q19+R19-S19</f>
        <v>38452344.292909101</v>
      </c>
      <c r="U19" s="58">
        <f t="shared" ref="U19" si="15">-((Q19+T19)/2)*$Q$3</f>
        <v>-2381957.7720695464</v>
      </c>
    </row>
    <row r="20" spans="1:21" x14ac:dyDescent="0.25">
      <c r="A20" s="79" t="s">
        <v>53</v>
      </c>
      <c r="B20" s="137">
        <f>-$P$3*B19</f>
        <v>-16929272.706122752</v>
      </c>
      <c r="C20" s="44">
        <f t="shared" ref="C20:M20" si="16">-$P$3*C19</f>
        <v>-17321858.062650044</v>
      </c>
      <c r="D20" s="44">
        <f t="shared" si="16"/>
        <v>-16232269.371477347</v>
      </c>
      <c r="E20" s="44">
        <f t="shared" si="16"/>
        <v>-14568326.882004637</v>
      </c>
      <c r="F20" s="44">
        <f t="shared" si="16"/>
        <v>-17340018.658731937</v>
      </c>
      <c r="G20" s="44">
        <f t="shared" si="16"/>
        <v>-19023967.30795924</v>
      </c>
      <c r="H20" s="44">
        <f t="shared" si="16"/>
        <v>-16942684.463086545</v>
      </c>
      <c r="I20" s="44">
        <f t="shared" si="16"/>
        <v>-17174913.328513838</v>
      </c>
      <c r="J20" s="44">
        <f t="shared" si="16"/>
        <v>-13828069.503341142</v>
      </c>
      <c r="K20" s="44">
        <f t="shared" si="16"/>
        <v>-15514783.94346844</v>
      </c>
      <c r="L20" s="70">
        <f t="shared" si="16"/>
        <v>-18881804.049995743</v>
      </c>
      <c r="M20" s="70">
        <f t="shared" si="16"/>
        <v>-14730234.118623037</v>
      </c>
    </row>
    <row r="21" spans="1:21" x14ac:dyDescent="0.25">
      <c r="A21" s="78" t="s">
        <v>84</v>
      </c>
      <c r="B21" s="44">
        <f>ABS(B14)</f>
        <v>2279306.3363636369</v>
      </c>
      <c r="C21" s="44">
        <f t="shared" ref="C21:M21" si="17">ABS(C14)</f>
        <v>2279306.3363636369</v>
      </c>
      <c r="D21" s="44">
        <f t="shared" si="17"/>
        <v>2279306.3363636369</v>
      </c>
      <c r="E21" s="44">
        <f t="shared" si="17"/>
        <v>2279306.3363636369</v>
      </c>
      <c r="F21" s="44">
        <f t="shared" si="17"/>
        <v>2279306.3363636369</v>
      </c>
      <c r="G21" s="44">
        <f t="shared" si="17"/>
        <v>2279306.3363636369</v>
      </c>
      <c r="H21" s="44">
        <f t="shared" si="17"/>
        <v>2279306.3363636369</v>
      </c>
      <c r="I21" s="44">
        <f t="shared" si="17"/>
        <v>2279306.3363636369</v>
      </c>
      <c r="J21" s="44">
        <f t="shared" si="17"/>
        <v>2279306.3363636369</v>
      </c>
      <c r="K21" s="44">
        <f t="shared" si="17"/>
        <v>2279306.3363636369</v>
      </c>
      <c r="L21" s="44">
        <f t="shared" si="17"/>
        <v>2279306.3363636369</v>
      </c>
      <c r="M21" s="70">
        <f t="shared" si="17"/>
        <v>2279306.3363636369</v>
      </c>
    </row>
    <row r="22" spans="1:21" ht="14.4" thickBot="1" x14ac:dyDescent="0.3">
      <c r="A22" s="81" t="s">
        <v>56</v>
      </c>
      <c r="B22" s="31">
        <f>SUM(B19:B21)</f>
        <v>48051043.652917735</v>
      </c>
      <c r="C22" s="31">
        <f t="shared" ref="C22:M22" si="18">SUM(C19:C21)</f>
        <v>49112478.135380425</v>
      </c>
      <c r="D22" s="31">
        <f t="shared" si="18"/>
        <v>46166553.155543126</v>
      </c>
      <c r="E22" s="31">
        <f t="shared" si="18"/>
        <v>41667745.684005804</v>
      </c>
      <c r="F22" s="31">
        <f t="shared" si="18"/>
        <v>49161579.006268501</v>
      </c>
      <c r="G22" s="31">
        <f t="shared" si="18"/>
        <v>53714477.206031196</v>
      </c>
      <c r="H22" s="31">
        <f t="shared" si="18"/>
        <v>48087305.069893926</v>
      </c>
      <c r="I22" s="31">
        <f t="shared" si="18"/>
        <v>48715183.113456607</v>
      </c>
      <c r="J22" s="31">
        <f t="shared" si="18"/>
        <v>39666309.067619316</v>
      </c>
      <c r="K22" s="31">
        <f t="shared" si="18"/>
        <v>44226685.146482013</v>
      </c>
      <c r="L22" s="31">
        <f t="shared" si="18"/>
        <v>53330109.87894471</v>
      </c>
      <c r="M22" s="31">
        <f t="shared" si="18"/>
        <v>42105494.879307397</v>
      </c>
    </row>
    <row r="24" spans="1:21" ht="14.4" thickBot="1" x14ac:dyDescent="0.3"/>
    <row r="25" spans="1:21" ht="14.4" thickBot="1" x14ac:dyDescent="0.3">
      <c r="A25" s="217" t="s">
        <v>61</v>
      </c>
      <c r="B25" s="218"/>
      <c r="C25" s="218"/>
      <c r="D25" s="218"/>
      <c r="E25" s="218"/>
      <c r="F25" s="218"/>
      <c r="G25" s="218"/>
      <c r="H25" s="218"/>
      <c r="I25" s="218"/>
      <c r="J25" s="218"/>
      <c r="K25" s="218"/>
      <c r="L25" s="219"/>
    </row>
    <row r="26" spans="1:21" ht="14.4" thickBot="1" x14ac:dyDescent="0.3">
      <c r="A26" s="105" t="s">
        <v>1</v>
      </c>
      <c r="B26" s="106">
        <f>B2</f>
        <v>2012</v>
      </c>
      <c r="C26" s="106">
        <f t="shared" ref="C26:L26" si="19">C2</f>
        <v>2013</v>
      </c>
      <c r="D26" s="106">
        <f t="shared" si="19"/>
        <v>2014</v>
      </c>
      <c r="E26" s="106">
        <f t="shared" si="19"/>
        <v>2015</v>
      </c>
      <c r="F26" s="106">
        <f t="shared" si="19"/>
        <v>2016</v>
      </c>
      <c r="G26" s="106">
        <f t="shared" si="19"/>
        <v>2017</v>
      </c>
      <c r="H26" s="106">
        <f t="shared" si="19"/>
        <v>2018</v>
      </c>
      <c r="I26" s="106">
        <f t="shared" si="19"/>
        <v>2019</v>
      </c>
      <c r="J26" s="106">
        <f t="shared" si="19"/>
        <v>2020</v>
      </c>
      <c r="K26" s="106">
        <f t="shared" si="19"/>
        <v>2021</v>
      </c>
      <c r="L26" s="106">
        <f t="shared" si="19"/>
        <v>2022</v>
      </c>
      <c r="M26" s="108" t="s">
        <v>62</v>
      </c>
    </row>
    <row r="27" spans="1:21" x14ac:dyDescent="0.25">
      <c r="A27" s="95" t="s">
        <v>58</v>
      </c>
      <c r="B27" s="96">
        <f>B5/B$3</f>
        <v>0.53107272531414407</v>
      </c>
      <c r="C27" s="96">
        <f t="shared" ref="C27:L27" si="20">C5/C$3</f>
        <v>0.5541848329023612</v>
      </c>
      <c r="D27" s="96">
        <f t="shared" si="20"/>
        <v>0.55790248549636445</v>
      </c>
      <c r="E27" s="96">
        <f t="shared" si="20"/>
        <v>0.53280314077559898</v>
      </c>
      <c r="F27" s="96">
        <f t="shared" si="20"/>
        <v>0.53405028681320099</v>
      </c>
      <c r="G27" s="96">
        <f t="shared" si="20"/>
        <v>0.567508060692551</v>
      </c>
      <c r="H27" s="96">
        <f t="shared" si="20"/>
        <v>0.54714513553930488</v>
      </c>
      <c r="I27" s="96">
        <f t="shared" si="20"/>
        <v>0.55373859940053538</v>
      </c>
      <c r="J27" s="96">
        <f t="shared" si="20"/>
        <v>0.52810060624856947</v>
      </c>
      <c r="K27" s="96">
        <f t="shared" si="20"/>
        <v>0.55204873995106096</v>
      </c>
      <c r="L27" s="96">
        <f t="shared" si="20"/>
        <v>0.56862116800387186</v>
      </c>
      <c r="M27" s="109">
        <f>AVERAGE(B27:L27)</f>
        <v>0.54792507101250587</v>
      </c>
    </row>
    <row r="28" spans="1:21" x14ac:dyDescent="0.25">
      <c r="A28" s="37" t="s">
        <v>59</v>
      </c>
      <c r="B28" s="99">
        <f>B15/$B$3</f>
        <v>0.26756823527895823</v>
      </c>
      <c r="C28" s="99">
        <f t="shared" ref="C28:L28" si="21">C15/$B$3</f>
        <v>0.27279853165755147</v>
      </c>
      <c r="D28" s="99">
        <f t="shared" si="21"/>
        <v>0.25601701878479949</v>
      </c>
      <c r="E28" s="99">
        <f t="shared" si="21"/>
        <v>0.23070576119644967</v>
      </c>
      <c r="F28" s="99">
        <f t="shared" si="21"/>
        <v>0.27126823519032189</v>
      </c>
      <c r="G28" s="99">
        <f t="shared" si="21"/>
        <v>0.29567660483042668</v>
      </c>
      <c r="H28" s="99">
        <f t="shared" si="21"/>
        <v>0.26416741366591662</v>
      </c>
      <c r="I28" s="99">
        <f t="shared" si="21"/>
        <v>0.26701625120046546</v>
      </c>
      <c r="J28" s="99">
        <f t="shared" si="21"/>
        <v>0.21671217765521375</v>
      </c>
      <c r="K28" s="99">
        <f t="shared" si="21"/>
        <v>0.24116162213522299</v>
      </c>
      <c r="L28" s="99">
        <f t="shared" si="21"/>
        <v>0.29056533421298592</v>
      </c>
      <c r="M28" s="110">
        <f t="shared" ref="M28:M29" si="22">AVERAGE(B28:L28)</f>
        <v>0.26124156234621021</v>
      </c>
    </row>
    <row r="29" spans="1:21" ht="14.4" thickBot="1" x14ac:dyDescent="0.3">
      <c r="A29" s="38" t="s">
        <v>60</v>
      </c>
      <c r="B29" s="102">
        <f>B22/$B$3</f>
        <v>0.19267400504785157</v>
      </c>
      <c r="C29" s="102">
        <f t="shared" ref="C29:L29" si="23">C22/$B$3</f>
        <v>0.19693012140422464</v>
      </c>
      <c r="D29" s="102">
        <f t="shared" si="23"/>
        <v>0.18511761700711571</v>
      </c>
      <c r="E29" s="102">
        <f t="shared" si="23"/>
        <v>0.16707839896762033</v>
      </c>
      <c r="F29" s="102">
        <f t="shared" si="23"/>
        <v>0.19712700498314706</v>
      </c>
      <c r="G29" s="102">
        <f t="shared" si="23"/>
        <v>0.21538311482042349</v>
      </c>
      <c r="H29" s="102">
        <f t="shared" si="23"/>
        <v>0.1928194052703312</v>
      </c>
      <c r="I29" s="102">
        <f t="shared" si="23"/>
        <v>0.19533705667055185</v>
      </c>
      <c r="J29" s="102">
        <f t="shared" si="23"/>
        <v>0.15905308298251811</v>
      </c>
      <c r="K29" s="102">
        <f t="shared" si="23"/>
        <v>0.17733917745292485</v>
      </c>
      <c r="L29" s="102">
        <f t="shared" si="23"/>
        <v>0.21384188726969175</v>
      </c>
      <c r="M29" s="111">
        <f t="shared" si="22"/>
        <v>0.1902455338069455</v>
      </c>
    </row>
    <row r="30" spans="1:21" ht="14.4" thickBot="1" x14ac:dyDescent="0.3"/>
    <row r="31" spans="1:21" ht="15" customHeight="1" thickBot="1" x14ac:dyDescent="0.3">
      <c r="A31" s="217" t="s">
        <v>63</v>
      </c>
      <c r="B31" s="218"/>
      <c r="C31" s="218"/>
      <c r="D31" s="218"/>
      <c r="E31" s="218"/>
      <c r="F31" s="218"/>
      <c r="G31" s="218"/>
      <c r="H31" s="218"/>
      <c r="I31" s="218"/>
      <c r="J31" s="218"/>
      <c r="K31" s="218"/>
      <c r="L31" s="218"/>
      <c r="M31" s="219"/>
      <c r="N31" s="107" t="s">
        <v>66</v>
      </c>
    </row>
    <row r="32" spans="1:21" x14ac:dyDescent="0.25">
      <c r="A32" s="73" t="str">
        <f t="shared" ref="A32:A49" si="24">A3</f>
        <v>Sales</v>
      </c>
      <c r="B32" s="124">
        <f>ABS(B3/B$3)</f>
        <v>1</v>
      </c>
      <c r="C32" s="124">
        <f t="shared" ref="C32:M32" si="25">ABS(C3/C$3)</f>
        <v>1</v>
      </c>
      <c r="D32" s="124">
        <f t="shared" si="25"/>
        <v>1</v>
      </c>
      <c r="E32" s="124">
        <f t="shared" si="25"/>
        <v>1</v>
      </c>
      <c r="F32" s="124">
        <f t="shared" si="25"/>
        <v>1</v>
      </c>
      <c r="G32" s="124">
        <f t="shared" si="25"/>
        <v>1</v>
      </c>
      <c r="H32" s="124">
        <f t="shared" si="25"/>
        <v>1</v>
      </c>
      <c r="I32" s="124">
        <f t="shared" si="25"/>
        <v>1</v>
      </c>
      <c r="J32" s="124">
        <f t="shared" si="25"/>
        <v>1</v>
      </c>
      <c r="K32" s="124">
        <f t="shared" si="25"/>
        <v>1</v>
      </c>
      <c r="L32" s="124">
        <f t="shared" si="25"/>
        <v>1</v>
      </c>
      <c r="M32" s="124">
        <f t="shared" si="25"/>
        <v>1</v>
      </c>
    </row>
    <row r="33" spans="1:14" x14ac:dyDescent="0.25">
      <c r="A33" s="74" t="str">
        <f t="shared" si="24"/>
        <v>COGS</v>
      </c>
      <c r="B33" s="126">
        <f t="shared" ref="B33:M33" si="26">ABS(B4/B$3)</f>
        <v>0.46892727468585588</v>
      </c>
      <c r="C33" s="126">
        <f t="shared" si="26"/>
        <v>0.4458151670976388</v>
      </c>
      <c r="D33" s="126">
        <f t="shared" si="26"/>
        <v>0.4420975145036356</v>
      </c>
      <c r="E33" s="126">
        <f t="shared" si="26"/>
        <v>0.46719685922440096</v>
      </c>
      <c r="F33" s="126">
        <f t="shared" si="26"/>
        <v>0.46594971318679895</v>
      </c>
      <c r="G33" s="126">
        <f t="shared" si="26"/>
        <v>0.432491939307449</v>
      </c>
      <c r="H33" s="126">
        <f t="shared" si="26"/>
        <v>0.45285486446069506</v>
      </c>
      <c r="I33" s="126">
        <f t="shared" si="26"/>
        <v>0.44626140059946456</v>
      </c>
      <c r="J33" s="126">
        <f t="shared" si="26"/>
        <v>0.47189939375143047</v>
      </c>
      <c r="K33" s="126">
        <f t="shared" si="26"/>
        <v>0.44795126004893904</v>
      </c>
      <c r="L33" s="126">
        <f t="shared" si="26"/>
        <v>0.43137883199612814</v>
      </c>
      <c r="M33" s="126">
        <f t="shared" si="26"/>
        <v>0.43452236865579119</v>
      </c>
      <c r="N33" s="152"/>
    </row>
    <row r="34" spans="1:14" x14ac:dyDescent="0.25">
      <c r="A34" s="75" t="str">
        <f t="shared" si="24"/>
        <v>Gross Profit</v>
      </c>
      <c r="B34" s="116">
        <f t="shared" ref="B34:M34" si="27">ABS(B5/B$3)</f>
        <v>0.53107272531414407</v>
      </c>
      <c r="C34" s="116">
        <f t="shared" si="27"/>
        <v>0.5541848329023612</v>
      </c>
      <c r="D34" s="116">
        <f t="shared" si="27"/>
        <v>0.55790248549636445</v>
      </c>
      <c r="E34" s="116">
        <f t="shared" si="27"/>
        <v>0.53280314077559898</v>
      </c>
      <c r="F34" s="116">
        <f t="shared" si="27"/>
        <v>0.53405028681320099</v>
      </c>
      <c r="G34" s="116">
        <f t="shared" si="27"/>
        <v>0.567508060692551</v>
      </c>
      <c r="H34" s="116">
        <f t="shared" si="27"/>
        <v>0.54714513553930488</v>
      </c>
      <c r="I34" s="116">
        <f t="shared" si="27"/>
        <v>0.55373859940053538</v>
      </c>
      <c r="J34" s="116">
        <f t="shared" si="27"/>
        <v>0.52810060624856947</v>
      </c>
      <c r="K34" s="116">
        <f t="shared" si="27"/>
        <v>0.55204873995106096</v>
      </c>
      <c r="L34" s="116">
        <f t="shared" si="27"/>
        <v>0.56862116800387186</v>
      </c>
      <c r="M34" s="116">
        <f t="shared" si="27"/>
        <v>0.56547763134420881</v>
      </c>
      <c r="N34" s="151"/>
    </row>
    <row r="35" spans="1:14" x14ac:dyDescent="0.25">
      <c r="A35" s="76" t="str">
        <f t="shared" si="24"/>
        <v>Selling, General, Admin (SGA)</v>
      </c>
      <c r="B35" s="94">
        <f t="shared" ref="B35:M35" si="28">ABS(B6/B$3)</f>
        <v>0.2543649782333135</v>
      </c>
      <c r="C35" s="94">
        <f t="shared" si="28"/>
        <v>0.25249610147839319</v>
      </c>
      <c r="D35" s="94">
        <f t="shared" si="28"/>
        <v>0.2536562734182955</v>
      </c>
      <c r="E35" s="94">
        <f t="shared" si="28"/>
        <v>0.2537078223591494</v>
      </c>
      <c r="F35" s="94">
        <f t="shared" si="28"/>
        <v>0.25070117671947678</v>
      </c>
      <c r="G35" s="94">
        <f t="shared" si="28"/>
        <v>0.25235577363854783</v>
      </c>
      <c r="H35" s="94">
        <f t="shared" si="28"/>
        <v>0.25004259895276082</v>
      </c>
      <c r="I35" s="94">
        <f t="shared" si="28"/>
        <v>0.24743881728966066</v>
      </c>
      <c r="J35" s="94">
        <f t="shared" si="28"/>
        <v>0.25174544098559787</v>
      </c>
      <c r="K35" s="94">
        <f t="shared" si="28"/>
        <v>0.25357449514131097</v>
      </c>
      <c r="L35" s="94">
        <f t="shared" si="28"/>
        <v>0.2544235626431629</v>
      </c>
      <c r="M35" s="94">
        <f t="shared" si="28"/>
        <v>0.29308768123947038</v>
      </c>
      <c r="N35" s="152"/>
    </row>
    <row r="36" spans="1:14" x14ac:dyDescent="0.25">
      <c r="A36" s="77" t="str">
        <f t="shared" si="24"/>
        <v>Commissions Expense</v>
      </c>
      <c r="B36" s="128">
        <f t="shared" ref="B36:M36" si="29">ABS(B7/B$3)</f>
        <v>4.5036163486700365E-2</v>
      </c>
      <c r="C36" s="128">
        <f t="shared" si="29"/>
        <v>4.4282357916409977E-2</v>
      </c>
      <c r="D36" s="128">
        <f t="shared" si="29"/>
        <v>4.5456924883047353E-2</v>
      </c>
      <c r="E36" s="128">
        <f t="shared" si="29"/>
        <v>4.4465142328943684E-2</v>
      </c>
      <c r="F36" s="128">
        <f t="shared" si="29"/>
        <v>4.5018767987881507E-2</v>
      </c>
      <c r="G36" s="128">
        <f t="shared" si="29"/>
        <v>4.4895869874875108E-2</v>
      </c>
      <c r="H36" s="128">
        <f t="shared" si="29"/>
        <v>4.4460589399465865E-2</v>
      </c>
      <c r="I36" s="128">
        <f t="shared" si="29"/>
        <v>4.541346072538776E-2</v>
      </c>
      <c r="J36" s="128">
        <f t="shared" si="29"/>
        <v>4.5253948779107961E-2</v>
      </c>
      <c r="K36" s="128">
        <f t="shared" si="29"/>
        <v>4.4320062738937419E-2</v>
      </c>
      <c r="L36" s="128">
        <f t="shared" si="29"/>
        <v>4.3829321334563451E-2</v>
      </c>
      <c r="M36" s="128">
        <f t="shared" si="29"/>
        <v>4.5085995975673553E-2</v>
      </c>
    </row>
    <row r="37" spans="1:14" x14ac:dyDescent="0.25">
      <c r="A37" s="77" t="str">
        <f t="shared" si="24"/>
        <v>Payroll Expense</v>
      </c>
      <c r="B37" s="128">
        <f t="shared" ref="B37:M37" si="30">ABS(B8/B$3)</f>
        <v>0.11490048978799498</v>
      </c>
      <c r="C37" s="128">
        <f t="shared" si="30"/>
        <v>0.11499349424169497</v>
      </c>
      <c r="D37" s="128">
        <f t="shared" si="30"/>
        <v>0.11524414676934705</v>
      </c>
      <c r="E37" s="128">
        <f t="shared" si="30"/>
        <v>0.11530969924041577</v>
      </c>
      <c r="F37" s="128">
        <f t="shared" si="30"/>
        <v>0.11053544341251373</v>
      </c>
      <c r="G37" s="128">
        <f t="shared" si="30"/>
        <v>0.11283087692284428</v>
      </c>
      <c r="H37" s="128">
        <f t="shared" si="30"/>
        <v>0.11075364404242126</v>
      </c>
      <c r="I37" s="128">
        <f t="shared" si="30"/>
        <v>0.11094309705407293</v>
      </c>
      <c r="J37" s="128">
        <f t="shared" si="30"/>
        <v>0.11407826573009454</v>
      </c>
      <c r="K37" s="128">
        <f t="shared" si="30"/>
        <v>0.11379150516427906</v>
      </c>
      <c r="L37" s="128">
        <f t="shared" si="30"/>
        <v>0.11734905817133806</v>
      </c>
      <c r="M37" s="128">
        <f t="shared" si="30"/>
        <v>0.11356663506807704</v>
      </c>
    </row>
    <row r="38" spans="1:14" x14ac:dyDescent="0.25">
      <c r="A38" s="77" t="str">
        <f t="shared" si="24"/>
        <v>Travel &amp; Entertainment Expense</v>
      </c>
      <c r="B38" s="128">
        <f t="shared" ref="B38:M38" si="31">ABS(B9/B$3)</f>
        <v>1.1544374650504889E-2</v>
      </c>
      <c r="C38" s="128">
        <f t="shared" si="31"/>
        <v>1.1040462498514534E-2</v>
      </c>
      <c r="D38" s="128">
        <f t="shared" si="31"/>
        <v>1.1353236210920313E-2</v>
      </c>
      <c r="E38" s="128">
        <f t="shared" si="31"/>
        <v>1.1375968824256059E-2</v>
      </c>
      <c r="F38" s="128">
        <f t="shared" si="31"/>
        <v>1.132020516350272E-2</v>
      </c>
      <c r="G38" s="128">
        <f t="shared" si="31"/>
        <v>1.1095446189887965E-2</v>
      </c>
      <c r="H38" s="128">
        <f t="shared" si="31"/>
        <v>1.1132629772516429E-2</v>
      </c>
      <c r="I38" s="128">
        <f t="shared" si="31"/>
        <v>1.0783936892228532E-2</v>
      </c>
      <c r="J38" s="128">
        <f t="shared" si="31"/>
        <v>1.1356154632098259E-2</v>
      </c>
      <c r="K38" s="128">
        <f t="shared" si="31"/>
        <v>1.1659506237947367E-2</v>
      </c>
      <c r="L38" s="128">
        <f t="shared" si="31"/>
        <v>1.1199858362899473E-2</v>
      </c>
      <c r="M38" s="128">
        <f t="shared" si="31"/>
        <v>1.108232501745942E-2</v>
      </c>
    </row>
    <row r="39" spans="1:14" x14ac:dyDescent="0.25">
      <c r="A39" s="77" t="str">
        <f t="shared" si="24"/>
        <v>R&amp;D Expense</v>
      </c>
      <c r="B39" s="128">
        <f t="shared" ref="B39:M39" si="32">ABS(B10/B$3)</f>
        <v>3.2986195961419102E-3</v>
      </c>
      <c r="C39" s="128">
        <f t="shared" si="32"/>
        <v>2.1792728880510922E-3</v>
      </c>
      <c r="D39" s="128">
        <f t="shared" si="32"/>
        <v>4.2643890895309186E-3</v>
      </c>
      <c r="E39" s="128">
        <f t="shared" si="32"/>
        <v>3.7845147285159317E-3</v>
      </c>
      <c r="F39" s="128">
        <f t="shared" si="32"/>
        <v>3.5952369722960903E-3</v>
      </c>
      <c r="G39" s="128">
        <f t="shared" si="32"/>
        <v>5.4558284579895944E-3</v>
      </c>
      <c r="H39" s="128">
        <f t="shared" si="32"/>
        <v>3.8306284071979572E-3</v>
      </c>
      <c r="I39" s="128">
        <f t="shared" si="32"/>
        <v>2.8665001639463852E-3</v>
      </c>
      <c r="J39" s="128">
        <f t="shared" si="32"/>
        <v>2.652669597821703E-3</v>
      </c>
      <c r="K39" s="128">
        <f t="shared" si="32"/>
        <v>3.0136085996674373E-3</v>
      </c>
      <c r="L39" s="128">
        <f t="shared" si="32"/>
        <v>3.6848891801820214E-3</v>
      </c>
      <c r="M39" s="128">
        <f t="shared" si="32"/>
        <v>4.4297032421366261E-2</v>
      </c>
    </row>
    <row r="40" spans="1:14" x14ac:dyDescent="0.25">
      <c r="A40" s="77" t="str">
        <f t="shared" si="24"/>
        <v>Consulting Expense</v>
      </c>
      <c r="B40" s="128">
        <f t="shared" ref="B40:M40" si="33">ABS(B11/B$3)</f>
        <v>5.7108264985086275E-2</v>
      </c>
      <c r="C40" s="128">
        <f t="shared" si="33"/>
        <v>5.7748541143324721E-2</v>
      </c>
      <c r="D40" s="128">
        <f t="shared" si="33"/>
        <v>5.5272893315631011E-2</v>
      </c>
      <c r="E40" s="128">
        <f t="shared" si="33"/>
        <v>5.6469672936318292E-2</v>
      </c>
      <c r="F40" s="128">
        <f t="shared" si="33"/>
        <v>5.8075218437163324E-2</v>
      </c>
      <c r="G40" s="128">
        <f t="shared" si="33"/>
        <v>5.6429065533138686E-2</v>
      </c>
      <c r="H40" s="128">
        <f t="shared" si="33"/>
        <v>5.7367296584780521E-2</v>
      </c>
      <c r="I40" s="128">
        <f t="shared" si="33"/>
        <v>5.5163792604301605E-2</v>
      </c>
      <c r="J40" s="128">
        <f t="shared" si="33"/>
        <v>5.6548184416352752E-2</v>
      </c>
      <c r="K40" s="128">
        <f t="shared" si="33"/>
        <v>5.737399363434962E-2</v>
      </c>
      <c r="L40" s="128">
        <f t="shared" si="33"/>
        <v>5.6484307938076905E-2</v>
      </c>
      <c r="M40" s="128">
        <f t="shared" si="33"/>
        <v>5.6053215414323461E-2</v>
      </c>
    </row>
    <row r="41" spans="1:14" x14ac:dyDescent="0.25">
      <c r="A41" s="78" t="str">
        <f t="shared" si="24"/>
        <v>Marketing Expense</v>
      </c>
      <c r="B41" s="126">
        <f t="shared" ref="B41:M41" si="34">ABS(B12/B$3)</f>
        <v>2.2477065726885057E-2</v>
      </c>
      <c r="C41" s="126">
        <f t="shared" si="34"/>
        <v>2.2251972790397874E-2</v>
      </c>
      <c r="D41" s="126">
        <f t="shared" si="34"/>
        <v>2.2064683149818833E-2</v>
      </c>
      <c r="E41" s="126">
        <f t="shared" si="34"/>
        <v>2.2302824300699679E-2</v>
      </c>
      <c r="F41" s="126">
        <f t="shared" si="34"/>
        <v>2.2156304746119397E-2</v>
      </c>
      <c r="G41" s="126">
        <f t="shared" si="34"/>
        <v>2.164868665981217E-2</v>
      </c>
      <c r="H41" s="126">
        <f t="shared" si="34"/>
        <v>2.2497810746378792E-2</v>
      </c>
      <c r="I41" s="126">
        <f t="shared" si="34"/>
        <v>2.226802984972345E-2</v>
      </c>
      <c r="J41" s="126">
        <f t="shared" si="34"/>
        <v>2.1856217830122683E-2</v>
      </c>
      <c r="K41" s="126">
        <f t="shared" si="34"/>
        <v>2.3415818766130043E-2</v>
      </c>
      <c r="L41" s="126">
        <f t="shared" si="34"/>
        <v>2.1876127656102987E-2</v>
      </c>
      <c r="M41" s="126">
        <f t="shared" si="34"/>
        <v>2.3002477342570653E-2</v>
      </c>
    </row>
    <row r="42" spans="1:14" x14ac:dyDescent="0.25">
      <c r="A42" s="37" t="str">
        <f t="shared" si="24"/>
        <v>Income before Depr. &amp; Amort. (EBITDA)</v>
      </c>
      <c r="B42" s="94">
        <f t="shared" ref="B42:M42" si="35">ABS(B13/B$3)</f>
        <v>0.27670774708083062</v>
      </c>
      <c r="C42" s="94">
        <f t="shared" si="35"/>
        <v>0.30168873142396802</v>
      </c>
      <c r="D42" s="94">
        <f t="shared" si="35"/>
        <v>0.30424621207806896</v>
      </c>
      <c r="E42" s="94">
        <f t="shared" si="35"/>
        <v>0.27909531841644958</v>
      </c>
      <c r="F42" s="94">
        <f t="shared" si="35"/>
        <v>0.28334911009372427</v>
      </c>
      <c r="G42" s="94">
        <f t="shared" si="35"/>
        <v>0.31515228705400317</v>
      </c>
      <c r="H42" s="94">
        <f t="shared" si="35"/>
        <v>0.29710253658654412</v>
      </c>
      <c r="I42" s="94">
        <f t="shared" si="35"/>
        <v>0.30629978211087477</v>
      </c>
      <c r="J42" s="94">
        <f t="shared" si="35"/>
        <v>0.2763551652629716</v>
      </c>
      <c r="K42" s="94">
        <f t="shared" si="35"/>
        <v>0.29847424480974999</v>
      </c>
      <c r="L42" s="94">
        <f t="shared" si="35"/>
        <v>0.31419760536070895</v>
      </c>
      <c r="M42" s="94">
        <f t="shared" si="35"/>
        <v>0.27238995010473843</v>
      </c>
    </row>
    <row r="43" spans="1:14" x14ac:dyDescent="0.25">
      <c r="A43" s="78" t="str">
        <f t="shared" si="24"/>
        <v>less Depr. &amp; Amort. (DA)</v>
      </c>
      <c r="B43" s="114">
        <f t="shared" ref="B43:M43" si="36">ABS(B14/B$3)</f>
        <v>9.1395118018723978E-3</v>
      </c>
      <c r="C43" s="114">
        <f t="shared" si="36"/>
        <v>9.7797646869819919E-3</v>
      </c>
      <c r="D43" s="114">
        <f t="shared" si="36"/>
        <v>1.0486869170486324E-2</v>
      </c>
      <c r="E43" s="114">
        <f t="shared" si="36"/>
        <v>1.0635168767876117E-2</v>
      </c>
      <c r="F43" s="114">
        <f t="shared" si="36"/>
        <v>9.2353815596390165E-3</v>
      </c>
      <c r="G43" s="114">
        <f t="shared" si="36"/>
        <v>9.4494283266252071E-3</v>
      </c>
      <c r="H43" s="114">
        <f t="shared" si="36"/>
        <v>9.935248200722854E-3</v>
      </c>
      <c r="I43" s="114">
        <f t="shared" si="36"/>
        <v>1.0137143049553468E-2</v>
      </c>
      <c r="J43" s="114">
        <f t="shared" si="36"/>
        <v>1.1183229580884945E-2</v>
      </c>
      <c r="K43" s="114">
        <f t="shared" si="36"/>
        <v>1.0898507889617583E-2</v>
      </c>
      <c r="L43" s="114">
        <f t="shared" si="36"/>
        <v>9.5814691036790293E-3</v>
      </c>
      <c r="M43" s="114">
        <f t="shared" si="36"/>
        <v>1.0484370010042954E-2</v>
      </c>
      <c r="N43" s="152"/>
    </row>
    <row r="44" spans="1:14" x14ac:dyDescent="0.25">
      <c r="A44" s="75" t="str">
        <f t="shared" si="24"/>
        <v>Operating Profit</v>
      </c>
      <c r="B44" s="116">
        <f t="shared" ref="B44:M44" si="37">ABS(B15/B$3)</f>
        <v>0.26756823527895823</v>
      </c>
      <c r="C44" s="116">
        <f t="shared" si="37"/>
        <v>0.29190896673698602</v>
      </c>
      <c r="D44" s="116">
        <f t="shared" si="37"/>
        <v>0.2937593429075826</v>
      </c>
      <c r="E44" s="116">
        <f t="shared" si="37"/>
        <v>0.26846014964857345</v>
      </c>
      <c r="F44" s="116">
        <f t="shared" si="37"/>
        <v>0.27411372853408522</v>
      </c>
      <c r="G44" s="116">
        <f t="shared" si="37"/>
        <v>0.30570285872737796</v>
      </c>
      <c r="H44" s="116">
        <f t="shared" si="37"/>
        <v>0.28716728838582128</v>
      </c>
      <c r="I44" s="116">
        <f t="shared" si="37"/>
        <v>0.29616263906132129</v>
      </c>
      <c r="J44" s="116">
        <f t="shared" si="37"/>
        <v>0.26517193568208669</v>
      </c>
      <c r="K44" s="116">
        <f t="shared" si="37"/>
        <v>0.28757573692013244</v>
      </c>
      <c r="L44" s="116">
        <f t="shared" si="37"/>
        <v>0.30461613625702993</v>
      </c>
      <c r="M44" s="116">
        <f t="shared" si="37"/>
        <v>0.26190558009469544</v>
      </c>
      <c r="N44" s="151"/>
    </row>
    <row r="45" spans="1:14" x14ac:dyDescent="0.25">
      <c r="A45" s="37" t="str">
        <f t="shared" si="24"/>
        <v>Interest Expense</v>
      </c>
      <c r="B45" s="118">
        <f t="shared" ref="B45:M45" si="38">ABS(B16/B$3)</f>
        <v>1.6151121243370318E-2</v>
      </c>
      <c r="C45" s="118">
        <f t="shared" si="38"/>
        <v>1.6640528474150099E-2</v>
      </c>
      <c r="D45" s="118">
        <f t="shared" si="38"/>
        <v>1.7155232777223601E-2</v>
      </c>
      <c r="E45" s="118">
        <f t="shared" si="38"/>
        <v>1.6699644328948413E-2</v>
      </c>
      <c r="F45" s="118">
        <f t="shared" si="38"/>
        <v>1.3895364906620602E-2</v>
      </c>
      <c r="G45" s="118">
        <f t="shared" si="38"/>
        <v>1.3597069547908111E-2</v>
      </c>
      <c r="H45" s="118">
        <f t="shared" si="38"/>
        <v>1.3643891211421436E-2</v>
      </c>
      <c r="I45" s="118">
        <f t="shared" si="38"/>
        <v>1.3255656130536682E-2</v>
      </c>
      <c r="J45" s="118">
        <f t="shared" si="38"/>
        <v>1.3889384642959149E-2</v>
      </c>
      <c r="K45" s="118">
        <f t="shared" si="38"/>
        <v>1.2820288679872586E-2</v>
      </c>
      <c r="L45" s="118">
        <f t="shared" si="38"/>
        <v>1.0641996713777038E-2</v>
      </c>
      <c r="M45" s="118">
        <f t="shared" si="38"/>
        <v>1.0956546837191118E-2</v>
      </c>
    </row>
    <row r="46" spans="1:14" x14ac:dyDescent="0.25">
      <c r="A46" s="37" t="str">
        <f t="shared" si="24"/>
        <v>Nonoperating Income (Expense)</v>
      </c>
      <c r="B46" s="118">
        <f t="shared" ref="B46:M46" si="39">ABS(B17/B$3)</f>
        <v>0</v>
      </c>
      <c r="C46" s="118">
        <f t="shared" si="39"/>
        <v>0</v>
      </c>
      <c r="D46" s="118">
        <f t="shared" si="39"/>
        <v>0</v>
      </c>
      <c r="E46" s="118">
        <f t="shared" si="39"/>
        <v>0</v>
      </c>
      <c r="F46" s="118">
        <f t="shared" si="39"/>
        <v>0</v>
      </c>
      <c r="G46" s="118">
        <f t="shared" si="39"/>
        <v>0</v>
      </c>
      <c r="H46" s="118">
        <f t="shared" si="39"/>
        <v>0</v>
      </c>
      <c r="I46" s="118">
        <f t="shared" si="39"/>
        <v>0</v>
      </c>
      <c r="J46" s="118">
        <f t="shared" si="39"/>
        <v>0</v>
      </c>
      <c r="K46" s="118">
        <f t="shared" si="39"/>
        <v>0</v>
      </c>
      <c r="L46" s="118">
        <f t="shared" si="39"/>
        <v>0</v>
      </c>
      <c r="M46" s="118">
        <f t="shared" si="39"/>
        <v>0</v>
      </c>
    </row>
    <row r="47" spans="1:14" x14ac:dyDescent="0.25">
      <c r="A47" s="79" t="str">
        <f t="shared" si="24"/>
        <v>Special Items</v>
      </c>
      <c r="B47" s="114">
        <f t="shared" ref="B47:M47" si="40">ABS(B18/B$3)</f>
        <v>0</v>
      </c>
      <c r="C47" s="114">
        <f t="shared" si="40"/>
        <v>0</v>
      </c>
      <c r="D47" s="114">
        <f t="shared" si="40"/>
        <v>0</v>
      </c>
      <c r="E47" s="114">
        <f t="shared" si="40"/>
        <v>0</v>
      </c>
      <c r="F47" s="114">
        <f t="shared" si="40"/>
        <v>0</v>
      </c>
      <c r="G47" s="114">
        <f t="shared" si="40"/>
        <v>0</v>
      </c>
      <c r="H47" s="114">
        <f t="shared" si="40"/>
        <v>0</v>
      </c>
      <c r="I47" s="114">
        <f t="shared" si="40"/>
        <v>0</v>
      </c>
      <c r="J47" s="114">
        <f t="shared" si="40"/>
        <v>0</v>
      </c>
      <c r="K47" s="114">
        <f t="shared" si="40"/>
        <v>0</v>
      </c>
      <c r="L47" s="114">
        <f t="shared" si="40"/>
        <v>0</v>
      </c>
      <c r="M47" s="114">
        <f t="shared" si="40"/>
        <v>0</v>
      </c>
    </row>
    <row r="48" spans="1:14" x14ac:dyDescent="0.25">
      <c r="A48" s="80" t="str">
        <f t="shared" si="24"/>
        <v>Income before Taxes (EBT)</v>
      </c>
      <c r="B48" s="120">
        <f t="shared" ref="B48:M48" si="41">ABS(B19/B$3)</f>
        <v>0.25141711403558792</v>
      </c>
      <c r="C48" s="120">
        <f t="shared" si="41"/>
        <v>0.27526843826283592</v>
      </c>
      <c r="D48" s="120">
        <f t="shared" si="41"/>
        <v>0.27660411013035902</v>
      </c>
      <c r="E48" s="120">
        <f t="shared" si="41"/>
        <v>0.25176050531962507</v>
      </c>
      <c r="F48" s="120">
        <f t="shared" si="41"/>
        <v>0.26021836362746459</v>
      </c>
      <c r="G48" s="120">
        <f t="shared" si="41"/>
        <v>0.29210578917946983</v>
      </c>
      <c r="H48" s="120">
        <f t="shared" si="41"/>
        <v>0.27352339717439983</v>
      </c>
      <c r="I48" s="120">
        <f t="shared" si="41"/>
        <v>0.28290698293078459</v>
      </c>
      <c r="J48" s="120">
        <f t="shared" si="41"/>
        <v>0.2512825510391275</v>
      </c>
      <c r="K48" s="120">
        <f t="shared" si="41"/>
        <v>0.27475544824025983</v>
      </c>
      <c r="L48" s="120">
        <f t="shared" si="41"/>
        <v>0.29397413954325285</v>
      </c>
      <c r="M48" s="120">
        <f t="shared" si="41"/>
        <v>0.25094903325750434</v>
      </c>
    </row>
    <row r="49" spans="1:14" x14ac:dyDescent="0.25">
      <c r="A49" s="79" t="str">
        <f t="shared" si="24"/>
        <v xml:space="preserve">  less Income Taxes</v>
      </c>
      <c r="B49" s="114">
        <f t="shared" ref="B49:M50" si="42">ABS(B20/B$3)</f>
        <v>6.7882620789608744E-2</v>
      </c>
      <c r="C49" s="114">
        <f t="shared" si="42"/>
        <v>7.4322478330965697E-2</v>
      </c>
      <c r="D49" s="114">
        <f t="shared" si="42"/>
        <v>7.4683109735196943E-2</v>
      </c>
      <c r="E49" s="114">
        <f t="shared" si="42"/>
        <v>6.7975336436298772E-2</v>
      </c>
      <c r="F49" s="114">
        <f t="shared" si="42"/>
        <v>7.0258958179415451E-2</v>
      </c>
      <c r="G49" s="114">
        <f t="shared" si="42"/>
        <v>7.8868563078456869E-2</v>
      </c>
      <c r="H49" s="114">
        <f t="shared" si="42"/>
        <v>7.3851317237087946E-2</v>
      </c>
      <c r="I49" s="114">
        <f t="shared" si="42"/>
        <v>7.6384885391311844E-2</v>
      </c>
      <c r="J49" s="114">
        <f t="shared" si="42"/>
        <v>6.7846288780564437E-2</v>
      </c>
      <c r="K49" s="114">
        <f t="shared" si="42"/>
        <v>7.4183971024870163E-2</v>
      </c>
      <c r="L49" s="114">
        <f t="shared" si="42"/>
        <v>7.9373017676678287E-2</v>
      </c>
      <c r="M49" s="114">
        <f t="shared" si="42"/>
        <v>6.7756238979526179E-2</v>
      </c>
    </row>
    <row r="50" spans="1:14" x14ac:dyDescent="0.25">
      <c r="A50" s="78" t="s">
        <v>84</v>
      </c>
      <c r="B50" s="114">
        <f t="shared" si="42"/>
        <v>9.1395118018723978E-3</v>
      </c>
      <c r="C50" s="114">
        <f t="shared" si="42"/>
        <v>9.7797646869819919E-3</v>
      </c>
      <c r="D50" s="114">
        <f t="shared" si="42"/>
        <v>1.0486869170486324E-2</v>
      </c>
      <c r="E50" s="114">
        <f t="shared" si="42"/>
        <v>1.0635168767876117E-2</v>
      </c>
      <c r="F50" s="114">
        <f t="shared" si="42"/>
        <v>9.2353815596390165E-3</v>
      </c>
      <c r="G50" s="114">
        <f t="shared" si="42"/>
        <v>9.4494283266252071E-3</v>
      </c>
      <c r="H50" s="114">
        <f t="shared" si="42"/>
        <v>9.935248200722854E-3</v>
      </c>
      <c r="I50" s="114">
        <f t="shared" si="42"/>
        <v>1.0137143049553468E-2</v>
      </c>
      <c r="J50" s="114">
        <f t="shared" si="42"/>
        <v>1.1183229580884945E-2</v>
      </c>
      <c r="K50" s="114">
        <f t="shared" si="42"/>
        <v>1.0898507889617583E-2</v>
      </c>
      <c r="L50" s="114">
        <f t="shared" si="42"/>
        <v>9.5814691036790293E-3</v>
      </c>
      <c r="M50" s="114">
        <f t="shared" si="42"/>
        <v>1.0484370010042954E-2</v>
      </c>
    </row>
    <row r="51" spans="1:14" ht="14.4" thickBot="1" x14ac:dyDescent="0.3">
      <c r="A51" s="81" t="str">
        <f t="shared" ref="A51" si="43">A22</f>
        <v>Net Income</v>
      </c>
      <c r="B51" s="122">
        <f t="shared" ref="B51:M51" si="44">ABS(B22/B$3)</f>
        <v>0.19267400504785157</v>
      </c>
      <c r="C51" s="122">
        <f t="shared" si="44"/>
        <v>0.21072572461885222</v>
      </c>
      <c r="D51" s="122">
        <f t="shared" si="44"/>
        <v>0.21240786956564842</v>
      </c>
      <c r="E51" s="122">
        <f t="shared" si="44"/>
        <v>0.19442033765120242</v>
      </c>
      <c r="F51" s="122">
        <f t="shared" si="44"/>
        <v>0.19919478700768817</v>
      </c>
      <c r="G51" s="122">
        <f t="shared" si="44"/>
        <v>0.22268665442763816</v>
      </c>
      <c r="H51" s="122">
        <f t="shared" si="44"/>
        <v>0.20960732813803473</v>
      </c>
      <c r="I51" s="122">
        <f t="shared" si="44"/>
        <v>0.21665924058902622</v>
      </c>
      <c r="J51" s="122">
        <f t="shared" si="44"/>
        <v>0.19461949183944804</v>
      </c>
      <c r="K51" s="122">
        <f t="shared" si="44"/>
        <v>0.21146998510500728</v>
      </c>
      <c r="L51" s="122">
        <f t="shared" si="44"/>
        <v>0.22418259097025361</v>
      </c>
      <c r="M51" s="122">
        <f t="shared" si="44"/>
        <v>0.19367716428802112</v>
      </c>
      <c r="N51" s="151"/>
    </row>
  </sheetData>
  <mergeCells count="3">
    <mergeCell ref="Q6:U6"/>
    <mergeCell ref="A25:L25"/>
    <mergeCell ref="A31:M31"/>
  </mergeCells>
  <conditionalFormatting sqref="C1:L1">
    <cfRule type="cellIs" dxfId="0" priority="1" operator="lessThan">
      <formula>-0.065</formula>
    </cfRule>
  </conditionalFormatting>
  <dataValidations count="2">
    <dataValidation type="list" allowBlank="1" showInputMessage="1" showErrorMessage="1" sqref="Q3" xr:uid="{655D1917-E6FC-4753-95FD-C0ECEEA04BCB}">
      <formula1>".035,.04,.045,.0475,.05,.0525,.05675,.06,.625,.0675,.07"</formula1>
    </dataValidation>
    <dataValidation type="list" allowBlank="1" showInputMessage="1" showErrorMessage="1" sqref="N1" xr:uid="{043CDE2B-F1F9-4DAD-8754-D172839C7C21}">
      <formula1>"Budget,Forecast"</formula1>
    </dataValidation>
  </dataValidations>
  <pageMargins left="0.7" right="0.7" top="0.75" bottom="0.75" header="0.3" footer="0.3"/>
  <legacyDrawing r:id="rId1"/>
  <extLst>
    <ext xmlns:x14="http://schemas.microsoft.com/office/spreadsheetml/2009/9/main" uri="{05C60535-1F16-4fd2-B633-F4F36F0B64E0}">
      <x14:sparklineGroups xmlns:xm="http://schemas.microsoft.com/office/excel/2006/main">
        <x14:sparklineGroup displayEmptyCellsAs="span" xr2:uid="{D2111834-42FE-41F7-8B24-4C931FAC0A0F}">
          <x14:colorSeries rgb="FF376092"/>
          <x14:colorNegative rgb="FFD00000"/>
          <x14:colorAxis rgb="FF000000"/>
          <x14:colorMarkers rgb="FFD00000"/>
          <x14:colorFirst rgb="FFD00000"/>
          <x14:colorLast rgb="FFD00000"/>
          <x14:colorHigh rgb="FFD00000"/>
          <x14:colorLow rgb="FFD00000"/>
          <x14:sparklines>
            <x14:sparkline>
              <xm:f>'Advertising Pro-Forma'!B32:M32</xm:f>
              <xm:sqref>N32</xm:sqref>
            </x14:sparkline>
            <x14:sparkline>
              <xm:f>'Advertising Pro-Forma'!B33:M33</xm:f>
              <xm:sqref>N33</xm:sqref>
            </x14:sparkline>
            <x14:sparkline>
              <xm:f>'Advertising Pro-Forma'!B34:M34</xm:f>
              <xm:sqref>N34</xm:sqref>
            </x14:sparkline>
            <x14:sparkline>
              <xm:f>'Advertising Pro-Forma'!B35:M35</xm:f>
              <xm:sqref>N35</xm:sqref>
            </x14:sparkline>
            <x14:sparkline>
              <xm:f>'Advertising Pro-Forma'!B36:M36</xm:f>
              <xm:sqref>N36</xm:sqref>
            </x14:sparkline>
            <x14:sparkline>
              <xm:f>'Advertising Pro-Forma'!B37:M37</xm:f>
              <xm:sqref>N37</xm:sqref>
            </x14:sparkline>
            <x14:sparkline>
              <xm:f>'Advertising Pro-Forma'!B38:M38</xm:f>
              <xm:sqref>N38</xm:sqref>
            </x14:sparkline>
            <x14:sparkline>
              <xm:f>'Advertising Pro-Forma'!B39:M39</xm:f>
              <xm:sqref>N39</xm:sqref>
            </x14:sparkline>
            <x14:sparkline>
              <xm:f>'Advertising Pro-Forma'!B40:M40</xm:f>
              <xm:sqref>N40</xm:sqref>
            </x14:sparkline>
            <x14:sparkline>
              <xm:f>'Advertising Pro-Forma'!B41:M41</xm:f>
              <xm:sqref>N41</xm:sqref>
            </x14:sparkline>
            <x14:sparkline>
              <xm:f>'Advertising Pro-Forma'!B42:M42</xm:f>
              <xm:sqref>N42</xm:sqref>
            </x14:sparkline>
            <x14:sparkline>
              <xm:f>'Advertising Pro-Forma'!B43:M43</xm:f>
              <xm:sqref>N43</xm:sqref>
            </x14:sparkline>
            <x14:sparkline>
              <xm:f>'Advertising Pro-Forma'!B44:M44</xm:f>
              <xm:sqref>N44</xm:sqref>
            </x14:sparkline>
            <x14:sparkline>
              <xm:f>'Advertising Pro-Forma'!B45:M45</xm:f>
              <xm:sqref>N45</xm:sqref>
            </x14:sparkline>
            <x14:sparkline>
              <xm:f>'Advertising Pro-Forma'!B46:M46</xm:f>
              <xm:sqref>N46</xm:sqref>
            </x14:sparkline>
            <x14:sparkline>
              <xm:f>'Advertising Pro-Forma'!B47:M47</xm:f>
              <xm:sqref>N47</xm:sqref>
            </x14:sparkline>
            <x14:sparkline>
              <xm:f>'Advertising Pro-Forma'!B48:M48</xm:f>
              <xm:sqref>N48</xm:sqref>
            </x14:sparkline>
            <x14:sparkline>
              <xm:f>'Advertising Pro-Forma'!B49:M49</xm:f>
              <xm:sqref>N49</xm:sqref>
            </x14:sparkline>
            <x14:sparkline>
              <xm:f>'Advertising Pro-Forma'!B50:M50</xm:f>
              <xm:sqref>N50</xm:sqref>
            </x14:sparkline>
            <x14:sparkline>
              <xm:f>'Advertising Pro-Forma'!B51:M51</xm:f>
              <xm:sqref>N51</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V118"/>
  <sheetViews>
    <sheetView workbookViewId="0">
      <selection activeCell="G23" sqref="G23"/>
    </sheetView>
  </sheetViews>
  <sheetFormatPr defaultRowHeight="13.8" x14ac:dyDescent="0.25"/>
  <cols>
    <col min="1" max="1" width="32.44140625" style="1" bestFit="1" customWidth="1"/>
    <col min="2" max="2" width="27.77734375" style="1" hidden="1" customWidth="1"/>
    <col min="3" max="3" width="40" style="1" bestFit="1" customWidth="1"/>
    <col min="4" max="4" width="5" style="1" hidden="1" customWidth="1"/>
    <col min="5" max="5" width="8.44140625" style="18" hidden="1" customWidth="1"/>
    <col min="6" max="17" width="13.21875" style="1" bestFit="1" customWidth="1"/>
    <col min="18" max="22" width="14.21875" style="1" bestFit="1" customWidth="1"/>
    <col min="23" max="16384" width="8.88671875" style="1"/>
  </cols>
  <sheetData>
    <row r="1" spans="1:22" ht="14.4" thickBot="1" x14ac:dyDescent="0.3">
      <c r="A1" s="36" t="s">
        <v>35</v>
      </c>
      <c r="B1" s="35" t="s">
        <v>0</v>
      </c>
      <c r="C1" s="24" t="s">
        <v>64</v>
      </c>
      <c r="D1" s="20" t="s">
        <v>1</v>
      </c>
      <c r="E1" s="4" t="s">
        <v>2</v>
      </c>
      <c r="F1" s="4" t="s">
        <v>3</v>
      </c>
      <c r="G1" s="4" t="s">
        <v>4</v>
      </c>
      <c r="H1" s="4" t="s">
        <v>5</v>
      </c>
      <c r="I1" s="4" t="s">
        <v>6</v>
      </c>
      <c r="J1" s="4" t="s">
        <v>7</v>
      </c>
      <c r="K1" s="4" t="s">
        <v>8</v>
      </c>
      <c r="L1" s="4" t="s">
        <v>9</v>
      </c>
      <c r="M1" s="4" t="s">
        <v>10</v>
      </c>
      <c r="N1" s="4" t="s">
        <v>11</v>
      </c>
      <c r="O1" s="4" t="s">
        <v>12</v>
      </c>
      <c r="P1" s="4" t="s">
        <v>13</v>
      </c>
      <c r="Q1" s="4" t="s">
        <v>14</v>
      </c>
      <c r="R1" s="25" t="s">
        <v>29</v>
      </c>
      <c r="S1" s="25" t="s">
        <v>30</v>
      </c>
      <c r="T1" s="25" t="s">
        <v>31</v>
      </c>
      <c r="U1" s="25" t="s">
        <v>33</v>
      </c>
      <c r="V1" s="25" t="s">
        <v>32</v>
      </c>
    </row>
    <row r="2" spans="1:22" x14ac:dyDescent="0.25">
      <c r="A2" s="37" t="str">
        <f>CONCATENATE(D2," ",B2)</f>
        <v>2012 Sales</v>
      </c>
      <c r="B2" s="13" t="s">
        <v>15</v>
      </c>
      <c r="C2" s="131" t="str">
        <f>CONCATENATE(D2," ",E2," ",B2)</f>
        <v>2012 Actuals Sales</v>
      </c>
      <c r="D2" s="17">
        <v>2012</v>
      </c>
      <c r="E2" s="17" t="s">
        <v>16</v>
      </c>
      <c r="F2" s="5">
        <v>90924002</v>
      </c>
      <c r="G2" s="5">
        <v>82606134</v>
      </c>
      <c r="H2" s="5">
        <v>72780220</v>
      </c>
      <c r="I2" s="5">
        <v>52943701</v>
      </c>
      <c r="J2" s="5">
        <v>77528109</v>
      </c>
      <c r="K2" s="5">
        <v>96384524</v>
      </c>
      <c r="L2" s="5">
        <v>77345061</v>
      </c>
      <c r="M2" s="5">
        <v>98290873</v>
      </c>
      <c r="N2" s="5">
        <v>79879127</v>
      </c>
      <c r="O2" s="5">
        <v>95373403</v>
      </c>
      <c r="P2" s="5">
        <v>54887908</v>
      </c>
      <c r="Q2" s="6">
        <v>82703597</v>
      </c>
      <c r="R2" s="29">
        <f>SUM(F2:Q2)</f>
        <v>961646659</v>
      </c>
      <c r="S2" s="26">
        <f>SUM(F2:H2)</f>
        <v>246310356</v>
      </c>
      <c r="T2" s="27">
        <f>SUM(I2:K2)</f>
        <v>226856334</v>
      </c>
      <c r="U2" s="27">
        <f>SUM(L2:N2)</f>
        <v>255515061</v>
      </c>
      <c r="V2" s="28">
        <f>SUM(O2:Q2)</f>
        <v>232964908</v>
      </c>
    </row>
    <row r="3" spans="1:22" x14ac:dyDescent="0.25">
      <c r="A3" s="37" t="str">
        <f t="shared" ref="A3:A66" si="0">CONCATENATE(D3," ",B3)</f>
        <v>2012 COGS</v>
      </c>
      <c r="B3" s="7" t="s">
        <v>34</v>
      </c>
      <c r="C3" s="37" t="str">
        <f t="shared" ref="C3:C66" si="1">CONCATENATE(D3," ",E3," ",B3)</f>
        <v>2012 Actuals COGS</v>
      </c>
      <c r="D3" s="18">
        <v>2012</v>
      </c>
      <c r="E3" s="18" t="s">
        <v>16</v>
      </c>
      <c r="F3" s="8">
        <v>-41623278</v>
      </c>
      <c r="G3" s="8">
        <v>-40464347</v>
      </c>
      <c r="H3" s="8">
        <v>-30806326</v>
      </c>
      <c r="I3" s="8">
        <v>-21412962</v>
      </c>
      <c r="J3" s="8">
        <v>-37047252</v>
      </c>
      <c r="K3" s="8">
        <v>-44819597</v>
      </c>
      <c r="L3" s="8">
        <v>-34847393</v>
      </c>
      <c r="M3" s="8">
        <v>-47903350</v>
      </c>
      <c r="N3" s="8">
        <v>-35880653</v>
      </c>
      <c r="O3" s="8">
        <v>-44982115</v>
      </c>
      <c r="P3" s="8">
        <v>-26929424</v>
      </c>
      <c r="Q3" s="9">
        <v>-34233473</v>
      </c>
      <c r="R3" s="29">
        <f t="shared" ref="R3:R66" si="2">SUM(F3:Q3)</f>
        <v>-440950170</v>
      </c>
      <c r="S3" s="29">
        <f t="shared" ref="S3:S66" si="3">SUM(F3:H3)</f>
        <v>-112893951</v>
      </c>
      <c r="T3" s="23">
        <f t="shared" ref="T3:T66" si="4">SUM(I3:K3)</f>
        <v>-103279811</v>
      </c>
      <c r="U3" s="23">
        <f t="shared" ref="U3:U66" si="5">SUM(L3:N3)</f>
        <v>-118631396</v>
      </c>
      <c r="V3" s="30">
        <f t="shared" ref="V3:V66" si="6">SUM(O3:Q3)</f>
        <v>-106145012</v>
      </c>
    </row>
    <row r="4" spans="1:22" x14ac:dyDescent="0.25">
      <c r="A4" s="37" t="str">
        <f t="shared" si="0"/>
        <v>2012 Commissions Expense</v>
      </c>
      <c r="B4" s="7" t="s">
        <v>17</v>
      </c>
      <c r="C4" s="37" t="str">
        <f t="shared" si="1"/>
        <v>2012 Actuals Commissions Expense</v>
      </c>
      <c r="D4" s="18">
        <v>2012</v>
      </c>
      <c r="E4" s="18" t="s">
        <v>16</v>
      </c>
      <c r="F4" s="8">
        <v>-4454359</v>
      </c>
      <c r="G4" s="8">
        <v>-3386032</v>
      </c>
      <c r="H4" s="8">
        <v>-3389705</v>
      </c>
      <c r="I4" s="8">
        <v>-2149257</v>
      </c>
      <c r="J4" s="8">
        <v>-3168079</v>
      </c>
      <c r="K4" s="8">
        <v>-4417624</v>
      </c>
      <c r="L4" s="8">
        <v>-3386461</v>
      </c>
      <c r="M4" s="8">
        <v>-4052846</v>
      </c>
      <c r="N4" s="8">
        <v>-3418737</v>
      </c>
      <c r="O4" s="8">
        <v>-4365527</v>
      </c>
      <c r="P4" s="8">
        <v>-2455561</v>
      </c>
      <c r="Q4" s="9">
        <v>-3646726</v>
      </c>
      <c r="R4" s="29">
        <f t="shared" si="2"/>
        <v>-42290914</v>
      </c>
      <c r="S4" s="29">
        <f t="shared" si="3"/>
        <v>-11230096</v>
      </c>
      <c r="T4" s="23">
        <f t="shared" si="4"/>
        <v>-9734960</v>
      </c>
      <c r="U4" s="23">
        <f t="shared" si="5"/>
        <v>-10858044</v>
      </c>
      <c r="V4" s="30">
        <f t="shared" si="6"/>
        <v>-10467814</v>
      </c>
    </row>
    <row r="5" spans="1:22" x14ac:dyDescent="0.25">
      <c r="A5" s="37" t="str">
        <f t="shared" si="0"/>
        <v>2012 Payroll Expense</v>
      </c>
      <c r="B5" s="7" t="s">
        <v>18</v>
      </c>
      <c r="C5" s="37" t="str">
        <f t="shared" si="1"/>
        <v>2012 Actuals Payroll Expense</v>
      </c>
      <c r="D5" s="18">
        <v>2012</v>
      </c>
      <c r="E5" s="18" t="s">
        <v>16</v>
      </c>
      <c r="F5" s="8">
        <v>-9901680</v>
      </c>
      <c r="G5" s="8">
        <v>-9871172</v>
      </c>
      <c r="H5" s="8">
        <v>-8459696</v>
      </c>
      <c r="I5" s="8">
        <v>-6303408</v>
      </c>
      <c r="J5" s="8">
        <v>-8493573</v>
      </c>
      <c r="K5" s="8">
        <v>-11082494</v>
      </c>
      <c r="L5" s="8">
        <v>-8081033</v>
      </c>
      <c r="M5" s="8">
        <v>-11070018</v>
      </c>
      <c r="N5" s="8">
        <v>-8410665</v>
      </c>
      <c r="O5" s="8">
        <v>-10081727</v>
      </c>
      <c r="P5" s="8">
        <v>-6300578</v>
      </c>
      <c r="Q5" s="9">
        <v>-9099438</v>
      </c>
      <c r="R5" s="29">
        <f t="shared" si="2"/>
        <v>-107155482</v>
      </c>
      <c r="S5" s="29">
        <f t="shared" si="3"/>
        <v>-28232548</v>
      </c>
      <c r="T5" s="23">
        <f t="shared" si="4"/>
        <v>-25879475</v>
      </c>
      <c r="U5" s="23">
        <f t="shared" si="5"/>
        <v>-27561716</v>
      </c>
      <c r="V5" s="30">
        <f t="shared" si="6"/>
        <v>-25481743</v>
      </c>
    </row>
    <row r="6" spans="1:22" x14ac:dyDescent="0.25">
      <c r="A6" s="37" t="str">
        <f t="shared" si="0"/>
        <v>2012 Travel &amp; Entertainment Expense</v>
      </c>
      <c r="B6" s="7" t="s">
        <v>19</v>
      </c>
      <c r="C6" s="37" t="str">
        <f t="shared" si="1"/>
        <v>2012 Actuals Travel &amp; Entertainment Expense</v>
      </c>
      <c r="D6" s="18">
        <v>2012</v>
      </c>
      <c r="E6" s="18" t="s">
        <v>16</v>
      </c>
      <c r="F6" s="8">
        <v>-951255</v>
      </c>
      <c r="G6" s="8">
        <v>-838985</v>
      </c>
      <c r="H6" s="8">
        <v>-872700</v>
      </c>
      <c r="I6" s="8">
        <v>-624416</v>
      </c>
      <c r="J6" s="8">
        <v>-919835</v>
      </c>
      <c r="K6" s="8">
        <v>-1085296</v>
      </c>
      <c r="L6" s="8">
        <v>-818602</v>
      </c>
      <c r="M6" s="8">
        <v>-1040585</v>
      </c>
      <c r="N6" s="8">
        <v>-803190</v>
      </c>
      <c r="O6" s="8">
        <v>-1158623</v>
      </c>
      <c r="P6" s="8">
        <v>-611335</v>
      </c>
      <c r="Q6" s="9">
        <v>-941542</v>
      </c>
      <c r="R6" s="29">
        <f t="shared" si="2"/>
        <v>-10666364</v>
      </c>
      <c r="S6" s="29">
        <f t="shared" si="3"/>
        <v>-2662940</v>
      </c>
      <c r="T6" s="23">
        <f t="shared" si="4"/>
        <v>-2629547</v>
      </c>
      <c r="U6" s="23">
        <f t="shared" si="5"/>
        <v>-2662377</v>
      </c>
      <c r="V6" s="30">
        <f t="shared" si="6"/>
        <v>-2711500</v>
      </c>
    </row>
    <row r="7" spans="1:22" x14ac:dyDescent="0.25">
      <c r="A7" s="37" t="str">
        <f t="shared" si="0"/>
        <v>2012 R&amp;D Expense</v>
      </c>
      <c r="B7" s="7" t="s">
        <v>20</v>
      </c>
      <c r="C7" s="37" t="str">
        <f t="shared" si="1"/>
        <v>2012 Actuals R&amp;D Expense</v>
      </c>
      <c r="D7" s="18">
        <v>2012</v>
      </c>
      <c r="E7" s="18" t="s">
        <v>16</v>
      </c>
      <c r="F7" s="8">
        <v>-4094116</v>
      </c>
      <c r="G7" s="8">
        <v>-3599297</v>
      </c>
      <c r="H7" s="8">
        <v>-3213050</v>
      </c>
      <c r="I7" s="8">
        <v>-2466394</v>
      </c>
      <c r="J7" s="8">
        <v>-3350416</v>
      </c>
      <c r="K7" s="8">
        <v>-3973250</v>
      </c>
      <c r="L7" s="8">
        <v>-3752045</v>
      </c>
      <c r="M7" s="8">
        <v>-4170217</v>
      </c>
      <c r="N7" s="8">
        <v>-3524451</v>
      </c>
      <c r="O7" s="8">
        <v>-4281007</v>
      </c>
      <c r="P7" s="8">
        <v>-2727155</v>
      </c>
      <c r="Q7" s="9">
        <v>-3711633</v>
      </c>
      <c r="R7" s="29">
        <f t="shared" si="2"/>
        <v>-42863031</v>
      </c>
      <c r="S7" s="29">
        <f t="shared" si="3"/>
        <v>-10906463</v>
      </c>
      <c r="T7" s="23">
        <f t="shared" si="4"/>
        <v>-9790060</v>
      </c>
      <c r="U7" s="23">
        <f t="shared" si="5"/>
        <v>-11446713</v>
      </c>
      <c r="V7" s="30">
        <f t="shared" si="6"/>
        <v>-10719795</v>
      </c>
    </row>
    <row r="8" spans="1:22" x14ac:dyDescent="0.25">
      <c r="A8" s="37" t="str">
        <f t="shared" si="0"/>
        <v>2012 Consulting Expense</v>
      </c>
      <c r="B8" s="7" t="s">
        <v>21</v>
      </c>
      <c r="C8" s="37" t="str">
        <f t="shared" si="1"/>
        <v>2012 Actuals Consulting Expense</v>
      </c>
      <c r="D8" s="18">
        <v>2012</v>
      </c>
      <c r="E8" s="18" t="s">
        <v>16</v>
      </c>
      <c r="F8" s="8">
        <v>-5261471</v>
      </c>
      <c r="G8" s="8">
        <v>-4215309</v>
      </c>
      <c r="H8" s="8">
        <v>-3781799</v>
      </c>
      <c r="I8" s="8">
        <v>-2788120</v>
      </c>
      <c r="J8" s="8">
        <v>-4656777</v>
      </c>
      <c r="K8" s="8">
        <v>-5399647</v>
      </c>
      <c r="L8" s="8">
        <v>-4448901</v>
      </c>
      <c r="M8" s="8">
        <v>-5654825</v>
      </c>
      <c r="N8" s="8">
        <v>-4598250</v>
      </c>
      <c r="O8" s="8">
        <v>-5505410</v>
      </c>
      <c r="P8" s="8">
        <v>-2908553</v>
      </c>
      <c r="Q8" s="9">
        <v>-4664773</v>
      </c>
      <c r="R8" s="29">
        <f t="shared" si="2"/>
        <v>-53883835</v>
      </c>
      <c r="S8" s="29">
        <f t="shared" si="3"/>
        <v>-13258579</v>
      </c>
      <c r="T8" s="23">
        <f t="shared" si="4"/>
        <v>-12844544</v>
      </c>
      <c r="U8" s="23">
        <f t="shared" si="5"/>
        <v>-14701976</v>
      </c>
      <c r="V8" s="30">
        <f t="shared" si="6"/>
        <v>-13078736</v>
      </c>
    </row>
    <row r="9" spans="1:22" x14ac:dyDescent="0.25">
      <c r="A9" s="37" t="str">
        <f t="shared" si="0"/>
        <v>2012 Software/Hardware Expense</v>
      </c>
      <c r="B9" s="7" t="s">
        <v>22</v>
      </c>
      <c r="C9" s="37" t="str">
        <f t="shared" si="1"/>
        <v>2012 Actuals Software/Hardware Expense</v>
      </c>
      <c r="D9" s="18">
        <v>2012</v>
      </c>
      <c r="E9" s="18" t="s">
        <v>16</v>
      </c>
      <c r="F9" s="8">
        <v>-7549491</v>
      </c>
      <c r="G9" s="8">
        <v>-6744180</v>
      </c>
      <c r="H9" s="8">
        <v>-5424173</v>
      </c>
      <c r="I9" s="8">
        <v>-3818856</v>
      </c>
      <c r="J9" s="8">
        <v>-5935455</v>
      </c>
      <c r="K9" s="8">
        <v>-7685036</v>
      </c>
      <c r="L9" s="8">
        <v>-6661232</v>
      </c>
      <c r="M9" s="8">
        <v>-8035238</v>
      </c>
      <c r="N9" s="8">
        <v>-6167182</v>
      </c>
      <c r="O9" s="8">
        <v>-8233098</v>
      </c>
      <c r="P9" s="8">
        <v>-4016737</v>
      </c>
      <c r="Q9" s="9">
        <v>-6547629</v>
      </c>
      <c r="R9" s="29">
        <f t="shared" si="2"/>
        <v>-76818307</v>
      </c>
      <c r="S9" s="29">
        <f t="shared" si="3"/>
        <v>-19717844</v>
      </c>
      <c r="T9" s="23">
        <f t="shared" si="4"/>
        <v>-17439347</v>
      </c>
      <c r="U9" s="23">
        <f t="shared" si="5"/>
        <v>-20863652</v>
      </c>
      <c r="V9" s="30">
        <f t="shared" si="6"/>
        <v>-18797464</v>
      </c>
    </row>
    <row r="10" spans="1:22" x14ac:dyDescent="0.25">
      <c r="A10" s="37" t="str">
        <f t="shared" si="0"/>
        <v>2012 Marketing Expense</v>
      </c>
      <c r="B10" s="7" t="s">
        <v>23</v>
      </c>
      <c r="C10" s="37" t="str">
        <f t="shared" si="1"/>
        <v>2012 Actuals Marketing Expense</v>
      </c>
      <c r="D10" s="18">
        <v>2012</v>
      </c>
      <c r="E10" s="18" t="s">
        <v>16</v>
      </c>
      <c r="F10" s="8">
        <v>-1865763</v>
      </c>
      <c r="G10" s="8">
        <v>-2004386</v>
      </c>
      <c r="H10" s="8">
        <v>-1667521</v>
      </c>
      <c r="I10" s="8">
        <v>-1103735</v>
      </c>
      <c r="J10" s="8">
        <v>-1617994</v>
      </c>
      <c r="K10" s="8">
        <v>-2316878</v>
      </c>
      <c r="L10" s="8">
        <v>-1579791</v>
      </c>
      <c r="M10" s="8">
        <v>-2223673</v>
      </c>
      <c r="N10" s="8">
        <v>-1869698</v>
      </c>
      <c r="O10" s="8">
        <v>-2043854</v>
      </c>
      <c r="P10" s="8">
        <v>-1365202</v>
      </c>
      <c r="Q10" s="9">
        <v>-1696008</v>
      </c>
      <c r="R10" s="29">
        <f t="shared" si="2"/>
        <v>-21354503</v>
      </c>
      <c r="S10" s="29">
        <f t="shared" si="3"/>
        <v>-5537670</v>
      </c>
      <c r="T10" s="23">
        <f t="shared" si="4"/>
        <v>-5038607</v>
      </c>
      <c r="U10" s="23">
        <f t="shared" si="5"/>
        <v>-5673162</v>
      </c>
      <c r="V10" s="30">
        <f t="shared" si="6"/>
        <v>-5105064</v>
      </c>
    </row>
    <row r="11" spans="1:22" x14ac:dyDescent="0.25">
      <c r="A11" s="37" t="str">
        <f t="shared" si="0"/>
        <v>2013 Sales</v>
      </c>
      <c r="B11" s="14" t="s">
        <v>15</v>
      </c>
      <c r="C11" s="132" t="str">
        <f t="shared" si="1"/>
        <v>2013 Actuals Sales</v>
      </c>
      <c r="D11" s="18">
        <v>2013</v>
      </c>
      <c r="E11" s="18" t="s">
        <v>16</v>
      </c>
      <c r="F11" s="8">
        <v>62935397</v>
      </c>
      <c r="G11" s="8">
        <v>53925189</v>
      </c>
      <c r="H11" s="8">
        <v>89800765</v>
      </c>
      <c r="I11" s="8">
        <v>73182364</v>
      </c>
      <c r="J11" s="8">
        <v>88898687</v>
      </c>
      <c r="K11" s="8">
        <v>56531656</v>
      </c>
      <c r="L11" s="8">
        <v>81928853</v>
      </c>
      <c r="M11" s="8">
        <v>83883692</v>
      </c>
      <c r="N11" s="8">
        <v>90835513</v>
      </c>
      <c r="O11" s="8">
        <v>84696571</v>
      </c>
      <c r="P11" s="8">
        <v>85024906</v>
      </c>
      <c r="Q11" s="9">
        <v>53288399</v>
      </c>
      <c r="R11" s="29">
        <f t="shared" si="2"/>
        <v>904931992</v>
      </c>
      <c r="S11" s="29">
        <f t="shared" si="3"/>
        <v>206661351</v>
      </c>
      <c r="T11" s="23">
        <f t="shared" si="4"/>
        <v>218612707</v>
      </c>
      <c r="U11" s="23">
        <f t="shared" si="5"/>
        <v>256648058</v>
      </c>
      <c r="V11" s="30">
        <f t="shared" si="6"/>
        <v>223009876</v>
      </c>
    </row>
    <row r="12" spans="1:22" x14ac:dyDescent="0.25">
      <c r="A12" s="37" t="str">
        <f t="shared" si="0"/>
        <v>2013 COGS</v>
      </c>
      <c r="B12" s="7" t="s">
        <v>34</v>
      </c>
      <c r="C12" s="37" t="str">
        <f t="shared" si="1"/>
        <v>2013 Actuals COGS</v>
      </c>
      <c r="D12" s="18">
        <v>2013</v>
      </c>
      <c r="E12" s="18" t="s">
        <v>16</v>
      </c>
      <c r="F12" s="8">
        <v>-26494815</v>
      </c>
      <c r="G12" s="8">
        <v>-22903069</v>
      </c>
      <c r="H12" s="8">
        <v>-40456195</v>
      </c>
      <c r="I12" s="8">
        <v>-34006729</v>
      </c>
      <c r="J12" s="8">
        <v>-42423953</v>
      </c>
      <c r="K12" s="8">
        <v>-27409059</v>
      </c>
      <c r="L12" s="8">
        <v>-33775125</v>
      </c>
      <c r="M12" s="8">
        <v>-36687036</v>
      </c>
      <c r="N12" s="8">
        <v>-41042906</v>
      </c>
      <c r="O12" s="8">
        <v>-39247829</v>
      </c>
      <c r="P12" s="8">
        <v>-36978094</v>
      </c>
      <c r="Q12" s="9">
        <v>-21932570</v>
      </c>
      <c r="R12" s="29">
        <f t="shared" si="2"/>
        <v>-403357380</v>
      </c>
      <c r="S12" s="29">
        <f t="shared" si="3"/>
        <v>-89854079</v>
      </c>
      <c r="T12" s="23">
        <f t="shared" si="4"/>
        <v>-103839741</v>
      </c>
      <c r="U12" s="23">
        <f t="shared" si="5"/>
        <v>-111505067</v>
      </c>
      <c r="V12" s="30">
        <f t="shared" si="6"/>
        <v>-98158493</v>
      </c>
    </row>
    <row r="13" spans="1:22" x14ac:dyDescent="0.25">
      <c r="A13" s="37" t="str">
        <f t="shared" si="0"/>
        <v>2013 Commissions Expense</v>
      </c>
      <c r="B13" s="7" t="s">
        <v>17</v>
      </c>
      <c r="C13" s="37" t="str">
        <f t="shared" si="1"/>
        <v>2013 Actuals Commissions Expense</v>
      </c>
      <c r="D13" s="18">
        <v>2013</v>
      </c>
      <c r="E13" s="18" t="s">
        <v>16</v>
      </c>
      <c r="F13" s="8">
        <v>-2701354</v>
      </c>
      <c r="G13" s="8">
        <v>-2292513</v>
      </c>
      <c r="H13" s="8">
        <v>-4003886</v>
      </c>
      <c r="I13" s="8">
        <v>-3480213</v>
      </c>
      <c r="J13" s="8">
        <v>-3751958</v>
      </c>
      <c r="K13" s="8">
        <v>-2276949</v>
      </c>
      <c r="L13" s="8">
        <v>-3831128</v>
      </c>
      <c r="M13" s="8">
        <v>-4053567</v>
      </c>
      <c r="N13" s="8">
        <v>-3723927</v>
      </c>
      <c r="O13" s="8">
        <v>-3646419</v>
      </c>
      <c r="P13" s="8">
        <v>-3875350</v>
      </c>
      <c r="Q13" s="9">
        <v>-2193320</v>
      </c>
      <c r="R13" s="29">
        <f t="shared" si="2"/>
        <v>-39830584</v>
      </c>
      <c r="S13" s="29">
        <f t="shared" si="3"/>
        <v>-8997753</v>
      </c>
      <c r="T13" s="23">
        <f t="shared" si="4"/>
        <v>-9509120</v>
      </c>
      <c r="U13" s="23">
        <f t="shared" si="5"/>
        <v>-11608622</v>
      </c>
      <c r="V13" s="30">
        <f t="shared" si="6"/>
        <v>-9715089</v>
      </c>
    </row>
    <row r="14" spans="1:22" x14ac:dyDescent="0.25">
      <c r="A14" s="37" t="str">
        <f t="shared" si="0"/>
        <v>2013 Payroll Expense</v>
      </c>
      <c r="B14" s="7" t="s">
        <v>18</v>
      </c>
      <c r="C14" s="37" t="str">
        <f t="shared" si="1"/>
        <v>2013 Actuals Payroll Expense</v>
      </c>
      <c r="D14" s="18">
        <v>2013</v>
      </c>
      <c r="E14" s="18" t="s">
        <v>16</v>
      </c>
      <c r="F14" s="8">
        <v>-6903529</v>
      </c>
      <c r="G14" s="8">
        <v>-6040881</v>
      </c>
      <c r="H14" s="8">
        <v>-8999879</v>
      </c>
      <c r="I14" s="8">
        <v>-8859167</v>
      </c>
      <c r="J14" s="8">
        <v>-10315340</v>
      </c>
      <c r="K14" s="8">
        <v>-7009597</v>
      </c>
      <c r="L14" s="8">
        <v>-9729627</v>
      </c>
      <c r="M14" s="8">
        <v>-9388096</v>
      </c>
      <c r="N14" s="8">
        <v>-9421268</v>
      </c>
      <c r="O14" s="8">
        <v>-9764483</v>
      </c>
      <c r="P14" s="8">
        <v>-10104336</v>
      </c>
      <c r="Q14" s="9">
        <v>-6025217</v>
      </c>
      <c r="R14" s="29">
        <f t="shared" si="2"/>
        <v>-102561420</v>
      </c>
      <c r="S14" s="29">
        <f t="shared" si="3"/>
        <v>-21944289</v>
      </c>
      <c r="T14" s="23">
        <f t="shared" si="4"/>
        <v>-26184104</v>
      </c>
      <c r="U14" s="23">
        <f t="shared" si="5"/>
        <v>-28538991</v>
      </c>
      <c r="V14" s="30">
        <f t="shared" si="6"/>
        <v>-25894036</v>
      </c>
    </row>
    <row r="15" spans="1:22" x14ac:dyDescent="0.25">
      <c r="A15" s="37" t="str">
        <f t="shared" si="0"/>
        <v>2013 Travel &amp; Entertainment Expense</v>
      </c>
      <c r="B15" s="7" t="s">
        <v>19</v>
      </c>
      <c r="C15" s="37" t="str">
        <f t="shared" si="1"/>
        <v>2013 Actuals Travel &amp; Entertainment Expense</v>
      </c>
      <c r="D15" s="18">
        <v>2013</v>
      </c>
      <c r="E15" s="18" t="s">
        <v>16</v>
      </c>
      <c r="F15" s="8">
        <v>-742125</v>
      </c>
      <c r="G15" s="8">
        <v>-668336</v>
      </c>
      <c r="H15" s="8">
        <v>-1090282</v>
      </c>
      <c r="I15" s="8">
        <v>-779994</v>
      </c>
      <c r="J15" s="8">
        <v>-1061114</v>
      </c>
      <c r="K15" s="8">
        <v>-574730</v>
      </c>
      <c r="L15" s="8">
        <v>-914148</v>
      </c>
      <c r="M15" s="8">
        <v>-937664</v>
      </c>
      <c r="N15" s="8">
        <v>-1118700</v>
      </c>
      <c r="O15" s="8">
        <v>-991515</v>
      </c>
      <c r="P15" s="8">
        <v>-891952</v>
      </c>
      <c r="Q15" s="9">
        <v>-622578</v>
      </c>
      <c r="R15" s="29">
        <f t="shared" si="2"/>
        <v>-10393138</v>
      </c>
      <c r="S15" s="29">
        <f t="shared" si="3"/>
        <v>-2500743</v>
      </c>
      <c r="T15" s="23">
        <f t="shared" si="4"/>
        <v>-2415838</v>
      </c>
      <c r="U15" s="23">
        <f t="shared" si="5"/>
        <v>-2970512</v>
      </c>
      <c r="V15" s="30">
        <f t="shared" si="6"/>
        <v>-2506045</v>
      </c>
    </row>
    <row r="16" spans="1:22" x14ac:dyDescent="0.25">
      <c r="A16" s="37" t="str">
        <f t="shared" si="0"/>
        <v>2013 R&amp;D Expense</v>
      </c>
      <c r="B16" s="7" t="s">
        <v>20</v>
      </c>
      <c r="C16" s="37" t="str">
        <f t="shared" si="1"/>
        <v>2013 Actuals R&amp;D Expense</v>
      </c>
      <c r="D16" s="18">
        <v>2013</v>
      </c>
      <c r="E16" s="18" t="s">
        <v>16</v>
      </c>
      <c r="F16" s="8">
        <v>-3004974</v>
      </c>
      <c r="G16" s="8">
        <v>-2247412</v>
      </c>
      <c r="H16" s="8">
        <v>-4038201</v>
      </c>
      <c r="I16" s="8">
        <v>-3194257</v>
      </c>
      <c r="J16" s="8">
        <v>-3781884</v>
      </c>
      <c r="K16" s="8">
        <v>-2691195</v>
      </c>
      <c r="L16" s="8">
        <v>-3732122</v>
      </c>
      <c r="M16" s="8">
        <v>-3946945</v>
      </c>
      <c r="N16" s="8">
        <v>-3769268</v>
      </c>
      <c r="O16" s="8">
        <v>-3631690</v>
      </c>
      <c r="P16" s="8">
        <v>-3939592</v>
      </c>
      <c r="Q16" s="9">
        <v>-2301656</v>
      </c>
      <c r="R16" s="29">
        <f t="shared" si="2"/>
        <v>-40279196</v>
      </c>
      <c r="S16" s="29">
        <f t="shared" si="3"/>
        <v>-9290587</v>
      </c>
      <c r="T16" s="23">
        <f t="shared" si="4"/>
        <v>-9667336</v>
      </c>
      <c r="U16" s="23">
        <f t="shared" si="5"/>
        <v>-11448335</v>
      </c>
      <c r="V16" s="30">
        <f t="shared" si="6"/>
        <v>-9872938</v>
      </c>
    </row>
    <row r="17" spans="1:22" x14ac:dyDescent="0.25">
      <c r="A17" s="37" t="str">
        <f t="shared" si="0"/>
        <v>2013 Consulting Expense</v>
      </c>
      <c r="B17" s="7" t="s">
        <v>21</v>
      </c>
      <c r="C17" s="37" t="str">
        <f t="shared" si="1"/>
        <v>2013 Actuals Consulting Expense</v>
      </c>
      <c r="D17" s="18">
        <v>2013</v>
      </c>
      <c r="E17" s="18" t="s">
        <v>16</v>
      </c>
      <c r="F17" s="8">
        <v>-3635465</v>
      </c>
      <c r="G17" s="8">
        <v>-3045416</v>
      </c>
      <c r="H17" s="8">
        <v>-4995746</v>
      </c>
      <c r="I17" s="8">
        <v>-4388934</v>
      </c>
      <c r="J17" s="8">
        <v>-4835074</v>
      </c>
      <c r="K17" s="8">
        <v>-3428760</v>
      </c>
      <c r="L17" s="8">
        <v>-5056752</v>
      </c>
      <c r="M17" s="8">
        <v>-4859658</v>
      </c>
      <c r="N17" s="8">
        <v>-5233669</v>
      </c>
      <c r="O17" s="8">
        <v>-5103815</v>
      </c>
      <c r="P17" s="8">
        <v>-4679973</v>
      </c>
      <c r="Q17" s="9">
        <v>-2916323</v>
      </c>
      <c r="R17" s="29">
        <f t="shared" si="2"/>
        <v>-52179585</v>
      </c>
      <c r="S17" s="29">
        <f t="shared" si="3"/>
        <v>-11676627</v>
      </c>
      <c r="T17" s="23">
        <f t="shared" si="4"/>
        <v>-12652768</v>
      </c>
      <c r="U17" s="23">
        <f t="shared" si="5"/>
        <v>-15150079</v>
      </c>
      <c r="V17" s="30">
        <f t="shared" si="6"/>
        <v>-12700111</v>
      </c>
    </row>
    <row r="18" spans="1:22" x14ac:dyDescent="0.25">
      <c r="A18" s="37" t="str">
        <f t="shared" si="0"/>
        <v>2013 Software/Hardware Expense</v>
      </c>
      <c r="B18" s="7" t="s">
        <v>22</v>
      </c>
      <c r="C18" s="37" t="str">
        <f t="shared" si="1"/>
        <v>2013 Actuals Software/Hardware Expense</v>
      </c>
      <c r="D18" s="18">
        <v>2013</v>
      </c>
      <c r="E18" s="18" t="s">
        <v>16</v>
      </c>
      <c r="F18" s="8">
        <v>-4463301</v>
      </c>
      <c r="G18" s="8">
        <v>-4126173</v>
      </c>
      <c r="H18" s="8">
        <v>-7142092</v>
      </c>
      <c r="I18" s="8">
        <v>-5237047</v>
      </c>
      <c r="J18" s="8">
        <v>-7122613</v>
      </c>
      <c r="K18" s="8">
        <v>-4230019</v>
      </c>
      <c r="L18" s="8">
        <v>-6296385</v>
      </c>
      <c r="M18" s="8">
        <v>-6393165</v>
      </c>
      <c r="N18" s="8">
        <v>-7603663</v>
      </c>
      <c r="O18" s="8">
        <v>-6983409</v>
      </c>
      <c r="P18" s="8">
        <v>-6504510</v>
      </c>
      <c r="Q18" s="9">
        <v>-4278920</v>
      </c>
      <c r="R18" s="29">
        <f t="shared" si="2"/>
        <v>-70381297</v>
      </c>
      <c r="S18" s="29">
        <f t="shared" si="3"/>
        <v>-15731566</v>
      </c>
      <c r="T18" s="23">
        <f t="shared" si="4"/>
        <v>-16589679</v>
      </c>
      <c r="U18" s="23">
        <f t="shared" si="5"/>
        <v>-20293213</v>
      </c>
      <c r="V18" s="30">
        <f t="shared" si="6"/>
        <v>-17766839</v>
      </c>
    </row>
    <row r="19" spans="1:22" x14ac:dyDescent="0.25">
      <c r="A19" s="37" t="str">
        <f t="shared" si="0"/>
        <v>2013 Marketing Expense</v>
      </c>
      <c r="B19" s="7" t="s">
        <v>23</v>
      </c>
      <c r="C19" s="37" t="str">
        <f t="shared" si="1"/>
        <v>2013 Actuals Marketing Expense</v>
      </c>
      <c r="D19" s="18">
        <v>2013</v>
      </c>
      <c r="E19" s="18" t="s">
        <v>16</v>
      </c>
      <c r="F19" s="8">
        <v>-1338399</v>
      </c>
      <c r="G19" s="8">
        <v>-1226506</v>
      </c>
      <c r="H19" s="8">
        <v>-1878316</v>
      </c>
      <c r="I19" s="8">
        <v>-1692980</v>
      </c>
      <c r="J19" s="8">
        <v>-1813241</v>
      </c>
      <c r="K19" s="8">
        <v>-1153027</v>
      </c>
      <c r="L19" s="8">
        <v>-1971506</v>
      </c>
      <c r="M19" s="8">
        <v>-1867620</v>
      </c>
      <c r="N19" s="8">
        <v>-2234011</v>
      </c>
      <c r="O19" s="8">
        <v>-1784085</v>
      </c>
      <c r="P19" s="8">
        <v>-1901804</v>
      </c>
      <c r="Q19" s="9">
        <v>-1094887</v>
      </c>
      <c r="R19" s="29">
        <f t="shared" si="2"/>
        <v>-19956382</v>
      </c>
      <c r="S19" s="29">
        <f t="shared" si="3"/>
        <v>-4443221</v>
      </c>
      <c r="T19" s="23">
        <f t="shared" si="4"/>
        <v>-4659248</v>
      </c>
      <c r="U19" s="23">
        <f t="shared" si="5"/>
        <v>-6073137</v>
      </c>
      <c r="V19" s="30">
        <f t="shared" si="6"/>
        <v>-4780776</v>
      </c>
    </row>
    <row r="20" spans="1:22" x14ac:dyDescent="0.25">
      <c r="A20" s="37" t="str">
        <f t="shared" si="0"/>
        <v>2014 Sales</v>
      </c>
      <c r="B20" s="14" t="s">
        <v>15</v>
      </c>
      <c r="C20" s="132" t="str">
        <f t="shared" si="1"/>
        <v>2014 Actuals Sales</v>
      </c>
      <c r="D20" s="18">
        <v>2014</v>
      </c>
      <c r="E20" s="18" t="s">
        <v>16</v>
      </c>
      <c r="F20" s="8">
        <v>73003216</v>
      </c>
      <c r="G20" s="8">
        <v>67583964</v>
      </c>
      <c r="H20" s="8">
        <v>96747422</v>
      </c>
      <c r="I20" s="8">
        <v>54707115</v>
      </c>
      <c r="J20" s="8">
        <v>53295086</v>
      </c>
      <c r="K20" s="8">
        <v>73831265</v>
      </c>
      <c r="L20" s="8">
        <v>60633129</v>
      </c>
      <c r="M20" s="8">
        <v>67453237</v>
      </c>
      <c r="N20" s="8">
        <v>98780894</v>
      </c>
      <c r="O20" s="8">
        <v>52687090</v>
      </c>
      <c r="P20" s="8">
        <v>71258255</v>
      </c>
      <c r="Q20" s="9">
        <v>83507400</v>
      </c>
      <c r="R20" s="29">
        <f t="shared" si="2"/>
        <v>853488073</v>
      </c>
      <c r="S20" s="29">
        <f t="shared" si="3"/>
        <v>237334602</v>
      </c>
      <c r="T20" s="23">
        <f t="shared" si="4"/>
        <v>181833466</v>
      </c>
      <c r="U20" s="23">
        <f t="shared" si="5"/>
        <v>226867260</v>
      </c>
      <c r="V20" s="30">
        <f t="shared" si="6"/>
        <v>207452745</v>
      </c>
    </row>
    <row r="21" spans="1:22" x14ac:dyDescent="0.25">
      <c r="A21" s="37" t="str">
        <f t="shared" si="0"/>
        <v>2014 COGS</v>
      </c>
      <c r="B21" s="7" t="s">
        <v>34</v>
      </c>
      <c r="C21" s="37" t="str">
        <f t="shared" si="1"/>
        <v>2014 Actuals COGS</v>
      </c>
      <c r="D21" s="18">
        <v>2014</v>
      </c>
      <c r="E21" s="18" t="s">
        <v>16</v>
      </c>
      <c r="F21" s="8">
        <v>-35434154</v>
      </c>
      <c r="G21" s="8">
        <v>-33276599</v>
      </c>
      <c r="H21" s="8">
        <v>-46411721</v>
      </c>
      <c r="I21" s="8">
        <v>-25228351</v>
      </c>
      <c r="J21" s="8">
        <v>-24803966</v>
      </c>
      <c r="K21" s="8">
        <v>-34794166</v>
      </c>
      <c r="L21" s="8">
        <v>-25081587</v>
      </c>
      <c r="M21" s="8">
        <v>-32657990</v>
      </c>
      <c r="N21" s="8">
        <v>-47301412</v>
      </c>
      <c r="O21" s="8">
        <v>-23190677</v>
      </c>
      <c r="P21" s="8">
        <v>-33853415</v>
      </c>
      <c r="Q21" s="9">
        <v>-41071028</v>
      </c>
      <c r="R21" s="29">
        <f t="shared" si="2"/>
        <v>-403105066</v>
      </c>
      <c r="S21" s="29">
        <f t="shared" si="3"/>
        <v>-115122474</v>
      </c>
      <c r="T21" s="23">
        <f t="shared" si="4"/>
        <v>-84826483</v>
      </c>
      <c r="U21" s="23">
        <f t="shared" si="5"/>
        <v>-105040989</v>
      </c>
      <c r="V21" s="30">
        <f t="shared" si="6"/>
        <v>-98115120</v>
      </c>
    </row>
    <row r="22" spans="1:22" x14ac:dyDescent="0.25">
      <c r="A22" s="37" t="str">
        <f t="shared" si="0"/>
        <v>2014 Commissions Expense</v>
      </c>
      <c r="B22" s="7" t="s">
        <v>17</v>
      </c>
      <c r="C22" s="37" t="str">
        <f t="shared" si="1"/>
        <v>2014 Actuals Commissions Expense</v>
      </c>
      <c r="D22" s="18">
        <v>2014</v>
      </c>
      <c r="E22" s="18" t="s">
        <v>16</v>
      </c>
      <c r="F22" s="8">
        <v>-3225544</v>
      </c>
      <c r="G22" s="8">
        <v>-3006614</v>
      </c>
      <c r="H22" s="8">
        <v>-4716518</v>
      </c>
      <c r="I22" s="8">
        <v>-2637046</v>
      </c>
      <c r="J22" s="8">
        <v>-2192406</v>
      </c>
      <c r="K22" s="8">
        <v>-3440909</v>
      </c>
      <c r="L22" s="8">
        <v>-2564854</v>
      </c>
      <c r="M22" s="8">
        <v>-3195750</v>
      </c>
      <c r="N22" s="8">
        <v>-4621559</v>
      </c>
      <c r="O22" s="8">
        <v>-2594599</v>
      </c>
      <c r="P22" s="8">
        <v>-3474868</v>
      </c>
      <c r="Q22" s="9">
        <v>-3954659</v>
      </c>
      <c r="R22" s="29">
        <f t="shared" si="2"/>
        <v>-39625326</v>
      </c>
      <c r="S22" s="29">
        <f t="shared" si="3"/>
        <v>-10948676</v>
      </c>
      <c r="T22" s="23">
        <f t="shared" si="4"/>
        <v>-8270361</v>
      </c>
      <c r="U22" s="23">
        <f t="shared" si="5"/>
        <v>-10382163</v>
      </c>
      <c r="V22" s="30">
        <f t="shared" si="6"/>
        <v>-10024126</v>
      </c>
    </row>
    <row r="23" spans="1:22" x14ac:dyDescent="0.25">
      <c r="A23" s="37" t="str">
        <f t="shared" si="0"/>
        <v>2014 Payroll Expense</v>
      </c>
      <c r="B23" s="7" t="s">
        <v>18</v>
      </c>
      <c r="C23" s="37" t="str">
        <f t="shared" si="1"/>
        <v>2014 Actuals Payroll Expense</v>
      </c>
      <c r="D23" s="18">
        <v>2014</v>
      </c>
      <c r="E23" s="18" t="s">
        <v>16</v>
      </c>
      <c r="F23" s="8">
        <v>-8214482</v>
      </c>
      <c r="G23" s="8">
        <v>-6991832</v>
      </c>
      <c r="H23" s="8">
        <v>-9881604</v>
      </c>
      <c r="I23" s="8">
        <v>-6021642</v>
      </c>
      <c r="J23" s="8">
        <v>-5967905</v>
      </c>
      <c r="K23" s="8">
        <v>-8792535</v>
      </c>
      <c r="L23" s="8">
        <v>-6362428</v>
      </c>
      <c r="M23" s="8">
        <v>-7854754</v>
      </c>
      <c r="N23" s="8">
        <v>-10736101</v>
      </c>
      <c r="O23" s="8">
        <v>-6185030</v>
      </c>
      <c r="P23" s="8">
        <v>-8422442</v>
      </c>
      <c r="Q23" s="9">
        <v>-8853593</v>
      </c>
      <c r="R23" s="29">
        <f t="shared" si="2"/>
        <v>-94284348</v>
      </c>
      <c r="S23" s="29">
        <f t="shared" si="3"/>
        <v>-25087918</v>
      </c>
      <c r="T23" s="23">
        <f t="shared" si="4"/>
        <v>-20782082</v>
      </c>
      <c r="U23" s="23">
        <f t="shared" si="5"/>
        <v>-24953283</v>
      </c>
      <c r="V23" s="30">
        <f t="shared" si="6"/>
        <v>-23461065</v>
      </c>
    </row>
    <row r="24" spans="1:22" x14ac:dyDescent="0.25">
      <c r="A24" s="37" t="str">
        <f t="shared" si="0"/>
        <v>2014 Travel &amp; Entertainment Expense</v>
      </c>
      <c r="B24" s="7" t="s">
        <v>19</v>
      </c>
      <c r="C24" s="37" t="str">
        <f t="shared" si="1"/>
        <v>2014 Actuals Travel &amp; Entertainment Expense</v>
      </c>
      <c r="D24" s="18">
        <v>2014</v>
      </c>
      <c r="E24" s="18" t="s">
        <v>16</v>
      </c>
      <c r="F24" s="8">
        <v>-812381</v>
      </c>
      <c r="G24" s="8">
        <v>-823867</v>
      </c>
      <c r="H24" s="8">
        <v>-1084164</v>
      </c>
      <c r="I24" s="8">
        <v>-547555</v>
      </c>
      <c r="J24" s="8">
        <v>-657107</v>
      </c>
      <c r="K24" s="8">
        <v>-785991</v>
      </c>
      <c r="L24" s="8">
        <v>-693944</v>
      </c>
      <c r="M24" s="8">
        <v>-790029</v>
      </c>
      <c r="N24" s="8">
        <v>-1063936</v>
      </c>
      <c r="O24" s="8">
        <v>-528306</v>
      </c>
      <c r="P24" s="8">
        <v>-837702</v>
      </c>
      <c r="Q24" s="9">
        <v>-949150</v>
      </c>
      <c r="R24" s="29">
        <f t="shared" si="2"/>
        <v>-9574132</v>
      </c>
      <c r="S24" s="29">
        <f t="shared" si="3"/>
        <v>-2720412</v>
      </c>
      <c r="T24" s="23">
        <f t="shared" si="4"/>
        <v>-1990653</v>
      </c>
      <c r="U24" s="23">
        <f t="shared" si="5"/>
        <v>-2547909</v>
      </c>
      <c r="V24" s="30">
        <f t="shared" si="6"/>
        <v>-2315158</v>
      </c>
    </row>
    <row r="25" spans="1:22" x14ac:dyDescent="0.25">
      <c r="A25" s="37" t="str">
        <f t="shared" si="0"/>
        <v>2014 R&amp;D Expense</v>
      </c>
      <c r="B25" s="7" t="s">
        <v>20</v>
      </c>
      <c r="C25" s="37" t="str">
        <f t="shared" si="1"/>
        <v>2014 Actuals R&amp;D Expense</v>
      </c>
      <c r="D25" s="18">
        <v>2014</v>
      </c>
      <c r="E25" s="18" t="s">
        <v>16</v>
      </c>
      <c r="F25" s="8">
        <v>-3200785</v>
      </c>
      <c r="G25" s="8">
        <v>-3236733</v>
      </c>
      <c r="H25" s="8">
        <v>-4576715</v>
      </c>
      <c r="I25" s="8">
        <v>-2677342</v>
      </c>
      <c r="J25" s="8">
        <v>-2564086</v>
      </c>
      <c r="K25" s="8">
        <v>-3201135</v>
      </c>
      <c r="L25" s="8">
        <v>-2673923</v>
      </c>
      <c r="M25" s="8">
        <v>-2759863</v>
      </c>
      <c r="N25" s="8">
        <v>-4136323</v>
      </c>
      <c r="O25" s="8">
        <v>-2161622</v>
      </c>
      <c r="P25" s="8">
        <v>-2908571</v>
      </c>
      <c r="Q25" s="9">
        <v>-3459881</v>
      </c>
      <c r="R25" s="29">
        <f t="shared" si="2"/>
        <v>-37556979</v>
      </c>
      <c r="S25" s="29">
        <f t="shared" si="3"/>
        <v>-11014233</v>
      </c>
      <c r="T25" s="23">
        <f t="shared" si="4"/>
        <v>-8442563</v>
      </c>
      <c r="U25" s="23">
        <f t="shared" si="5"/>
        <v>-9570109</v>
      </c>
      <c r="V25" s="30">
        <f t="shared" si="6"/>
        <v>-8530074</v>
      </c>
    </row>
    <row r="26" spans="1:22" x14ac:dyDescent="0.25">
      <c r="A26" s="37" t="str">
        <f t="shared" si="0"/>
        <v>2014 Consulting Expense</v>
      </c>
      <c r="B26" s="7" t="s">
        <v>21</v>
      </c>
      <c r="C26" s="37" t="str">
        <f t="shared" si="1"/>
        <v>2014 Actuals Consulting Expense</v>
      </c>
      <c r="D26" s="18">
        <v>2014</v>
      </c>
      <c r="E26" s="18" t="s">
        <v>16</v>
      </c>
      <c r="F26" s="8">
        <v>-4510094</v>
      </c>
      <c r="G26" s="8">
        <v>-4148358</v>
      </c>
      <c r="H26" s="8">
        <v>-5977214</v>
      </c>
      <c r="I26" s="8">
        <v>-2757866</v>
      </c>
      <c r="J26" s="8">
        <v>-2721806</v>
      </c>
      <c r="K26" s="8">
        <v>-3827683</v>
      </c>
      <c r="L26" s="8">
        <v>-3316938</v>
      </c>
      <c r="M26" s="8">
        <v>-3803865</v>
      </c>
      <c r="N26" s="8">
        <v>-5738434</v>
      </c>
      <c r="O26" s="8">
        <v>-3196559</v>
      </c>
      <c r="P26" s="8">
        <v>-3787807</v>
      </c>
      <c r="Q26" s="9">
        <v>-4251787</v>
      </c>
      <c r="R26" s="29">
        <f t="shared" si="2"/>
        <v>-48038411</v>
      </c>
      <c r="S26" s="29">
        <f t="shared" si="3"/>
        <v>-14635666</v>
      </c>
      <c r="T26" s="23">
        <f t="shared" si="4"/>
        <v>-9307355</v>
      </c>
      <c r="U26" s="23">
        <f t="shared" si="5"/>
        <v>-12859237</v>
      </c>
      <c r="V26" s="30">
        <f t="shared" si="6"/>
        <v>-11236153</v>
      </c>
    </row>
    <row r="27" spans="1:22" x14ac:dyDescent="0.25">
      <c r="A27" s="37" t="str">
        <f t="shared" si="0"/>
        <v>2014 Software/Hardware Expense</v>
      </c>
      <c r="B27" s="7" t="s">
        <v>22</v>
      </c>
      <c r="C27" s="37" t="str">
        <f t="shared" si="1"/>
        <v>2014 Actuals Software/Hardware Expense</v>
      </c>
      <c r="D27" s="18">
        <v>2014</v>
      </c>
      <c r="E27" s="18" t="s">
        <v>16</v>
      </c>
      <c r="F27" s="8">
        <v>-5157077</v>
      </c>
      <c r="G27" s="8">
        <v>-4893590</v>
      </c>
      <c r="H27" s="8">
        <v>-7177731</v>
      </c>
      <c r="I27" s="8">
        <v>-4525995</v>
      </c>
      <c r="J27" s="8">
        <v>-3788018</v>
      </c>
      <c r="K27" s="8">
        <v>-5727447</v>
      </c>
      <c r="L27" s="8">
        <v>-5302649</v>
      </c>
      <c r="M27" s="8">
        <v>-5621094</v>
      </c>
      <c r="N27" s="8">
        <v>-7901949</v>
      </c>
      <c r="O27" s="8">
        <v>-4053787</v>
      </c>
      <c r="P27" s="8">
        <v>-5484871</v>
      </c>
      <c r="Q27" s="9">
        <v>-5860902</v>
      </c>
      <c r="R27" s="29">
        <f t="shared" si="2"/>
        <v>-65495110</v>
      </c>
      <c r="S27" s="29">
        <f t="shared" si="3"/>
        <v>-17228398</v>
      </c>
      <c r="T27" s="23">
        <f t="shared" si="4"/>
        <v>-14041460</v>
      </c>
      <c r="U27" s="23">
        <f t="shared" si="5"/>
        <v>-18825692</v>
      </c>
      <c r="V27" s="30">
        <f t="shared" si="6"/>
        <v>-15399560</v>
      </c>
    </row>
    <row r="28" spans="1:22" x14ac:dyDescent="0.25">
      <c r="A28" s="37" t="str">
        <f t="shared" si="0"/>
        <v>2014 Marketing Expense</v>
      </c>
      <c r="B28" s="7" t="s">
        <v>23</v>
      </c>
      <c r="C28" s="37" t="str">
        <f t="shared" si="1"/>
        <v>2014 Actuals Marketing Expense</v>
      </c>
      <c r="D28" s="18">
        <v>2014</v>
      </c>
      <c r="E28" s="18" t="s">
        <v>16</v>
      </c>
      <c r="F28" s="8">
        <v>-1561407</v>
      </c>
      <c r="G28" s="8">
        <v>-1626403</v>
      </c>
      <c r="H28" s="8">
        <v>-2267623</v>
      </c>
      <c r="I28" s="8">
        <v>-1199024</v>
      </c>
      <c r="J28" s="8">
        <v>-1272883</v>
      </c>
      <c r="K28" s="8">
        <v>-1678802</v>
      </c>
      <c r="L28" s="8">
        <v>-1497786</v>
      </c>
      <c r="M28" s="8">
        <v>-1414558</v>
      </c>
      <c r="N28" s="8">
        <v>-2426938</v>
      </c>
      <c r="O28" s="8">
        <v>-1075041</v>
      </c>
      <c r="P28" s="8">
        <v>-1500397</v>
      </c>
      <c r="Q28" s="9">
        <v>-1915308</v>
      </c>
      <c r="R28" s="29">
        <f t="shared" si="2"/>
        <v>-19436170</v>
      </c>
      <c r="S28" s="29">
        <f t="shared" si="3"/>
        <v>-5455433</v>
      </c>
      <c r="T28" s="23">
        <f t="shared" si="4"/>
        <v>-4150709</v>
      </c>
      <c r="U28" s="23">
        <f t="shared" si="5"/>
        <v>-5339282</v>
      </c>
      <c r="V28" s="30">
        <f t="shared" si="6"/>
        <v>-4490746</v>
      </c>
    </row>
    <row r="29" spans="1:22" x14ac:dyDescent="0.25">
      <c r="A29" s="37" t="str">
        <f t="shared" si="0"/>
        <v>2015 Sales</v>
      </c>
      <c r="B29" s="14" t="s">
        <v>15</v>
      </c>
      <c r="C29" s="132" t="str">
        <f t="shared" si="1"/>
        <v>2015 Actuals Sales</v>
      </c>
      <c r="D29" s="18">
        <v>2015</v>
      </c>
      <c r="E29" s="18" t="s">
        <v>16</v>
      </c>
      <c r="F29" s="8">
        <v>56564696</v>
      </c>
      <c r="G29" s="8">
        <v>53003500</v>
      </c>
      <c r="H29" s="8">
        <v>57123654</v>
      </c>
      <c r="I29" s="8">
        <v>51517884</v>
      </c>
      <c r="J29" s="8">
        <v>86240365</v>
      </c>
      <c r="K29" s="8">
        <v>83822589</v>
      </c>
      <c r="L29" s="8">
        <v>99534990</v>
      </c>
      <c r="M29" s="8">
        <v>56551959</v>
      </c>
      <c r="N29" s="8">
        <v>75595351</v>
      </c>
      <c r="O29" s="8">
        <v>87960046</v>
      </c>
      <c r="P29" s="8">
        <v>75992432</v>
      </c>
      <c r="Q29" s="9">
        <v>87753553</v>
      </c>
      <c r="R29" s="29">
        <f t="shared" si="2"/>
        <v>871661019</v>
      </c>
      <c r="S29" s="29">
        <f t="shared" si="3"/>
        <v>166691850</v>
      </c>
      <c r="T29" s="23">
        <f t="shared" si="4"/>
        <v>221580838</v>
      </c>
      <c r="U29" s="23">
        <f t="shared" si="5"/>
        <v>231682300</v>
      </c>
      <c r="V29" s="30">
        <f t="shared" si="6"/>
        <v>251706031</v>
      </c>
    </row>
    <row r="30" spans="1:22" x14ac:dyDescent="0.25">
      <c r="A30" s="37" t="str">
        <f t="shared" si="0"/>
        <v>2015 COGS</v>
      </c>
      <c r="B30" s="7" t="s">
        <v>34</v>
      </c>
      <c r="C30" s="37" t="str">
        <f t="shared" si="1"/>
        <v>2015 Actuals COGS</v>
      </c>
      <c r="D30" s="18">
        <v>2015</v>
      </c>
      <c r="E30" s="18" t="s">
        <v>16</v>
      </c>
      <c r="F30" s="8">
        <v>-26025524</v>
      </c>
      <c r="G30" s="8">
        <v>-24023570</v>
      </c>
      <c r="H30" s="8">
        <v>-23452691</v>
      </c>
      <c r="I30" s="8">
        <v>-24109262</v>
      </c>
      <c r="J30" s="8">
        <v>-38340811</v>
      </c>
      <c r="K30" s="8">
        <v>-34138458</v>
      </c>
      <c r="L30" s="8">
        <v>-48369463</v>
      </c>
      <c r="M30" s="8">
        <v>-26510883</v>
      </c>
      <c r="N30" s="8">
        <v>-31307040</v>
      </c>
      <c r="O30" s="8">
        <v>-36132005</v>
      </c>
      <c r="P30" s="8">
        <v>-37770955</v>
      </c>
      <c r="Q30" s="9">
        <v>-35668763</v>
      </c>
      <c r="R30" s="29">
        <f t="shared" si="2"/>
        <v>-385849425</v>
      </c>
      <c r="S30" s="29">
        <f t="shared" si="3"/>
        <v>-73501785</v>
      </c>
      <c r="T30" s="23">
        <f t="shared" si="4"/>
        <v>-96588531</v>
      </c>
      <c r="U30" s="23">
        <f t="shared" si="5"/>
        <v>-106187386</v>
      </c>
      <c r="V30" s="30">
        <f t="shared" si="6"/>
        <v>-109571723</v>
      </c>
    </row>
    <row r="31" spans="1:22" x14ac:dyDescent="0.25">
      <c r="A31" s="37" t="str">
        <f t="shared" si="0"/>
        <v>2015 Commissions Expense</v>
      </c>
      <c r="B31" s="7" t="s">
        <v>17</v>
      </c>
      <c r="C31" s="37" t="str">
        <f t="shared" si="1"/>
        <v>2015 Actuals Commissions Expense</v>
      </c>
      <c r="D31" s="18">
        <v>2015</v>
      </c>
      <c r="E31" s="18" t="s">
        <v>16</v>
      </c>
      <c r="F31" s="8">
        <v>-2693681</v>
      </c>
      <c r="G31" s="8">
        <v>-2344026</v>
      </c>
      <c r="H31" s="8">
        <v>-2342553</v>
      </c>
      <c r="I31" s="8">
        <v>-2075015</v>
      </c>
      <c r="J31" s="8">
        <v>-3959339</v>
      </c>
      <c r="K31" s="8">
        <v>-3442089</v>
      </c>
      <c r="L31" s="8">
        <v>-4021826</v>
      </c>
      <c r="M31" s="8">
        <v>-2656419</v>
      </c>
      <c r="N31" s="8">
        <v>-3439053</v>
      </c>
      <c r="O31" s="8">
        <v>-3864192</v>
      </c>
      <c r="P31" s="8">
        <v>-3553160</v>
      </c>
      <c r="Q31" s="9">
        <v>-4368917</v>
      </c>
      <c r="R31" s="29">
        <f t="shared" si="2"/>
        <v>-38760270</v>
      </c>
      <c r="S31" s="29">
        <f t="shared" si="3"/>
        <v>-7380260</v>
      </c>
      <c r="T31" s="23">
        <f t="shared" si="4"/>
        <v>-9476443</v>
      </c>
      <c r="U31" s="23">
        <f t="shared" si="5"/>
        <v>-10117298</v>
      </c>
      <c r="V31" s="30">
        <f t="shared" si="6"/>
        <v>-11786269</v>
      </c>
    </row>
    <row r="32" spans="1:22" x14ac:dyDescent="0.25">
      <c r="A32" s="37" t="str">
        <f t="shared" si="0"/>
        <v>2015 Payroll Expense</v>
      </c>
      <c r="B32" s="7" t="s">
        <v>18</v>
      </c>
      <c r="C32" s="37" t="str">
        <f t="shared" si="1"/>
        <v>2015 Actuals Payroll Expense</v>
      </c>
      <c r="D32" s="18">
        <v>2015</v>
      </c>
      <c r="E32" s="18" t="s">
        <v>16</v>
      </c>
      <c r="F32" s="8">
        <v>-6107421</v>
      </c>
      <c r="G32" s="8">
        <v>-5810585</v>
      </c>
      <c r="H32" s="8">
        <v>-7021257</v>
      </c>
      <c r="I32" s="8">
        <v>-6051373</v>
      </c>
      <c r="J32" s="8">
        <v>-10773242</v>
      </c>
      <c r="K32" s="8">
        <v>-9081939</v>
      </c>
      <c r="L32" s="8">
        <v>-10994327</v>
      </c>
      <c r="M32" s="8">
        <v>-6548834</v>
      </c>
      <c r="N32" s="8">
        <v>-7861085</v>
      </c>
      <c r="O32" s="8">
        <v>-9613130</v>
      </c>
      <c r="P32" s="8">
        <v>-9183322</v>
      </c>
      <c r="Q32" s="9">
        <v>-9278911</v>
      </c>
      <c r="R32" s="29">
        <f t="shared" si="2"/>
        <v>-98325426</v>
      </c>
      <c r="S32" s="29">
        <f t="shared" si="3"/>
        <v>-18939263</v>
      </c>
      <c r="T32" s="23">
        <f t="shared" si="4"/>
        <v>-25906554</v>
      </c>
      <c r="U32" s="23">
        <f t="shared" si="5"/>
        <v>-25404246</v>
      </c>
      <c r="V32" s="30">
        <f t="shared" si="6"/>
        <v>-28075363</v>
      </c>
    </row>
    <row r="33" spans="1:22" x14ac:dyDescent="0.25">
      <c r="A33" s="37" t="str">
        <f t="shared" si="0"/>
        <v>2015 Travel &amp; Entertainment Expense</v>
      </c>
      <c r="B33" s="7" t="s">
        <v>19</v>
      </c>
      <c r="C33" s="37" t="str">
        <f t="shared" si="1"/>
        <v>2015 Actuals Travel &amp; Entertainment Expense</v>
      </c>
      <c r="D33" s="18">
        <v>2015</v>
      </c>
      <c r="E33" s="18" t="s">
        <v>16</v>
      </c>
      <c r="F33" s="8">
        <v>-587893</v>
      </c>
      <c r="G33" s="8">
        <v>-545279</v>
      </c>
      <c r="H33" s="8">
        <v>-588026</v>
      </c>
      <c r="I33" s="8">
        <v>-545095</v>
      </c>
      <c r="J33" s="8">
        <v>-985449</v>
      </c>
      <c r="K33" s="8">
        <v>-855026</v>
      </c>
      <c r="L33" s="8">
        <v>-1098610</v>
      </c>
      <c r="M33" s="8">
        <v>-701066</v>
      </c>
      <c r="N33" s="8">
        <v>-809897</v>
      </c>
      <c r="O33" s="8">
        <v>-1016017</v>
      </c>
      <c r="P33" s="8">
        <v>-880356</v>
      </c>
      <c r="Q33" s="9">
        <v>-987089</v>
      </c>
      <c r="R33" s="29">
        <f t="shared" si="2"/>
        <v>-9599803</v>
      </c>
      <c r="S33" s="29">
        <f t="shared" si="3"/>
        <v>-1721198</v>
      </c>
      <c r="T33" s="23">
        <f t="shared" si="4"/>
        <v>-2385570</v>
      </c>
      <c r="U33" s="23">
        <f t="shared" si="5"/>
        <v>-2609573</v>
      </c>
      <c r="V33" s="30">
        <f t="shared" si="6"/>
        <v>-2883462</v>
      </c>
    </row>
    <row r="34" spans="1:22" x14ac:dyDescent="0.25">
      <c r="A34" s="37" t="str">
        <f t="shared" si="0"/>
        <v>2015 R&amp;D Expense</v>
      </c>
      <c r="B34" s="7" t="s">
        <v>20</v>
      </c>
      <c r="C34" s="37" t="str">
        <f t="shared" si="1"/>
        <v>2015 Actuals R&amp;D Expense</v>
      </c>
      <c r="D34" s="18">
        <v>2015</v>
      </c>
      <c r="E34" s="18" t="s">
        <v>16</v>
      </c>
      <c r="F34" s="8">
        <v>-2724738</v>
      </c>
      <c r="G34" s="8">
        <v>-2462961</v>
      </c>
      <c r="H34" s="8">
        <v>-2377917</v>
      </c>
      <c r="I34" s="8">
        <v>-2391429</v>
      </c>
      <c r="J34" s="8">
        <v>-4192334</v>
      </c>
      <c r="K34" s="8">
        <v>-3632483</v>
      </c>
      <c r="L34" s="8">
        <v>-3981861</v>
      </c>
      <c r="M34" s="8">
        <v>-2692169</v>
      </c>
      <c r="N34" s="8">
        <v>-3621911</v>
      </c>
      <c r="O34" s="8">
        <v>-3866225</v>
      </c>
      <c r="P34" s="8">
        <v>-3114375</v>
      </c>
      <c r="Q34" s="9">
        <v>-3960801</v>
      </c>
      <c r="R34" s="29">
        <f t="shared" si="2"/>
        <v>-39019204</v>
      </c>
      <c r="S34" s="29">
        <f t="shared" si="3"/>
        <v>-7565616</v>
      </c>
      <c r="T34" s="23">
        <f t="shared" si="4"/>
        <v>-10216246</v>
      </c>
      <c r="U34" s="23">
        <f t="shared" si="5"/>
        <v>-10295941</v>
      </c>
      <c r="V34" s="30">
        <f t="shared" si="6"/>
        <v>-10941401</v>
      </c>
    </row>
    <row r="35" spans="1:22" x14ac:dyDescent="0.25">
      <c r="A35" s="37" t="str">
        <f t="shared" si="0"/>
        <v>2015 Consulting Expense</v>
      </c>
      <c r="B35" s="7" t="s">
        <v>21</v>
      </c>
      <c r="C35" s="37" t="str">
        <f t="shared" si="1"/>
        <v>2015 Actuals Consulting Expense</v>
      </c>
      <c r="D35" s="18">
        <v>2015</v>
      </c>
      <c r="E35" s="18" t="s">
        <v>16</v>
      </c>
      <c r="F35" s="8">
        <v>-3196353</v>
      </c>
      <c r="G35" s="8">
        <v>-3030650</v>
      </c>
      <c r="H35" s="8">
        <v>-3299636</v>
      </c>
      <c r="I35" s="8">
        <v>-2687879</v>
      </c>
      <c r="J35" s="8">
        <v>-5147180</v>
      </c>
      <c r="K35" s="8">
        <v>-4667697</v>
      </c>
      <c r="L35" s="8">
        <v>-5350859</v>
      </c>
      <c r="M35" s="8">
        <v>-3211296</v>
      </c>
      <c r="N35" s="8">
        <v>-4194381</v>
      </c>
      <c r="O35" s="8">
        <v>-5144107</v>
      </c>
      <c r="P35" s="8">
        <v>-3882597</v>
      </c>
      <c r="Q35" s="9">
        <v>-4467813</v>
      </c>
      <c r="R35" s="29">
        <f t="shared" si="2"/>
        <v>-48280448</v>
      </c>
      <c r="S35" s="29">
        <f t="shared" si="3"/>
        <v>-9526639</v>
      </c>
      <c r="T35" s="23">
        <f t="shared" si="4"/>
        <v>-12502756</v>
      </c>
      <c r="U35" s="23">
        <f t="shared" si="5"/>
        <v>-12756536</v>
      </c>
      <c r="V35" s="30">
        <f t="shared" si="6"/>
        <v>-13494517</v>
      </c>
    </row>
    <row r="36" spans="1:22" x14ac:dyDescent="0.25">
      <c r="A36" s="37" t="str">
        <f t="shared" si="0"/>
        <v>2015 Software/Hardware Expense</v>
      </c>
      <c r="B36" s="7" t="s">
        <v>22</v>
      </c>
      <c r="C36" s="37" t="str">
        <f t="shared" si="1"/>
        <v>2015 Actuals Software/Hardware Expense</v>
      </c>
      <c r="D36" s="18">
        <v>2015</v>
      </c>
      <c r="E36" s="18" t="s">
        <v>16</v>
      </c>
      <c r="F36" s="8">
        <v>-4765178</v>
      </c>
      <c r="G36" s="8">
        <v>-3830881</v>
      </c>
      <c r="H36" s="8">
        <v>-4742612</v>
      </c>
      <c r="I36" s="8">
        <v>-4411760</v>
      </c>
      <c r="J36" s="8">
        <v>-7247016</v>
      </c>
      <c r="K36" s="8">
        <v>-7070792</v>
      </c>
      <c r="L36" s="8">
        <v>-7460187</v>
      </c>
      <c r="M36" s="8">
        <v>-4155646</v>
      </c>
      <c r="N36" s="8">
        <v>-6058210</v>
      </c>
      <c r="O36" s="8">
        <v>-6830492</v>
      </c>
      <c r="P36" s="8">
        <v>-5760591</v>
      </c>
      <c r="Q36" s="9">
        <v>-7218683</v>
      </c>
      <c r="R36" s="29">
        <f t="shared" si="2"/>
        <v>-69552048</v>
      </c>
      <c r="S36" s="29">
        <f t="shared" si="3"/>
        <v>-13338671</v>
      </c>
      <c r="T36" s="23">
        <f t="shared" si="4"/>
        <v>-18729568</v>
      </c>
      <c r="U36" s="23">
        <f t="shared" si="5"/>
        <v>-17674043</v>
      </c>
      <c r="V36" s="30">
        <f t="shared" si="6"/>
        <v>-19809766</v>
      </c>
    </row>
    <row r="37" spans="1:22" x14ac:dyDescent="0.25">
      <c r="A37" s="37" t="str">
        <f t="shared" si="0"/>
        <v>2015 Marketing Expense</v>
      </c>
      <c r="B37" s="7" t="s">
        <v>23</v>
      </c>
      <c r="C37" s="37" t="str">
        <f t="shared" si="1"/>
        <v>2015 Actuals Marketing Expense</v>
      </c>
      <c r="D37" s="18">
        <v>2015</v>
      </c>
      <c r="E37" s="18" t="s">
        <v>16</v>
      </c>
      <c r="F37" s="8">
        <v>-1373322</v>
      </c>
      <c r="G37" s="8">
        <v>-1152623</v>
      </c>
      <c r="H37" s="8">
        <v>-1366324</v>
      </c>
      <c r="I37" s="8">
        <v>-1216887</v>
      </c>
      <c r="J37" s="8">
        <v>-1771647</v>
      </c>
      <c r="K37" s="8">
        <v>-1846409</v>
      </c>
      <c r="L37" s="8">
        <v>-2254182</v>
      </c>
      <c r="M37" s="8">
        <v>-1313623</v>
      </c>
      <c r="N37" s="8">
        <v>-1753534</v>
      </c>
      <c r="O37" s="8">
        <v>-1859575</v>
      </c>
      <c r="P37" s="8">
        <v>-1782794</v>
      </c>
      <c r="Q37" s="9">
        <v>-2038375</v>
      </c>
      <c r="R37" s="29">
        <f t="shared" si="2"/>
        <v>-19729295</v>
      </c>
      <c r="S37" s="29">
        <f t="shared" si="3"/>
        <v>-3892269</v>
      </c>
      <c r="T37" s="23">
        <f t="shared" si="4"/>
        <v>-4834943</v>
      </c>
      <c r="U37" s="23">
        <f t="shared" si="5"/>
        <v>-5321339</v>
      </c>
      <c r="V37" s="30">
        <f t="shared" si="6"/>
        <v>-5680744</v>
      </c>
    </row>
    <row r="38" spans="1:22" x14ac:dyDescent="0.25">
      <c r="A38" s="37" t="str">
        <f t="shared" si="0"/>
        <v>2016 Sales</v>
      </c>
      <c r="B38" s="14" t="s">
        <v>15</v>
      </c>
      <c r="C38" s="132" t="str">
        <f t="shared" si="1"/>
        <v>2016 Actuals Sales</v>
      </c>
      <c r="D38" s="18">
        <v>2016</v>
      </c>
      <c r="E38" s="18" t="s">
        <v>16</v>
      </c>
      <c r="F38" s="8">
        <v>81655883</v>
      </c>
      <c r="G38" s="8">
        <v>83561516</v>
      </c>
      <c r="H38" s="8">
        <v>61969697</v>
      </c>
      <c r="I38" s="8">
        <v>63610791</v>
      </c>
      <c r="J38" s="8">
        <v>86214061</v>
      </c>
      <c r="K38" s="8">
        <v>90524362</v>
      </c>
      <c r="L38" s="8">
        <v>96670862</v>
      </c>
      <c r="M38" s="8">
        <v>98454552</v>
      </c>
      <c r="N38" s="8">
        <v>87844733</v>
      </c>
      <c r="O38" s="8">
        <v>87853084</v>
      </c>
      <c r="P38" s="8">
        <v>51372015</v>
      </c>
      <c r="Q38" s="9">
        <v>84700526</v>
      </c>
      <c r="R38" s="29">
        <f t="shared" si="2"/>
        <v>974432082</v>
      </c>
      <c r="S38" s="29">
        <f t="shared" si="3"/>
        <v>227187096</v>
      </c>
      <c r="T38" s="23">
        <f t="shared" si="4"/>
        <v>240349214</v>
      </c>
      <c r="U38" s="23">
        <f t="shared" si="5"/>
        <v>282970147</v>
      </c>
      <c r="V38" s="30">
        <f t="shared" si="6"/>
        <v>223925625</v>
      </c>
    </row>
    <row r="39" spans="1:22" x14ac:dyDescent="0.25">
      <c r="A39" s="37" t="str">
        <f t="shared" si="0"/>
        <v>2016 COGS</v>
      </c>
      <c r="B39" s="7" t="s">
        <v>34</v>
      </c>
      <c r="C39" s="37" t="str">
        <f t="shared" si="1"/>
        <v>2016 Actuals COGS</v>
      </c>
      <c r="D39" s="18">
        <v>2016</v>
      </c>
      <c r="E39" s="18" t="s">
        <v>16</v>
      </c>
      <c r="F39" s="8">
        <v>-38152005</v>
      </c>
      <c r="G39" s="8">
        <v>-36699482</v>
      </c>
      <c r="H39" s="8">
        <v>-26110465</v>
      </c>
      <c r="I39" s="8">
        <v>-26145811</v>
      </c>
      <c r="J39" s="8">
        <v>-40139858</v>
      </c>
      <c r="K39" s="8">
        <v>-39539223</v>
      </c>
      <c r="L39" s="8">
        <v>-44836102</v>
      </c>
      <c r="M39" s="8">
        <v>-40988911</v>
      </c>
      <c r="N39" s="8">
        <v>-41450728</v>
      </c>
      <c r="O39" s="8">
        <v>-39579231</v>
      </c>
      <c r="P39" s="8">
        <v>-22047375</v>
      </c>
      <c r="Q39" s="9">
        <v>-40435685</v>
      </c>
      <c r="R39" s="29">
        <f t="shared" si="2"/>
        <v>-436124876</v>
      </c>
      <c r="S39" s="29">
        <f t="shared" si="3"/>
        <v>-100961952</v>
      </c>
      <c r="T39" s="23">
        <f t="shared" si="4"/>
        <v>-105824892</v>
      </c>
      <c r="U39" s="23">
        <f t="shared" si="5"/>
        <v>-127275741</v>
      </c>
      <c r="V39" s="30">
        <f t="shared" si="6"/>
        <v>-102062291</v>
      </c>
    </row>
    <row r="40" spans="1:22" x14ac:dyDescent="0.25">
      <c r="A40" s="37" t="str">
        <f t="shared" si="0"/>
        <v>2016 Commissions Expense</v>
      </c>
      <c r="B40" s="7" t="s">
        <v>17</v>
      </c>
      <c r="C40" s="37" t="str">
        <f t="shared" si="1"/>
        <v>2016 Actuals Commissions Expense</v>
      </c>
      <c r="D40" s="18">
        <v>2016</v>
      </c>
      <c r="E40" s="18" t="s">
        <v>16</v>
      </c>
      <c r="F40" s="8">
        <v>-3341830</v>
      </c>
      <c r="G40" s="8">
        <v>-3367712</v>
      </c>
      <c r="H40" s="8">
        <v>-3012406</v>
      </c>
      <c r="I40" s="8">
        <v>-2916215</v>
      </c>
      <c r="J40" s="8">
        <v>-3678680</v>
      </c>
      <c r="K40" s="8">
        <v>-4445902</v>
      </c>
      <c r="L40" s="8">
        <v>-4606371</v>
      </c>
      <c r="M40" s="8">
        <v>-4440472</v>
      </c>
      <c r="N40" s="8">
        <v>-3909828</v>
      </c>
      <c r="O40" s="8">
        <v>-3623312</v>
      </c>
      <c r="P40" s="8">
        <v>-2189989</v>
      </c>
      <c r="Q40" s="9">
        <v>-3526159</v>
      </c>
      <c r="R40" s="29">
        <f t="shared" si="2"/>
        <v>-43058876</v>
      </c>
      <c r="S40" s="29">
        <f t="shared" si="3"/>
        <v>-9721948</v>
      </c>
      <c r="T40" s="23">
        <f t="shared" si="4"/>
        <v>-11040797</v>
      </c>
      <c r="U40" s="23">
        <f t="shared" si="5"/>
        <v>-12956671</v>
      </c>
      <c r="V40" s="30">
        <f t="shared" si="6"/>
        <v>-9339460</v>
      </c>
    </row>
    <row r="41" spans="1:22" x14ac:dyDescent="0.25">
      <c r="A41" s="37" t="str">
        <f t="shared" si="0"/>
        <v>2016 Payroll Expense</v>
      </c>
      <c r="B41" s="7" t="s">
        <v>18</v>
      </c>
      <c r="C41" s="37" t="str">
        <f t="shared" si="1"/>
        <v>2016 Actuals Payroll Expense</v>
      </c>
      <c r="D41" s="18">
        <v>2016</v>
      </c>
      <c r="E41" s="18" t="s">
        <v>16</v>
      </c>
      <c r="F41" s="8">
        <v>-8921600</v>
      </c>
      <c r="G41" s="8">
        <v>-9786168</v>
      </c>
      <c r="H41" s="8">
        <v>-7486614</v>
      </c>
      <c r="I41" s="8">
        <v>-7556025</v>
      </c>
      <c r="J41" s="8">
        <v>-9181290</v>
      </c>
      <c r="K41" s="8">
        <v>-9459380</v>
      </c>
      <c r="L41" s="8">
        <v>-9844151</v>
      </c>
      <c r="M41" s="8">
        <v>-11206389</v>
      </c>
      <c r="N41" s="8">
        <v>-9392546</v>
      </c>
      <c r="O41" s="8">
        <v>-10596859</v>
      </c>
      <c r="P41" s="8">
        <v>-6122880</v>
      </c>
      <c r="Q41" s="9">
        <v>-9147690</v>
      </c>
      <c r="R41" s="29">
        <f t="shared" si="2"/>
        <v>-108701592</v>
      </c>
      <c r="S41" s="29">
        <f t="shared" si="3"/>
        <v>-26194382</v>
      </c>
      <c r="T41" s="23">
        <f t="shared" si="4"/>
        <v>-26196695</v>
      </c>
      <c r="U41" s="23">
        <f t="shared" si="5"/>
        <v>-30443086</v>
      </c>
      <c r="V41" s="30">
        <f t="shared" si="6"/>
        <v>-25867429</v>
      </c>
    </row>
    <row r="42" spans="1:22" x14ac:dyDescent="0.25">
      <c r="A42" s="37" t="str">
        <f t="shared" si="0"/>
        <v>2016 Travel &amp; Entertainment Expense</v>
      </c>
      <c r="B42" s="7" t="s">
        <v>19</v>
      </c>
      <c r="C42" s="37" t="str">
        <f t="shared" si="1"/>
        <v>2016 Actuals Travel &amp; Entertainment Expense</v>
      </c>
      <c r="D42" s="18">
        <v>2016</v>
      </c>
      <c r="E42" s="18" t="s">
        <v>16</v>
      </c>
      <c r="F42" s="8">
        <v>-818929</v>
      </c>
      <c r="G42" s="8">
        <v>-966024</v>
      </c>
      <c r="H42" s="8">
        <v>-654648</v>
      </c>
      <c r="I42" s="8">
        <v>-664349</v>
      </c>
      <c r="J42" s="8">
        <v>-946095</v>
      </c>
      <c r="K42" s="8">
        <v>-942468</v>
      </c>
      <c r="L42" s="8">
        <v>-1062404</v>
      </c>
      <c r="M42" s="8">
        <v>-1074006</v>
      </c>
      <c r="N42" s="8">
        <v>-1051917</v>
      </c>
      <c r="O42" s="8">
        <v>-1038774</v>
      </c>
      <c r="P42" s="8">
        <v>-587646</v>
      </c>
      <c r="Q42" s="9">
        <v>-958050</v>
      </c>
      <c r="R42" s="29">
        <f t="shared" si="2"/>
        <v>-10765310</v>
      </c>
      <c r="S42" s="29">
        <f t="shared" si="3"/>
        <v>-2439601</v>
      </c>
      <c r="T42" s="23">
        <f t="shared" si="4"/>
        <v>-2552912</v>
      </c>
      <c r="U42" s="23">
        <f t="shared" si="5"/>
        <v>-3188327</v>
      </c>
      <c r="V42" s="30">
        <f t="shared" si="6"/>
        <v>-2584470</v>
      </c>
    </row>
    <row r="43" spans="1:22" x14ac:dyDescent="0.25">
      <c r="A43" s="37" t="str">
        <f t="shared" si="0"/>
        <v>2016 R&amp;D Expense</v>
      </c>
      <c r="B43" s="7" t="s">
        <v>20</v>
      </c>
      <c r="C43" s="37" t="str">
        <f t="shared" si="1"/>
        <v>2016 Actuals R&amp;D Expense</v>
      </c>
      <c r="D43" s="18">
        <v>2016</v>
      </c>
      <c r="E43" s="18" t="s">
        <v>16</v>
      </c>
      <c r="F43" s="8">
        <v>-3683094</v>
      </c>
      <c r="G43" s="8">
        <v>-4113810</v>
      </c>
      <c r="H43" s="8">
        <v>-2921017</v>
      </c>
      <c r="I43" s="8">
        <v>-2963375</v>
      </c>
      <c r="J43" s="8">
        <v>-4130479</v>
      </c>
      <c r="K43" s="8">
        <v>-3623041</v>
      </c>
      <c r="L43" s="8">
        <v>-4437334</v>
      </c>
      <c r="M43" s="8">
        <v>-4585982</v>
      </c>
      <c r="N43" s="8">
        <v>-3983309</v>
      </c>
      <c r="O43" s="8">
        <v>-3581303</v>
      </c>
      <c r="P43" s="8">
        <v>-2334662</v>
      </c>
      <c r="Q43" s="9">
        <v>-3982432</v>
      </c>
      <c r="R43" s="29">
        <f t="shared" si="2"/>
        <v>-44339838</v>
      </c>
      <c r="S43" s="29">
        <f t="shared" si="3"/>
        <v>-10717921</v>
      </c>
      <c r="T43" s="23">
        <f t="shared" si="4"/>
        <v>-10716895</v>
      </c>
      <c r="U43" s="23">
        <f t="shared" si="5"/>
        <v>-13006625</v>
      </c>
      <c r="V43" s="30">
        <f t="shared" si="6"/>
        <v>-9898397</v>
      </c>
    </row>
    <row r="44" spans="1:22" x14ac:dyDescent="0.25">
      <c r="A44" s="37" t="str">
        <f t="shared" si="0"/>
        <v>2016 Consulting Expense</v>
      </c>
      <c r="B44" s="7" t="s">
        <v>21</v>
      </c>
      <c r="C44" s="37" t="str">
        <f t="shared" si="1"/>
        <v>2016 Actuals Consulting Expense</v>
      </c>
      <c r="D44" s="18">
        <v>2016</v>
      </c>
      <c r="E44" s="18" t="s">
        <v>16</v>
      </c>
      <c r="F44" s="8">
        <v>-4657393</v>
      </c>
      <c r="G44" s="8">
        <v>-4809923</v>
      </c>
      <c r="H44" s="8">
        <v>-3513189</v>
      </c>
      <c r="I44" s="8">
        <v>-3762203</v>
      </c>
      <c r="J44" s="8">
        <v>-4709694</v>
      </c>
      <c r="K44" s="8">
        <v>-4861754</v>
      </c>
      <c r="L44" s="8">
        <v>-6015899</v>
      </c>
      <c r="M44" s="8">
        <v>-6024947</v>
      </c>
      <c r="N44" s="8">
        <v>-4995099</v>
      </c>
      <c r="O44" s="8">
        <v>-4476716</v>
      </c>
      <c r="P44" s="8">
        <v>-3081661</v>
      </c>
      <c r="Q44" s="9">
        <v>-4598465</v>
      </c>
      <c r="R44" s="29">
        <f t="shared" si="2"/>
        <v>-55506943</v>
      </c>
      <c r="S44" s="29">
        <f t="shared" si="3"/>
        <v>-12980505</v>
      </c>
      <c r="T44" s="23">
        <f t="shared" si="4"/>
        <v>-13333651</v>
      </c>
      <c r="U44" s="23">
        <f t="shared" si="5"/>
        <v>-17035945</v>
      </c>
      <c r="V44" s="30">
        <f t="shared" si="6"/>
        <v>-12156842</v>
      </c>
    </row>
    <row r="45" spans="1:22" x14ac:dyDescent="0.25">
      <c r="A45" s="37" t="str">
        <f t="shared" si="0"/>
        <v>2016 Software/Hardware Expense</v>
      </c>
      <c r="B45" s="7" t="s">
        <v>22</v>
      </c>
      <c r="C45" s="37" t="str">
        <f t="shared" si="1"/>
        <v>2016 Actuals Software/Hardware Expense</v>
      </c>
      <c r="D45" s="18">
        <v>2016</v>
      </c>
      <c r="E45" s="18" t="s">
        <v>16</v>
      </c>
      <c r="F45" s="8">
        <v>-6635711</v>
      </c>
      <c r="G45" s="8">
        <v>-6811558</v>
      </c>
      <c r="H45" s="8">
        <v>-5169120</v>
      </c>
      <c r="I45" s="8">
        <v>-4461078</v>
      </c>
      <c r="J45" s="8">
        <v>-6428260</v>
      </c>
      <c r="K45" s="8">
        <v>-7226569</v>
      </c>
      <c r="L45" s="8">
        <v>-7271478</v>
      </c>
      <c r="M45" s="8">
        <v>-7234272</v>
      </c>
      <c r="N45" s="8">
        <v>-7651080</v>
      </c>
      <c r="O45" s="8">
        <v>-7315956</v>
      </c>
      <c r="P45" s="8">
        <v>-4150345</v>
      </c>
      <c r="Q45" s="9">
        <v>-7372199</v>
      </c>
      <c r="R45" s="29">
        <f t="shared" si="2"/>
        <v>-77727626</v>
      </c>
      <c r="S45" s="29">
        <f t="shared" si="3"/>
        <v>-18616389</v>
      </c>
      <c r="T45" s="23">
        <f t="shared" si="4"/>
        <v>-18115907</v>
      </c>
      <c r="U45" s="23">
        <f t="shared" si="5"/>
        <v>-22156830</v>
      </c>
      <c r="V45" s="30">
        <f t="shared" si="6"/>
        <v>-18838500</v>
      </c>
    </row>
    <row r="46" spans="1:22" x14ac:dyDescent="0.25">
      <c r="A46" s="37" t="str">
        <f t="shared" si="0"/>
        <v>2016 Marketing Expense</v>
      </c>
      <c r="B46" s="7" t="s">
        <v>23</v>
      </c>
      <c r="C46" s="37" t="str">
        <f t="shared" si="1"/>
        <v>2016 Actuals Marketing Expense</v>
      </c>
      <c r="D46" s="18">
        <v>2016</v>
      </c>
      <c r="E46" s="18" t="s">
        <v>16</v>
      </c>
      <c r="F46" s="8">
        <v>-1704389</v>
      </c>
      <c r="G46" s="8">
        <v>-1870382</v>
      </c>
      <c r="H46" s="8">
        <v>-1528250</v>
      </c>
      <c r="I46" s="8">
        <v>-1331140</v>
      </c>
      <c r="J46" s="8">
        <v>-1910352</v>
      </c>
      <c r="K46" s="8">
        <v>-1853220</v>
      </c>
      <c r="L46" s="8">
        <v>-2355911</v>
      </c>
      <c r="M46" s="8">
        <v>-2020196</v>
      </c>
      <c r="N46" s="8">
        <v>-1806635</v>
      </c>
      <c r="O46" s="8">
        <v>-2153880</v>
      </c>
      <c r="P46" s="8">
        <v>-1244194</v>
      </c>
      <c r="Q46" s="9">
        <v>-2026172</v>
      </c>
      <c r="R46" s="29">
        <f t="shared" si="2"/>
        <v>-21804721</v>
      </c>
      <c r="S46" s="29">
        <f t="shared" si="3"/>
        <v>-5103021</v>
      </c>
      <c r="T46" s="23">
        <f t="shared" si="4"/>
        <v>-5094712</v>
      </c>
      <c r="U46" s="23">
        <f t="shared" si="5"/>
        <v>-6182742</v>
      </c>
      <c r="V46" s="30">
        <f t="shared" si="6"/>
        <v>-5424246</v>
      </c>
    </row>
    <row r="47" spans="1:22" x14ac:dyDescent="0.25">
      <c r="A47" s="37" t="str">
        <f t="shared" si="0"/>
        <v>2017 Sales</v>
      </c>
      <c r="B47" s="14" t="s">
        <v>15</v>
      </c>
      <c r="C47" s="132" t="str">
        <f t="shared" si="1"/>
        <v>2017 Actuals Sales</v>
      </c>
      <c r="D47" s="18">
        <v>2017</v>
      </c>
      <c r="E47" s="18" t="s">
        <v>16</v>
      </c>
      <c r="F47" s="8">
        <v>90594765</v>
      </c>
      <c r="G47" s="8">
        <v>64091321</v>
      </c>
      <c r="H47" s="8">
        <v>90832224</v>
      </c>
      <c r="I47" s="8">
        <v>90566899</v>
      </c>
      <c r="J47" s="8">
        <v>61790341</v>
      </c>
      <c r="K47" s="8">
        <v>89637185</v>
      </c>
      <c r="L47" s="8">
        <v>97015607</v>
      </c>
      <c r="M47" s="8">
        <v>57860421</v>
      </c>
      <c r="N47" s="8">
        <v>93873947</v>
      </c>
      <c r="O47" s="8">
        <v>56762897</v>
      </c>
      <c r="P47" s="8">
        <v>74155238</v>
      </c>
      <c r="Q47" s="9">
        <v>99732691</v>
      </c>
      <c r="R47" s="29">
        <f t="shared" si="2"/>
        <v>966913536</v>
      </c>
      <c r="S47" s="29">
        <f t="shared" si="3"/>
        <v>245518310</v>
      </c>
      <c r="T47" s="23">
        <f t="shared" si="4"/>
        <v>241994425</v>
      </c>
      <c r="U47" s="23">
        <f t="shared" si="5"/>
        <v>248749975</v>
      </c>
      <c r="V47" s="30">
        <f t="shared" si="6"/>
        <v>230650826</v>
      </c>
    </row>
    <row r="48" spans="1:22" x14ac:dyDescent="0.25">
      <c r="A48" s="37" t="str">
        <f t="shared" si="0"/>
        <v>2017 COGS</v>
      </c>
      <c r="B48" s="7" t="s">
        <v>34</v>
      </c>
      <c r="C48" s="37" t="str">
        <f t="shared" si="1"/>
        <v>2017 Actuals COGS</v>
      </c>
      <c r="D48" s="18">
        <v>2017</v>
      </c>
      <c r="E48" s="18" t="s">
        <v>16</v>
      </c>
      <c r="F48" s="8">
        <v>-39951806</v>
      </c>
      <c r="G48" s="8">
        <v>-30670039</v>
      </c>
      <c r="H48" s="8">
        <v>-38962942</v>
      </c>
      <c r="I48" s="8">
        <v>-38993954</v>
      </c>
      <c r="J48" s="8">
        <v>-30894645</v>
      </c>
      <c r="K48" s="8">
        <v>-42444634</v>
      </c>
      <c r="L48" s="8">
        <v>-47268030</v>
      </c>
      <c r="M48" s="8">
        <v>-25201882</v>
      </c>
      <c r="N48" s="8">
        <v>-42405906</v>
      </c>
      <c r="O48" s="8">
        <v>-26532237</v>
      </c>
      <c r="P48" s="8">
        <v>-33578994</v>
      </c>
      <c r="Q48" s="9">
        <v>-40232513</v>
      </c>
      <c r="R48" s="29">
        <f t="shared" si="2"/>
        <v>-437137582</v>
      </c>
      <c r="S48" s="29">
        <f t="shared" si="3"/>
        <v>-109584787</v>
      </c>
      <c r="T48" s="23">
        <f t="shared" si="4"/>
        <v>-112333233</v>
      </c>
      <c r="U48" s="23">
        <f t="shared" si="5"/>
        <v>-114875818</v>
      </c>
      <c r="V48" s="30">
        <f t="shared" si="6"/>
        <v>-100343744</v>
      </c>
    </row>
    <row r="49" spans="1:22" x14ac:dyDescent="0.25">
      <c r="A49" s="37" t="str">
        <f t="shared" si="0"/>
        <v>2017 Commissions Expense</v>
      </c>
      <c r="B49" s="7" t="s">
        <v>17</v>
      </c>
      <c r="C49" s="37" t="str">
        <f t="shared" si="1"/>
        <v>2017 Actuals Commissions Expense</v>
      </c>
      <c r="D49" s="18">
        <v>2017</v>
      </c>
      <c r="E49" s="18" t="s">
        <v>16</v>
      </c>
      <c r="F49" s="8">
        <v>-4200214</v>
      </c>
      <c r="G49" s="8">
        <v>-3202859</v>
      </c>
      <c r="H49" s="8">
        <v>-3773718</v>
      </c>
      <c r="I49" s="8">
        <v>-3631480</v>
      </c>
      <c r="J49" s="8">
        <v>-2998975</v>
      </c>
      <c r="K49" s="8">
        <v>-3862374</v>
      </c>
      <c r="L49" s="8">
        <v>-4168148</v>
      </c>
      <c r="M49" s="8">
        <v>-2328089</v>
      </c>
      <c r="N49" s="8">
        <v>-4439610</v>
      </c>
      <c r="O49" s="8">
        <v>-2553968</v>
      </c>
      <c r="P49" s="8">
        <v>-3433607</v>
      </c>
      <c r="Q49" s="9">
        <v>-4346873</v>
      </c>
      <c r="R49" s="29">
        <f t="shared" si="2"/>
        <v>-42939915</v>
      </c>
      <c r="S49" s="29">
        <f t="shared" si="3"/>
        <v>-11176791</v>
      </c>
      <c r="T49" s="23">
        <f t="shared" si="4"/>
        <v>-10492829</v>
      </c>
      <c r="U49" s="23">
        <f t="shared" si="5"/>
        <v>-10935847</v>
      </c>
      <c r="V49" s="30">
        <f t="shared" si="6"/>
        <v>-10334448</v>
      </c>
    </row>
    <row r="50" spans="1:22" x14ac:dyDescent="0.25">
      <c r="A50" s="37" t="str">
        <f t="shared" si="0"/>
        <v>2017 Payroll Expense</v>
      </c>
      <c r="B50" s="7" t="s">
        <v>18</v>
      </c>
      <c r="C50" s="37" t="str">
        <f t="shared" si="1"/>
        <v>2017 Actuals Payroll Expense</v>
      </c>
      <c r="D50" s="18">
        <v>2017</v>
      </c>
      <c r="E50" s="18" t="s">
        <v>16</v>
      </c>
      <c r="F50" s="8">
        <v>-9773658</v>
      </c>
      <c r="G50" s="8">
        <v>-7625235</v>
      </c>
      <c r="H50" s="8">
        <v>-9175082</v>
      </c>
      <c r="I50" s="8">
        <v>-10606715</v>
      </c>
      <c r="J50" s="8">
        <v>-7184780</v>
      </c>
      <c r="K50" s="8">
        <v>-8981143</v>
      </c>
      <c r="L50" s="8">
        <v>-11594344</v>
      </c>
      <c r="M50" s="8">
        <v>-6449339</v>
      </c>
      <c r="N50" s="8">
        <v>-11285602</v>
      </c>
      <c r="O50" s="8">
        <v>-6584691</v>
      </c>
      <c r="P50" s="8">
        <v>-8971630</v>
      </c>
      <c r="Q50" s="9">
        <v>-11594872</v>
      </c>
      <c r="R50" s="29">
        <f t="shared" si="2"/>
        <v>-109827091</v>
      </c>
      <c r="S50" s="29">
        <f t="shared" si="3"/>
        <v>-26573975</v>
      </c>
      <c r="T50" s="23">
        <f t="shared" si="4"/>
        <v>-26772638</v>
      </c>
      <c r="U50" s="23">
        <f t="shared" si="5"/>
        <v>-29329285</v>
      </c>
      <c r="V50" s="30">
        <f t="shared" si="6"/>
        <v>-27151193</v>
      </c>
    </row>
    <row r="51" spans="1:22" x14ac:dyDescent="0.25">
      <c r="A51" s="37" t="str">
        <f t="shared" si="0"/>
        <v>2017 Travel &amp; Entertainment Expense</v>
      </c>
      <c r="B51" s="7" t="s">
        <v>19</v>
      </c>
      <c r="C51" s="37" t="str">
        <f t="shared" si="1"/>
        <v>2017 Actuals Travel &amp; Entertainment Expense</v>
      </c>
      <c r="D51" s="18">
        <v>2017</v>
      </c>
      <c r="E51" s="18" t="s">
        <v>16</v>
      </c>
      <c r="F51" s="8">
        <v>-1011934</v>
      </c>
      <c r="G51" s="8">
        <v>-681792</v>
      </c>
      <c r="H51" s="8">
        <v>-964632</v>
      </c>
      <c r="I51" s="8">
        <v>-1071676</v>
      </c>
      <c r="J51" s="8">
        <v>-618377</v>
      </c>
      <c r="K51" s="8">
        <v>-935846</v>
      </c>
      <c r="L51" s="8">
        <v>-1181022</v>
      </c>
      <c r="M51" s="8">
        <v>-585603</v>
      </c>
      <c r="N51" s="8">
        <v>-1064714</v>
      </c>
      <c r="O51" s="8">
        <v>-640750</v>
      </c>
      <c r="P51" s="8">
        <v>-863683</v>
      </c>
      <c r="Q51" s="9">
        <v>-1014103</v>
      </c>
      <c r="R51" s="29">
        <f t="shared" si="2"/>
        <v>-10634132</v>
      </c>
      <c r="S51" s="29">
        <f t="shared" si="3"/>
        <v>-2658358</v>
      </c>
      <c r="T51" s="23">
        <f t="shared" si="4"/>
        <v>-2625899</v>
      </c>
      <c r="U51" s="23">
        <f t="shared" si="5"/>
        <v>-2831339</v>
      </c>
      <c r="V51" s="30">
        <f t="shared" si="6"/>
        <v>-2518536</v>
      </c>
    </row>
    <row r="52" spans="1:22" x14ac:dyDescent="0.25">
      <c r="A52" s="37" t="str">
        <f t="shared" si="0"/>
        <v>2017 R&amp;D Expense</v>
      </c>
      <c r="B52" s="7" t="s">
        <v>20</v>
      </c>
      <c r="C52" s="37" t="str">
        <f t="shared" si="1"/>
        <v>2017 Actuals R&amp;D Expense</v>
      </c>
      <c r="D52" s="18">
        <v>2017</v>
      </c>
      <c r="E52" s="18" t="s">
        <v>16</v>
      </c>
      <c r="F52" s="8">
        <v>-4172768</v>
      </c>
      <c r="G52" s="8">
        <v>-2645823</v>
      </c>
      <c r="H52" s="8">
        <v>-4323239</v>
      </c>
      <c r="I52" s="8">
        <v>-3683650</v>
      </c>
      <c r="J52" s="8">
        <v>-2610683</v>
      </c>
      <c r="K52" s="8">
        <v>-3792727</v>
      </c>
      <c r="L52" s="8">
        <v>-4293112</v>
      </c>
      <c r="M52" s="8">
        <v>-2846435</v>
      </c>
      <c r="N52" s="8">
        <v>-4283488</v>
      </c>
      <c r="O52" s="8">
        <v>-2423797</v>
      </c>
      <c r="P52" s="8">
        <v>-3357266</v>
      </c>
      <c r="Q52" s="9">
        <v>-4441468</v>
      </c>
      <c r="R52" s="29">
        <f t="shared" si="2"/>
        <v>-42874456</v>
      </c>
      <c r="S52" s="29">
        <f t="shared" si="3"/>
        <v>-11141830</v>
      </c>
      <c r="T52" s="23">
        <f t="shared" si="4"/>
        <v>-10087060</v>
      </c>
      <c r="U52" s="23">
        <f t="shared" si="5"/>
        <v>-11423035</v>
      </c>
      <c r="V52" s="30">
        <f t="shared" si="6"/>
        <v>-10222531</v>
      </c>
    </row>
    <row r="53" spans="1:22" x14ac:dyDescent="0.25">
      <c r="A53" s="37" t="str">
        <f t="shared" si="0"/>
        <v>2017 Consulting Expense</v>
      </c>
      <c r="B53" s="7" t="s">
        <v>21</v>
      </c>
      <c r="C53" s="37" t="str">
        <f t="shared" si="1"/>
        <v>2017 Actuals Consulting Expense</v>
      </c>
      <c r="D53" s="18">
        <v>2017</v>
      </c>
      <c r="E53" s="18" t="s">
        <v>16</v>
      </c>
      <c r="F53" s="8">
        <v>-5202064</v>
      </c>
      <c r="G53" s="8">
        <v>-3712680</v>
      </c>
      <c r="H53" s="8">
        <v>-5671365</v>
      </c>
      <c r="I53" s="8">
        <v>-5347644</v>
      </c>
      <c r="J53" s="8">
        <v>-3808190</v>
      </c>
      <c r="K53" s="8">
        <v>-4711668</v>
      </c>
      <c r="L53" s="8">
        <v>-6016591</v>
      </c>
      <c r="M53" s="8">
        <v>-3209594</v>
      </c>
      <c r="N53" s="8">
        <v>-5650365</v>
      </c>
      <c r="O53" s="8">
        <v>-3478094</v>
      </c>
      <c r="P53" s="8">
        <v>-4533548</v>
      </c>
      <c r="Q53" s="9">
        <v>-5854118</v>
      </c>
      <c r="R53" s="29">
        <f t="shared" si="2"/>
        <v>-57195921</v>
      </c>
      <c r="S53" s="29">
        <f t="shared" si="3"/>
        <v>-14586109</v>
      </c>
      <c r="T53" s="23">
        <f t="shared" si="4"/>
        <v>-13867502</v>
      </c>
      <c r="U53" s="23">
        <f t="shared" si="5"/>
        <v>-14876550</v>
      </c>
      <c r="V53" s="30">
        <f t="shared" si="6"/>
        <v>-13865760</v>
      </c>
    </row>
    <row r="54" spans="1:22" x14ac:dyDescent="0.25">
      <c r="A54" s="37" t="str">
        <f t="shared" si="0"/>
        <v>2017 Software/Hardware Expense</v>
      </c>
      <c r="B54" s="7" t="s">
        <v>22</v>
      </c>
      <c r="C54" s="37" t="str">
        <f t="shared" si="1"/>
        <v>2017 Actuals Software/Hardware Expense</v>
      </c>
      <c r="D54" s="18">
        <v>2017</v>
      </c>
      <c r="E54" s="18" t="s">
        <v>16</v>
      </c>
      <c r="F54" s="8">
        <v>-6815756</v>
      </c>
      <c r="G54" s="8">
        <v>-4840574</v>
      </c>
      <c r="H54" s="8">
        <v>-6818595</v>
      </c>
      <c r="I54" s="8">
        <v>-6537701</v>
      </c>
      <c r="J54" s="8">
        <v>-4506878</v>
      </c>
      <c r="K54" s="8">
        <v>-6673167</v>
      </c>
      <c r="L54" s="8">
        <v>-7844506</v>
      </c>
      <c r="M54" s="8">
        <v>-4267450</v>
      </c>
      <c r="N54" s="8">
        <v>-7389303</v>
      </c>
      <c r="O54" s="8">
        <v>-4761855</v>
      </c>
      <c r="P54" s="8">
        <v>-5368585</v>
      </c>
      <c r="Q54" s="9">
        <v>-7437361</v>
      </c>
      <c r="R54" s="29">
        <f t="shared" si="2"/>
        <v>-73261731</v>
      </c>
      <c r="S54" s="29">
        <f t="shared" si="3"/>
        <v>-18474925</v>
      </c>
      <c r="T54" s="23">
        <f t="shared" si="4"/>
        <v>-17717746</v>
      </c>
      <c r="U54" s="23">
        <f t="shared" si="5"/>
        <v>-19501259</v>
      </c>
      <c r="V54" s="30">
        <f t="shared" si="6"/>
        <v>-17567801</v>
      </c>
    </row>
    <row r="55" spans="1:22" x14ac:dyDescent="0.25">
      <c r="A55" s="37" t="str">
        <f t="shared" si="0"/>
        <v>2017 Marketing Expense</v>
      </c>
      <c r="B55" s="7" t="s">
        <v>23</v>
      </c>
      <c r="C55" s="37" t="str">
        <f t="shared" si="1"/>
        <v>2017 Actuals Marketing Expense</v>
      </c>
      <c r="D55" s="18">
        <v>2017</v>
      </c>
      <c r="E55" s="18" t="s">
        <v>16</v>
      </c>
      <c r="F55" s="8">
        <v>-2126102</v>
      </c>
      <c r="G55" s="8">
        <v>-1571597</v>
      </c>
      <c r="H55" s="8">
        <v>-1909683</v>
      </c>
      <c r="I55" s="8">
        <v>-1950375</v>
      </c>
      <c r="J55" s="8">
        <v>-1267839</v>
      </c>
      <c r="K55" s="8">
        <v>-2206505</v>
      </c>
      <c r="L55" s="8">
        <v>-2311953</v>
      </c>
      <c r="M55" s="8">
        <v>-1337686</v>
      </c>
      <c r="N55" s="8">
        <v>-2110424</v>
      </c>
      <c r="O55" s="8">
        <v>-1215239</v>
      </c>
      <c r="P55" s="8">
        <v>-1688551</v>
      </c>
      <c r="Q55" s="9">
        <v>-2310478</v>
      </c>
      <c r="R55" s="29">
        <f t="shared" si="2"/>
        <v>-22006432</v>
      </c>
      <c r="S55" s="29">
        <f t="shared" si="3"/>
        <v>-5607382</v>
      </c>
      <c r="T55" s="23">
        <f t="shared" si="4"/>
        <v>-5424719</v>
      </c>
      <c r="U55" s="23">
        <f t="shared" si="5"/>
        <v>-5760063</v>
      </c>
      <c r="V55" s="30">
        <f t="shared" si="6"/>
        <v>-5214268</v>
      </c>
    </row>
    <row r="56" spans="1:22" x14ac:dyDescent="0.25">
      <c r="A56" s="37" t="str">
        <f t="shared" si="0"/>
        <v>2018 Sales</v>
      </c>
      <c r="B56" s="14" t="s">
        <v>15</v>
      </c>
      <c r="C56" s="132" t="str">
        <f t="shared" si="1"/>
        <v>2018 Actuals Sales</v>
      </c>
      <c r="D56" s="18">
        <v>2018</v>
      </c>
      <c r="E56" s="18" t="s">
        <v>16</v>
      </c>
      <c r="F56" s="8">
        <v>66435319</v>
      </c>
      <c r="G56" s="8">
        <v>60115140</v>
      </c>
      <c r="H56" s="8">
        <v>90236987</v>
      </c>
      <c r="I56" s="8">
        <v>54994813</v>
      </c>
      <c r="J56" s="8">
        <v>77231074</v>
      </c>
      <c r="K56" s="8">
        <v>97709573</v>
      </c>
      <c r="L56" s="8">
        <v>64318085</v>
      </c>
      <c r="M56" s="8">
        <v>79972600</v>
      </c>
      <c r="N56" s="8">
        <v>62710249</v>
      </c>
      <c r="O56" s="8">
        <v>73998780</v>
      </c>
      <c r="P56" s="8">
        <v>82673488</v>
      </c>
      <c r="Q56" s="9">
        <v>70499145</v>
      </c>
      <c r="R56" s="29">
        <f t="shared" si="2"/>
        <v>880895253</v>
      </c>
      <c r="S56" s="29">
        <f t="shared" si="3"/>
        <v>216787446</v>
      </c>
      <c r="T56" s="23">
        <f t="shared" si="4"/>
        <v>229935460</v>
      </c>
      <c r="U56" s="23">
        <f t="shared" si="5"/>
        <v>207000934</v>
      </c>
      <c r="V56" s="30">
        <f t="shared" si="6"/>
        <v>227171413</v>
      </c>
    </row>
    <row r="57" spans="1:22" x14ac:dyDescent="0.25">
      <c r="A57" s="37" t="str">
        <f t="shared" si="0"/>
        <v>2018 COGS</v>
      </c>
      <c r="B57" s="7" t="s">
        <v>34</v>
      </c>
      <c r="C57" s="37" t="str">
        <f t="shared" si="1"/>
        <v>2018 Actuals COGS</v>
      </c>
      <c r="D57" s="18">
        <v>2018</v>
      </c>
      <c r="E57" s="18" t="s">
        <v>16</v>
      </c>
      <c r="F57" s="8">
        <v>-27104860</v>
      </c>
      <c r="G57" s="8">
        <v>-25436907</v>
      </c>
      <c r="H57" s="8">
        <v>-38384450</v>
      </c>
      <c r="I57" s="8">
        <v>-23720725</v>
      </c>
      <c r="J57" s="8">
        <v>-36998377</v>
      </c>
      <c r="K57" s="8">
        <v>-46943978</v>
      </c>
      <c r="L57" s="8">
        <v>-31836477</v>
      </c>
      <c r="M57" s="8">
        <v>-36494840</v>
      </c>
      <c r="N57" s="8">
        <v>-29353102</v>
      </c>
      <c r="O57" s="8">
        <v>-35974519</v>
      </c>
      <c r="P57" s="8">
        <v>-40171071</v>
      </c>
      <c r="Q57" s="9">
        <v>-30494072</v>
      </c>
      <c r="R57" s="29">
        <f t="shared" si="2"/>
        <v>-402913378</v>
      </c>
      <c r="S57" s="29">
        <f t="shared" si="3"/>
        <v>-90926217</v>
      </c>
      <c r="T57" s="23">
        <f t="shared" si="4"/>
        <v>-107663080</v>
      </c>
      <c r="U57" s="23">
        <f t="shared" si="5"/>
        <v>-97684419</v>
      </c>
      <c r="V57" s="30">
        <f t="shared" si="6"/>
        <v>-106639662</v>
      </c>
    </row>
    <row r="58" spans="1:22" x14ac:dyDescent="0.25">
      <c r="A58" s="37" t="str">
        <f t="shared" si="0"/>
        <v>2018 Commissions Expense</v>
      </c>
      <c r="B58" s="7" t="s">
        <v>17</v>
      </c>
      <c r="C58" s="37" t="str">
        <f t="shared" si="1"/>
        <v>2018 Actuals Commissions Expense</v>
      </c>
      <c r="D58" s="18">
        <v>2018</v>
      </c>
      <c r="E58" s="18" t="s">
        <v>16</v>
      </c>
      <c r="F58" s="8">
        <v>-2713289</v>
      </c>
      <c r="G58" s="8">
        <v>-2643762</v>
      </c>
      <c r="H58" s="8">
        <v>-4018302</v>
      </c>
      <c r="I58" s="8">
        <v>-2737615</v>
      </c>
      <c r="J58" s="8">
        <v>-3424073</v>
      </c>
      <c r="K58" s="8">
        <v>-4573850</v>
      </c>
      <c r="L58" s="8">
        <v>-2772432</v>
      </c>
      <c r="M58" s="8">
        <v>-3672921</v>
      </c>
      <c r="N58" s="8">
        <v>-2644431</v>
      </c>
      <c r="O58" s="8">
        <v>-3537843</v>
      </c>
      <c r="P58" s="8">
        <v>-4098546</v>
      </c>
      <c r="Q58" s="9">
        <v>-3359690</v>
      </c>
      <c r="R58" s="29">
        <f t="shared" si="2"/>
        <v>-40196754</v>
      </c>
      <c r="S58" s="29">
        <f t="shared" si="3"/>
        <v>-9375353</v>
      </c>
      <c r="T58" s="23">
        <f t="shared" si="4"/>
        <v>-10735538</v>
      </c>
      <c r="U58" s="23">
        <f t="shared" si="5"/>
        <v>-9089784</v>
      </c>
      <c r="V58" s="30">
        <f t="shared" si="6"/>
        <v>-10996079</v>
      </c>
    </row>
    <row r="59" spans="1:22" x14ac:dyDescent="0.25">
      <c r="A59" s="37" t="str">
        <f t="shared" si="0"/>
        <v>2018 Payroll Expense</v>
      </c>
      <c r="B59" s="7" t="s">
        <v>18</v>
      </c>
      <c r="C59" s="37" t="str">
        <f t="shared" si="1"/>
        <v>2018 Actuals Payroll Expense</v>
      </c>
      <c r="D59" s="18">
        <v>2018</v>
      </c>
      <c r="E59" s="18" t="s">
        <v>16</v>
      </c>
      <c r="F59" s="8">
        <v>-8280603</v>
      </c>
      <c r="G59" s="8">
        <v>-6867597</v>
      </c>
      <c r="H59" s="8">
        <v>-10628214</v>
      </c>
      <c r="I59" s="8">
        <v>-6468370</v>
      </c>
      <c r="J59" s="8">
        <v>-8682088</v>
      </c>
      <c r="K59" s="8">
        <v>-11568082</v>
      </c>
      <c r="L59" s="8">
        <v>-7856495</v>
      </c>
      <c r="M59" s="8">
        <v>-8885299</v>
      </c>
      <c r="N59" s="8">
        <v>-6676267</v>
      </c>
      <c r="O59" s="8">
        <v>-8373131</v>
      </c>
      <c r="P59" s="8">
        <v>-8920804</v>
      </c>
      <c r="Q59" s="9">
        <v>-8578713</v>
      </c>
      <c r="R59" s="29">
        <f t="shared" si="2"/>
        <v>-101785663</v>
      </c>
      <c r="S59" s="29">
        <f t="shared" si="3"/>
        <v>-25776414</v>
      </c>
      <c r="T59" s="23">
        <f t="shared" si="4"/>
        <v>-26718540</v>
      </c>
      <c r="U59" s="23">
        <f t="shared" si="5"/>
        <v>-23418061</v>
      </c>
      <c r="V59" s="30">
        <f t="shared" si="6"/>
        <v>-25872648</v>
      </c>
    </row>
    <row r="60" spans="1:22" x14ac:dyDescent="0.25">
      <c r="A60" s="37" t="str">
        <f t="shared" si="0"/>
        <v>2018 Travel &amp; Entertainment Expense</v>
      </c>
      <c r="B60" s="7" t="s">
        <v>19</v>
      </c>
      <c r="C60" s="37" t="str">
        <f t="shared" si="1"/>
        <v>2018 Actuals Travel &amp; Entertainment Expense</v>
      </c>
      <c r="D60" s="18">
        <v>2018</v>
      </c>
      <c r="E60" s="18" t="s">
        <v>16</v>
      </c>
      <c r="F60" s="8">
        <v>-761347</v>
      </c>
      <c r="G60" s="8">
        <v>-628778</v>
      </c>
      <c r="H60" s="8">
        <v>-1073369</v>
      </c>
      <c r="I60" s="8">
        <v>-560203</v>
      </c>
      <c r="J60" s="8">
        <v>-871981</v>
      </c>
      <c r="K60" s="8">
        <v>-1080688</v>
      </c>
      <c r="L60" s="8">
        <v>-688880</v>
      </c>
      <c r="M60" s="8">
        <v>-947587</v>
      </c>
      <c r="N60" s="8">
        <v>-676254</v>
      </c>
      <c r="O60" s="8">
        <v>-923896</v>
      </c>
      <c r="P60" s="8">
        <v>-962429</v>
      </c>
      <c r="Q60" s="9">
        <v>-855002</v>
      </c>
      <c r="R60" s="29">
        <f t="shared" si="2"/>
        <v>-10030414</v>
      </c>
      <c r="S60" s="29">
        <f t="shared" si="3"/>
        <v>-2463494</v>
      </c>
      <c r="T60" s="23">
        <f t="shared" si="4"/>
        <v>-2512872</v>
      </c>
      <c r="U60" s="23">
        <f t="shared" si="5"/>
        <v>-2312721</v>
      </c>
      <c r="V60" s="30">
        <f t="shared" si="6"/>
        <v>-2741327</v>
      </c>
    </row>
    <row r="61" spans="1:22" x14ac:dyDescent="0.25">
      <c r="A61" s="37" t="str">
        <f t="shared" si="0"/>
        <v>2018 R&amp;D Expense</v>
      </c>
      <c r="B61" s="7" t="s">
        <v>20</v>
      </c>
      <c r="C61" s="37" t="str">
        <f t="shared" si="1"/>
        <v>2018 Actuals R&amp;D Expense</v>
      </c>
      <c r="D61" s="18">
        <v>2018</v>
      </c>
      <c r="E61" s="18" t="s">
        <v>16</v>
      </c>
      <c r="F61" s="8">
        <v>-3297070</v>
      </c>
      <c r="G61" s="8">
        <v>-2664533</v>
      </c>
      <c r="H61" s="8">
        <v>-3735439</v>
      </c>
      <c r="I61" s="8">
        <v>-2501090</v>
      </c>
      <c r="J61" s="8">
        <v>-3836860</v>
      </c>
      <c r="K61" s="8">
        <v>-4417304</v>
      </c>
      <c r="L61" s="8">
        <v>-2616145</v>
      </c>
      <c r="M61" s="8">
        <v>-3898946</v>
      </c>
      <c r="N61" s="8">
        <v>-2650136</v>
      </c>
      <c r="O61" s="8">
        <v>-3476472</v>
      </c>
      <c r="P61" s="8">
        <v>-3736829</v>
      </c>
      <c r="Q61" s="9">
        <v>-3209049</v>
      </c>
      <c r="R61" s="29">
        <f t="shared" si="2"/>
        <v>-40039873</v>
      </c>
      <c r="S61" s="29">
        <f t="shared" si="3"/>
        <v>-9697042</v>
      </c>
      <c r="T61" s="23">
        <f t="shared" si="4"/>
        <v>-10755254</v>
      </c>
      <c r="U61" s="23">
        <f t="shared" si="5"/>
        <v>-9165227</v>
      </c>
      <c r="V61" s="30">
        <f t="shared" si="6"/>
        <v>-10422350</v>
      </c>
    </row>
    <row r="62" spans="1:22" x14ac:dyDescent="0.25">
      <c r="A62" s="37" t="str">
        <f t="shared" si="0"/>
        <v>2018 Consulting Expense</v>
      </c>
      <c r="B62" s="7" t="s">
        <v>21</v>
      </c>
      <c r="C62" s="37" t="str">
        <f t="shared" si="1"/>
        <v>2018 Actuals Consulting Expense</v>
      </c>
      <c r="D62" s="18">
        <v>2018</v>
      </c>
      <c r="E62" s="18" t="s">
        <v>16</v>
      </c>
      <c r="F62" s="8">
        <v>-3652403</v>
      </c>
      <c r="G62" s="8">
        <v>-3552663</v>
      </c>
      <c r="H62" s="8">
        <v>-5623204</v>
      </c>
      <c r="I62" s="8">
        <v>-3054682</v>
      </c>
      <c r="J62" s="8">
        <v>-4799777</v>
      </c>
      <c r="K62" s="8">
        <v>-5403494</v>
      </c>
      <c r="L62" s="8">
        <v>-3641178</v>
      </c>
      <c r="M62" s="8">
        <v>-4648622</v>
      </c>
      <c r="N62" s="8">
        <v>-3871484</v>
      </c>
      <c r="O62" s="8">
        <v>-4221212</v>
      </c>
      <c r="P62" s="8">
        <v>-4985822</v>
      </c>
      <c r="Q62" s="9">
        <v>-4096376</v>
      </c>
      <c r="R62" s="29">
        <f t="shared" si="2"/>
        <v>-51550917</v>
      </c>
      <c r="S62" s="29">
        <f t="shared" si="3"/>
        <v>-12828270</v>
      </c>
      <c r="T62" s="23">
        <f t="shared" si="4"/>
        <v>-13257953</v>
      </c>
      <c r="U62" s="23">
        <f t="shared" si="5"/>
        <v>-12161284</v>
      </c>
      <c r="V62" s="30">
        <f t="shared" si="6"/>
        <v>-13303410</v>
      </c>
    </row>
    <row r="63" spans="1:22" x14ac:dyDescent="0.25">
      <c r="A63" s="37" t="str">
        <f t="shared" si="0"/>
        <v>2018 Software/Hardware Expense</v>
      </c>
      <c r="B63" s="7" t="s">
        <v>22</v>
      </c>
      <c r="C63" s="37" t="str">
        <f t="shared" si="1"/>
        <v>2018 Actuals Software/Hardware Expense</v>
      </c>
      <c r="D63" s="18">
        <v>2018</v>
      </c>
      <c r="E63" s="18" t="s">
        <v>16</v>
      </c>
      <c r="F63" s="8">
        <v>-5091475</v>
      </c>
      <c r="G63" s="8">
        <v>-4367071</v>
      </c>
      <c r="H63" s="8">
        <v>-6833347</v>
      </c>
      <c r="I63" s="8">
        <v>-4733816</v>
      </c>
      <c r="J63" s="8">
        <v>-5744222</v>
      </c>
      <c r="K63" s="8">
        <v>-6903913</v>
      </c>
      <c r="L63" s="8">
        <v>-4696016</v>
      </c>
      <c r="M63" s="8">
        <v>-6896595</v>
      </c>
      <c r="N63" s="8">
        <v>-5081194</v>
      </c>
      <c r="O63" s="8">
        <v>-5804680</v>
      </c>
      <c r="P63" s="8">
        <v>-6640954</v>
      </c>
      <c r="Q63" s="9">
        <v>-5266263</v>
      </c>
      <c r="R63" s="29">
        <f t="shared" si="2"/>
        <v>-68059546</v>
      </c>
      <c r="S63" s="29">
        <f t="shared" si="3"/>
        <v>-16291893</v>
      </c>
      <c r="T63" s="23">
        <f t="shared" si="4"/>
        <v>-17381951</v>
      </c>
      <c r="U63" s="23">
        <f t="shared" si="5"/>
        <v>-16673805</v>
      </c>
      <c r="V63" s="30">
        <f t="shared" si="6"/>
        <v>-17711897</v>
      </c>
    </row>
    <row r="64" spans="1:22" x14ac:dyDescent="0.25">
      <c r="A64" s="37" t="str">
        <f t="shared" si="0"/>
        <v>2018 Marketing Expense</v>
      </c>
      <c r="B64" s="7" t="s">
        <v>23</v>
      </c>
      <c r="C64" s="37" t="str">
        <f t="shared" si="1"/>
        <v>2018 Actuals Marketing Expense</v>
      </c>
      <c r="D64" s="18">
        <v>2018</v>
      </c>
      <c r="E64" s="18" t="s">
        <v>16</v>
      </c>
      <c r="F64" s="8">
        <v>-1645124</v>
      </c>
      <c r="G64" s="8">
        <v>-1278801</v>
      </c>
      <c r="H64" s="8">
        <v>-2131484</v>
      </c>
      <c r="I64" s="8">
        <v>-1100717</v>
      </c>
      <c r="J64" s="8">
        <v>-1826309</v>
      </c>
      <c r="K64" s="8">
        <v>-2015110</v>
      </c>
      <c r="L64" s="8">
        <v>-1398743</v>
      </c>
      <c r="M64" s="8">
        <v>-1918888</v>
      </c>
      <c r="N64" s="8">
        <v>-1344274</v>
      </c>
      <c r="O64" s="8">
        <v>-1671309</v>
      </c>
      <c r="P64" s="8">
        <v>-1653663</v>
      </c>
      <c r="Q64" s="9">
        <v>-1643350</v>
      </c>
      <c r="R64" s="29">
        <f t="shared" si="2"/>
        <v>-19627772</v>
      </c>
      <c r="S64" s="29">
        <f t="shared" si="3"/>
        <v>-5055409</v>
      </c>
      <c r="T64" s="23">
        <f t="shared" si="4"/>
        <v>-4942136</v>
      </c>
      <c r="U64" s="23">
        <f t="shared" si="5"/>
        <v>-4661905</v>
      </c>
      <c r="V64" s="30">
        <f t="shared" si="6"/>
        <v>-4968322</v>
      </c>
    </row>
    <row r="65" spans="1:22" x14ac:dyDescent="0.25">
      <c r="A65" s="37" t="str">
        <f t="shared" si="0"/>
        <v>2019 Sales</v>
      </c>
      <c r="B65" s="14" t="s">
        <v>15</v>
      </c>
      <c r="C65" s="132" t="str">
        <f t="shared" si="1"/>
        <v>2019 Actuals Sales</v>
      </c>
      <c r="D65" s="18">
        <v>2019</v>
      </c>
      <c r="E65" s="18" t="s">
        <v>16</v>
      </c>
      <c r="F65" s="8">
        <v>93925775</v>
      </c>
      <c r="G65" s="8">
        <v>74821680</v>
      </c>
      <c r="H65" s="8">
        <v>85600673</v>
      </c>
      <c r="I65" s="8">
        <v>76646440</v>
      </c>
      <c r="J65" s="8">
        <v>79863817</v>
      </c>
      <c r="K65" s="8">
        <v>55912270</v>
      </c>
      <c r="L65" s="8">
        <v>79685077</v>
      </c>
      <c r="M65" s="8">
        <v>75122784</v>
      </c>
      <c r="N65" s="8">
        <v>67143263</v>
      </c>
      <c r="O65" s="8">
        <v>86159862</v>
      </c>
      <c r="P65" s="8">
        <v>76968833</v>
      </c>
      <c r="Q65" s="9">
        <v>69967979</v>
      </c>
      <c r="R65" s="29">
        <f t="shared" si="2"/>
        <v>921818453</v>
      </c>
      <c r="S65" s="29">
        <f t="shared" si="3"/>
        <v>254348128</v>
      </c>
      <c r="T65" s="23">
        <f t="shared" si="4"/>
        <v>212422527</v>
      </c>
      <c r="U65" s="23">
        <f t="shared" si="5"/>
        <v>221951124</v>
      </c>
      <c r="V65" s="30">
        <f t="shared" si="6"/>
        <v>233096674</v>
      </c>
    </row>
    <row r="66" spans="1:22" x14ac:dyDescent="0.25">
      <c r="A66" s="37" t="str">
        <f t="shared" si="0"/>
        <v>2019 COGS</v>
      </c>
      <c r="B66" s="7" t="s">
        <v>34</v>
      </c>
      <c r="C66" s="37" t="str">
        <f t="shared" si="1"/>
        <v>2019 Actuals COGS</v>
      </c>
      <c r="D66" s="18">
        <v>2019</v>
      </c>
      <c r="E66" s="18" t="s">
        <v>16</v>
      </c>
      <c r="F66" s="8">
        <v>-44392971</v>
      </c>
      <c r="G66" s="8">
        <v>-32181042</v>
      </c>
      <c r="H66" s="8">
        <v>-35760851</v>
      </c>
      <c r="I66" s="8">
        <v>-35264635</v>
      </c>
      <c r="J66" s="8">
        <v>-35248824</v>
      </c>
      <c r="K66" s="8">
        <v>-23149330</v>
      </c>
      <c r="L66" s="8">
        <v>-34752454</v>
      </c>
      <c r="M66" s="8">
        <v>-34860156</v>
      </c>
      <c r="N66" s="8">
        <v>-27438935</v>
      </c>
      <c r="O66" s="8">
        <v>-39136737</v>
      </c>
      <c r="P66" s="8">
        <v>-31245199</v>
      </c>
      <c r="Q66" s="9">
        <v>-30213783</v>
      </c>
      <c r="R66" s="29">
        <f t="shared" si="2"/>
        <v>-403644917</v>
      </c>
      <c r="S66" s="29">
        <f t="shared" si="3"/>
        <v>-112334864</v>
      </c>
      <c r="T66" s="23">
        <f t="shared" si="4"/>
        <v>-93662789</v>
      </c>
      <c r="U66" s="23">
        <f t="shared" si="5"/>
        <v>-97051545</v>
      </c>
      <c r="V66" s="30">
        <f t="shared" si="6"/>
        <v>-100595719</v>
      </c>
    </row>
    <row r="67" spans="1:22" x14ac:dyDescent="0.25">
      <c r="A67" s="37" t="str">
        <f t="shared" ref="A67:A118" si="7">CONCATENATE(D67," ",B67)</f>
        <v>2019 Commissions Expense</v>
      </c>
      <c r="B67" s="7" t="s">
        <v>17</v>
      </c>
      <c r="C67" s="37" t="str">
        <f t="shared" ref="C67:C118" si="8">CONCATENATE(D67," ",E67," ",B67)</f>
        <v>2019 Actuals Commissions Expense</v>
      </c>
      <c r="D67" s="18">
        <v>2019</v>
      </c>
      <c r="E67" s="18" t="s">
        <v>16</v>
      </c>
      <c r="F67" s="8">
        <v>-4343758</v>
      </c>
      <c r="G67" s="8">
        <v>-3359430</v>
      </c>
      <c r="H67" s="8">
        <v>-3895028</v>
      </c>
      <c r="I67" s="8">
        <v>-3677401</v>
      </c>
      <c r="J67" s="8">
        <v>-3875744</v>
      </c>
      <c r="K67" s="8">
        <v>-2739844</v>
      </c>
      <c r="L67" s="8">
        <v>-3745877</v>
      </c>
      <c r="M67" s="8">
        <v>-3435719</v>
      </c>
      <c r="N67" s="8">
        <v>-3318784</v>
      </c>
      <c r="O67" s="8">
        <v>-3556874</v>
      </c>
      <c r="P67" s="8">
        <v>-3543487</v>
      </c>
      <c r="Q67" s="9">
        <v>-3170203</v>
      </c>
      <c r="R67" s="29">
        <f t="shared" ref="R67:R118" si="9">SUM(F67:Q67)</f>
        <v>-42662149</v>
      </c>
      <c r="S67" s="29">
        <f t="shared" ref="S67:S118" si="10">SUM(F67:H67)</f>
        <v>-11598216</v>
      </c>
      <c r="T67" s="23">
        <f t="shared" ref="T67:T118" si="11">SUM(I67:K67)</f>
        <v>-10292989</v>
      </c>
      <c r="U67" s="23">
        <f t="shared" ref="U67:U118" si="12">SUM(L67:N67)</f>
        <v>-10500380</v>
      </c>
      <c r="V67" s="30">
        <f t="shared" ref="V67:V118" si="13">SUM(O67:Q67)</f>
        <v>-10270564</v>
      </c>
    </row>
    <row r="68" spans="1:22" x14ac:dyDescent="0.25">
      <c r="A68" s="37" t="str">
        <f t="shared" si="7"/>
        <v>2019 Payroll Expense</v>
      </c>
      <c r="B68" s="7" t="s">
        <v>18</v>
      </c>
      <c r="C68" s="37" t="str">
        <f t="shared" si="8"/>
        <v>2019 Actuals Payroll Expense</v>
      </c>
      <c r="D68" s="18">
        <v>2019</v>
      </c>
      <c r="E68" s="18" t="s">
        <v>16</v>
      </c>
      <c r="F68" s="8">
        <v>-10410570</v>
      </c>
      <c r="G68" s="8">
        <v>-7492567</v>
      </c>
      <c r="H68" s="8">
        <v>-9830922</v>
      </c>
      <c r="I68" s="8">
        <v>-8236178</v>
      </c>
      <c r="J68" s="8">
        <v>-9111360</v>
      </c>
      <c r="K68" s="8">
        <v>-5732127</v>
      </c>
      <c r="L68" s="8">
        <v>-9582968</v>
      </c>
      <c r="M68" s="8">
        <v>-8080224</v>
      </c>
      <c r="N68" s="8">
        <v>-8219184</v>
      </c>
      <c r="O68" s="8">
        <v>-8720852</v>
      </c>
      <c r="P68" s="8">
        <v>-8289269</v>
      </c>
      <c r="Q68" s="9">
        <v>-7400943</v>
      </c>
      <c r="R68" s="29">
        <f t="shared" si="9"/>
        <v>-101107164</v>
      </c>
      <c r="S68" s="29">
        <f t="shared" si="10"/>
        <v>-27734059</v>
      </c>
      <c r="T68" s="23">
        <f t="shared" si="11"/>
        <v>-23079665</v>
      </c>
      <c r="U68" s="23">
        <f t="shared" si="12"/>
        <v>-25882376</v>
      </c>
      <c r="V68" s="30">
        <f t="shared" si="13"/>
        <v>-24411064</v>
      </c>
    </row>
    <row r="69" spans="1:22" x14ac:dyDescent="0.25">
      <c r="A69" s="37" t="str">
        <f t="shared" si="7"/>
        <v>2019 Travel &amp; Entertainment Expense</v>
      </c>
      <c r="B69" s="7" t="s">
        <v>19</v>
      </c>
      <c r="C69" s="37" t="str">
        <f t="shared" si="8"/>
        <v>2019 Actuals Travel &amp; Entertainment Expense</v>
      </c>
      <c r="D69" s="18">
        <v>2019</v>
      </c>
      <c r="E69" s="18" t="s">
        <v>16</v>
      </c>
      <c r="F69" s="8">
        <v>-1013731</v>
      </c>
      <c r="G69" s="8">
        <v>-791949</v>
      </c>
      <c r="H69" s="8">
        <v>-1022834</v>
      </c>
      <c r="I69" s="8">
        <v>-918382</v>
      </c>
      <c r="J69" s="8">
        <v>-840954</v>
      </c>
      <c r="K69" s="8">
        <v>-561209</v>
      </c>
      <c r="L69" s="8">
        <v>-939529</v>
      </c>
      <c r="M69" s="8">
        <v>-768568</v>
      </c>
      <c r="N69" s="8">
        <v>-832059</v>
      </c>
      <c r="O69" s="8">
        <v>-975463</v>
      </c>
      <c r="P69" s="8">
        <v>-913816</v>
      </c>
      <c r="Q69" s="9">
        <v>-775184</v>
      </c>
      <c r="R69" s="29">
        <f t="shared" si="9"/>
        <v>-10353678</v>
      </c>
      <c r="S69" s="29">
        <f t="shared" si="10"/>
        <v>-2828514</v>
      </c>
      <c r="T69" s="23">
        <f t="shared" si="11"/>
        <v>-2320545</v>
      </c>
      <c r="U69" s="23">
        <f t="shared" si="12"/>
        <v>-2540156</v>
      </c>
      <c r="V69" s="30">
        <f t="shared" si="13"/>
        <v>-2664463</v>
      </c>
    </row>
    <row r="70" spans="1:22" x14ac:dyDescent="0.25">
      <c r="A70" s="37" t="str">
        <f t="shared" si="7"/>
        <v>2019 R&amp;D Expense</v>
      </c>
      <c r="B70" s="7" t="s">
        <v>20</v>
      </c>
      <c r="C70" s="37" t="str">
        <f t="shared" si="8"/>
        <v>2019 Actuals R&amp;D Expense</v>
      </c>
      <c r="D70" s="18">
        <v>2019</v>
      </c>
      <c r="E70" s="18" t="s">
        <v>16</v>
      </c>
      <c r="F70" s="8">
        <v>-4644817</v>
      </c>
      <c r="G70" s="8">
        <v>-3595006</v>
      </c>
      <c r="H70" s="8">
        <v>-3948370</v>
      </c>
      <c r="I70" s="8">
        <v>-3595290</v>
      </c>
      <c r="J70" s="8">
        <v>-3639614</v>
      </c>
      <c r="K70" s="8">
        <v>-2496842</v>
      </c>
      <c r="L70" s="8">
        <v>-3301698</v>
      </c>
      <c r="M70" s="8">
        <v>-3520724</v>
      </c>
      <c r="N70" s="8">
        <v>-2763529</v>
      </c>
      <c r="O70" s="8">
        <v>-4269633</v>
      </c>
      <c r="P70" s="8">
        <v>-3402942</v>
      </c>
      <c r="Q70" s="9">
        <v>-3029013</v>
      </c>
      <c r="R70" s="29">
        <f t="shared" si="9"/>
        <v>-42207478</v>
      </c>
      <c r="S70" s="29">
        <f t="shared" si="10"/>
        <v>-12188193</v>
      </c>
      <c r="T70" s="23">
        <f t="shared" si="11"/>
        <v>-9731746</v>
      </c>
      <c r="U70" s="23">
        <f t="shared" si="12"/>
        <v>-9585951</v>
      </c>
      <c r="V70" s="30">
        <f t="shared" si="13"/>
        <v>-10701588</v>
      </c>
    </row>
    <row r="71" spans="1:22" x14ac:dyDescent="0.25">
      <c r="A71" s="37" t="str">
        <f t="shared" si="7"/>
        <v>2019 Consulting Expense</v>
      </c>
      <c r="B71" s="7" t="s">
        <v>21</v>
      </c>
      <c r="C71" s="37" t="str">
        <f t="shared" si="8"/>
        <v>2019 Actuals Consulting Expense</v>
      </c>
      <c r="D71" s="18">
        <v>2019</v>
      </c>
      <c r="E71" s="18" t="s">
        <v>16</v>
      </c>
      <c r="F71" s="8">
        <v>-4979698</v>
      </c>
      <c r="G71" s="8">
        <v>-4435793</v>
      </c>
      <c r="H71" s="8">
        <v>-4778009</v>
      </c>
      <c r="I71" s="8">
        <v>-4754163</v>
      </c>
      <c r="J71" s="8">
        <v>-4664933</v>
      </c>
      <c r="K71" s="8">
        <v>-2931067</v>
      </c>
      <c r="L71" s="8">
        <v>-4639082</v>
      </c>
      <c r="M71" s="8">
        <v>-3992375</v>
      </c>
      <c r="N71" s="8">
        <v>-3635430</v>
      </c>
      <c r="O71" s="8">
        <v>-4790506</v>
      </c>
      <c r="P71" s="8">
        <v>-3919710</v>
      </c>
      <c r="Q71" s="9">
        <v>-3675104</v>
      </c>
      <c r="R71" s="29">
        <f t="shared" si="9"/>
        <v>-51195870</v>
      </c>
      <c r="S71" s="29">
        <f t="shared" si="10"/>
        <v>-14193500</v>
      </c>
      <c r="T71" s="23">
        <f t="shared" si="11"/>
        <v>-12350163</v>
      </c>
      <c r="U71" s="23">
        <f t="shared" si="12"/>
        <v>-12266887</v>
      </c>
      <c r="V71" s="30">
        <f t="shared" si="13"/>
        <v>-12385320</v>
      </c>
    </row>
    <row r="72" spans="1:22" x14ac:dyDescent="0.25">
      <c r="A72" s="37" t="str">
        <f t="shared" si="7"/>
        <v>2019 Software/Hardware Expense</v>
      </c>
      <c r="B72" s="7" t="s">
        <v>22</v>
      </c>
      <c r="C72" s="37" t="str">
        <f t="shared" si="8"/>
        <v>2019 Actuals Software/Hardware Expense</v>
      </c>
      <c r="D72" s="18">
        <v>2019</v>
      </c>
      <c r="E72" s="18" t="s">
        <v>16</v>
      </c>
      <c r="F72" s="8">
        <v>-7407369</v>
      </c>
      <c r="G72" s="8">
        <v>-6226870</v>
      </c>
      <c r="H72" s="8">
        <v>-7033820</v>
      </c>
      <c r="I72" s="8">
        <v>-6283426</v>
      </c>
      <c r="J72" s="8">
        <v>-6682029</v>
      </c>
      <c r="K72" s="8">
        <v>-4138949</v>
      </c>
      <c r="L72" s="8">
        <v>-5590768</v>
      </c>
      <c r="M72" s="8">
        <v>-5268218</v>
      </c>
      <c r="N72" s="8">
        <v>-4841180</v>
      </c>
      <c r="O72" s="8">
        <v>-6750935</v>
      </c>
      <c r="P72" s="8">
        <v>-6303933</v>
      </c>
      <c r="Q72" s="9">
        <v>-5630389</v>
      </c>
      <c r="R72" s="29">
        <f t="shared" si="9"/>
        <v>-72157886</v>
      </c>
      <c r="S72" s="29">
        <f t="shared" si="10"/>
        <v>-20668059</v>
      </c>
      <c r="T72" s="23">
        <f t="shared" si="11"/>
        <v>-17104404</v>
      </c>
      <c r="U72" s="23">
        <f t="shared" si="12"/>
        <v>-15700166</v>
      </c>
      <c r="V72" s="30">
        <f t="shared" si="13"/>
        <v>-18685257</v>
      </c>
    </row>
    <row r="73" spans="1:22" x14ac:dyDescent="0.25">
      <c r="A73" s="37" t="str">
        <f t="shared" si="7"/>
        <v>2019 Marketing Expense</v>
      </c>
      <c r="B73" s="7" t="s">
        <v>23</v>
      </c>
      <c r="C73" s="37" t="str">
        <f t="shared" si="8"/>
        <v>2019 Actuals Marketing Expense</v>
      </c>
      <c r="D73" s="18">
        <v>2019</v>
      </c>
      <c r="E73" s="18" t="s">
        <v>16</v>
      </c>
      <c r="F73" s="8">
        <v>-1956457</v>
      </c>
      <c r="G73" s="8">
        <v>-1720137</v>
      </c>
      <c r="H73" s="8">
        <v>-2128417</v>
      </c>
      <c r="I73" s="8">
        <v>-1672934</v>
      </c>
      <c r="J73" s="8">
        <v>-1630486</v>
      </c>
      <c r="K73" s="8">
        <v>-1155823</v>
      </c>
      <c r="L73" s="8">
        <v>-1933737</v>
      </c>
      <c r="M73" s="8">
        <v>-1641920</v>
      </c>
      <c r="N73" s="8">
        <v>-1480543</v>
      </c>
      <c r="O73" s="8">
        <v>-1809342</v>
      </c>
      <c r="P73" s="8">
        <v>-1570718</v>
      </c>
      <c r="Q73" s="9">
        <v>-1633705</v>
      </c>
      <c r="R73" s="29">
        <f t="shared" si="9"/>
        <v>-20334219</v>
      </c>
      <c r="S73" s="29">
        <f t="shared" si="10"/>
        <v>-5805011</v>
      </c>
      <c r="T73" s="23">
        <f t="shared" si="11"/>
        <v>-4459243</v>
      </c>
      <c r="U73" s="23">
        <f t="shared" si="12"/>
        <v>-5056200</v>
      </c>
      <c r="V73" s="30">
        <f t="shared" si="13"/>
        <v>-5013765</v>
      </c>
    </row>
    <row r="74" spans="1:22" x14ac:dyDescent="0.25">
      <c r="A74" s="37" t="str">
        <f t="shared" si="7"/>
        <v>2020 Sales</v>
      </c>
      <c r="B74" s="14" t="s">
        <v>15</v>
      </c>
      <c r="C74" s="132" t="str">
        <f t="shared" si="8"/>
        <v>2020 Actuals Sales</v>
      </c>
      <c r="D74" s="18">
        <v>2020</v>
      </c>
      <c r="E74" s="18" t="s">
        <v>16</v>
      </c>
      <c r="F74" s="8">
        <v>71093649</v>
      </c>
      <c r="G74" s="8">
        <v>69761443</v>
      </c>
      <c r="H74" s="8">
        <v>67749499</v>
      </c>
      <c r="I74" s="8">
        <v>83659411</v>
      </c>
      <c r="J74" s="8">
        <v>50706283</v>
      </c>
      <c r="K74" s="8">
        <v>74230386</v>
      </c>
      <c r="L74" s="8">
        <v>51880363</v>
      </c>
      <c r="M74" s="8">
        <v>58898540</v>
      </c>
      <c r="N74" s="8">
        <v>56982904</v>
      </c>
      <c r="O74" s="8">
        <v>67960764</v>
      </c>
      <c r="P74" s="8">
        <v>58782343</v>
      </c>
      <c r="Q74" s="9">
        <v>65096491</v>
      </c>
      <c r="R74" s="29">
        <f t="shared" si="9"/>
        <v>776802076</v>
      </c>
      <c r="S74" s="29">
        <f t="shared" si="10"/>
        <v>208604591</v>
      </c>
      <c r="T74" s="23">
        <f t="shared" si="11"/>
        <v>208596080</v>
      </c>
      <c r="U74" s="23">
        <f t="shared" si="12"/>
        <v>167761807</v>
      </c>
      <c r="V74" s="30">
        <f t="shared" si="13"/>
        <v>191839598</v>
      </c>
    </row>
    <row r="75" spans="1:22" x14ac:dyDescent="0.25">
      <c r="A75" s="37" t="str">
        <f t="shared" si="7"/>
        <v>2020 COGS</v>
      </c>
      <c r="B75" s="7" t="s">
        <v>34</v>
      </c>
      <c r="C75" s="37" t="str">
        <f t="shared" si="8"/>
        <v>2020 Actuals COGS</v>
      </c>
      <c r="D75" s="18">
        <v>2020</v>
      </c>
      <c r="E75" s="18" t="s">
        <v>16</v>
      </c>
      <c r="F75" s="8">
        <v>-34103526</v>
      </c>
      <c r="G75" s="8">
        <v>-30206863</v>
      </c>
      <c r="H75" s="8">
        <v>-27470575</v>
      </c>
      <c r="I75" s="8">
        <v>-34682066</v>
      </c>
      <c r="J75" s="8">
        <v>-21826243</v>
      </c>
      <c r="K75" s="8">
        <v>-32436605</v>
      </c>
      <c r="L75" s="8">
        <v>-23222375</v>
      </c>
      <c r="M75" s="8">
        <v>-28728685</v>
      </c>
      <c r="N75" s="8">
        <v>-23629340</v>
      </c>
      <c r="O75" s="8">
        <v>-28163573</v>
      </c>
      <c r="P75" s="8">
        <v>-24647818</v>
      </c>
      <c r="Q75" s="9">
        <v>-28092094</v>
      </c>
      <c r="R75" s="29">
        <f t="shared" si="9"/>
        <v>-337209763</v>
      </c>
      <c r="S75" s="29">
        <f t="shared" si="10"/>
        <v>-91780964</v>
      </c>
      <c r="T75" s="23">
        <f t="shared" si="11"/>
        <v>-88944914</v>
      </c>
      <c r="U75" s="23">
        <f t="shared" si="12"/>
        <v>-75580400</v>
      </c>
      <c r="V75" s="30">
        <f t="shared" si="13"/>
        <v>-80903485</v>
      </c>
    </row>
    <row r="76" spans="1:22" x14ac:dyDescent="0.25">
      <c r="A76" s="37" t="str">
        <f t="shared" si="7"/>
        <v>2020 Commissions Expense</v>
      </c>
      <c r="B76" s="7" t="s">
        <v>17</v>
      </c>
      <c r="C76" s="37" t="str">
        <f t="shared" si="8"/>
        <v>2020 Actuals Commissions Expense</v>
      </c>
      <c r="D76" s="18">
        <v>2020</v>
      </c>
      <c r="E76" s="18" t="s">
        <v>16</v>
      </c>
      <c r="F76" s="8">
        <v>-3016900</v>
      </c>
      <c r="G76" s="8">
        <v>-2897074</v>
      </c>
      <c r="H76" s="8">
        <v>-2761210</v>
      </c>
      <c r="I76" s="8">
        <v>-3560904</v>
      </c>
      <c r="J76" s="8">
        <v>-2517220</v>
      </c>
      <c r="K76" s="8">
        <v>-3437933</v>
      </c>
      <c r="L76" s="8">
        <v>-2249876</v>
      </c>
      <c r="M76" s="8">
        <v>-2890523</v>
      </c>
      <c r="N76" s="8">
        <v>-2817192</v>
      </c>
      <c r="O76" s="8">
        <v>-3178807</v>
      </c>
      <c r="P76" s="8">
        <v>-2858642</v>
      </c>
      <c r="Q76" s="9">
        <v>-2855070</v>
      </c>
      <c r="R76" s="29">
        <f t="shared" si="9"/>
        <v>-35041351</v>
      </c>
      <c r="S76" s="29">
        <f t="shared" si="10"/>
        <v>-8675184</v>
      </c>
      <c r="T76" s="23">
        <f t="shared" si="11"/>
        <v>-9516057</v>
      </c>
      <c r="U76" s="23">
        <f t="shared" si="12"/>
        <v>-7957591</v>
      </c>
      <c r="V76" s="30">
        <f t="shared" si="13"/>
        <v>-8892519</v>
      </c>
    </row>
    <row r="77" spans="1:22" x14ac:dyDescent="0.25">
      <c r="A77" s="37" t="str">
        <f t="shared" si="7"/>
        <v>2020 Payroll Expense</v>
      </c>
      <c r="B77" s="7" t="s">
        <v>18</v>
      </c>
      <c r="C77" s="37" t="str">
        <f t="shared" si="8"/>
        <v>2020 Actuals Payroll Expense</v>
      </c>
      <c r="D77" s="18">
        <v>2020</v>
      </c>
      <c r="E77" s="18" t="s">
        <v>16</v>
      </c>
      <c r="F77" s="8">
        <v>-8603051</v>
      </c>
      <c r="G77" s="8">
        <v>-8541760</v>
      </c>
      <c r="H77" s="8">
        <v>-7322344</v>
      </c>
      <c r="I77" s="8">
        <v>-9801852</v>
      </c>
      <c r="J77" s="8">
        <v>-5175406</v>
      </c>
      <c r="K77" s="8">
        <v>-9241021</v>
      </c>
      <c r="L77" s="8">
        <v>-5986060</v>
      </c>
      <c r="M77" s="8">
        <v>-6079566</v>
      </c>
      <c r="N77" s="8">
        <v>-5882738</v>
      </c>
      <c r="O77" s="8">
        <v>-8279558</v>
      </c>
      <c r="P77" s="8">
        <v>-7285772</v>
      </c>
      <c r="Q77" s="9">
        <v>-6906703</v>
      </c>
      <c r="R77" s="29">
        <f t="shared" si="9"/>
        <v>-89105831</v>
      </c>
      <c r="S77" s="29">
        <f t="shared" si="10"/>
        <v>-24467155</v>
      </c>
      <c r="T77" s="23">
        <f t="shared" si="11"/>
        <v>-24218279</v>
      </c>
      <c r="U77" s="23">
        <f t="shared" si="12"/>
        <v>-17948364</v>
      </c>
      <c r="V77" s="30">
        <f t="shared" si="13"/>
        <v>-22472033</v>
      </c>
    </row>
    <row r="78" spans="1:22" x14ac:dyDescent="0.25">
      <c r="A78" s="37" t="str">
        <f t="shared" si="7"/>
        <v>2020 Travel &amp; Entertainment Expense</v>
      </c>
      <c r="B78" s="7" t="s">
        <v>19</v>
      </c>
      <c r="C78" s="37" t="str">
        <f t="shared" si="8"/>
        <v>2020 Actuals Travel &amp; Entertainment Expense</v>
      </c>
      <c r="D78" s="18">
        <v>2020</v>
      </c>
      <c r="E78" s="18" t="s">
        <v>16</v>
      </c>
      <c r="F78" s="8">
        <v>-796316</v>
      </c>
      <c r="G78" s="8">
        <v>-740890</v>
      </c>
      <c r="H78" s="8">
        <v>-771325</v>
      </c>
      <c r="I78" s="8">
        <v>-1023766</v>
      </c>
      <c r="J78" s="8">
        <v>-537167</v>
      </c>
      <c r="K78" s="8">
        <v>-840678</v>
      </c>
      <c r="L78" s="8">
        <v>-627016</v>
      </c>
      <c r="M78" s="8">
        <v>-672096</v>
      </c>
      <c r="N78" s="8">
        <v>-687082</v>
      </c>
      <c r="O78" s="8">
        <v>-827969</v>
      </c>
      <c r="P78" s="8">
        <v>-652417</v>
      </c>
      <c r="Q78" s="9">
        <v>-684807</v>
      </c>
      <c r="R78" s="29">
        <f t="shared" si="9"/>
        <v>-8861529</v>
      </c>
      <c r="S78" s="29">
        <f t="shared" si="10"/>
        <v>-2308531</v>
      </c>
      <c r="T78" s="23">
        <f t="shared" si="11"/>
        <v>-2401611</v>
      </c>
      <c r="U78" s="23">
        <f t="shared" si="12"/>
        <v>-1986194</v>
      </c>
      <c r="V78" s="30">
        <f t="shared" si="13"/>
        <v>-2165193</v>
      </c>
    </row>
    <row r="79" spans="1:22" x14ac:dyDescent="0.25">
      <c r="A79" s="37" t="str">
        <f t="shared" si="7"/>
        <v>2020 R&amp;D Expense</v>
      </c>
      <c r="B79" s="7" t="s">
        <v>20</v>
      </c>
      <c r="C79" s="37" t="str">
        <f t="shared" si="8"/>
        <v>2020 Actuals R&amp;D Expense</v>
      </c>
      <c r="D79" s="18">
        <v>2020</v>
      </c>
      <c r="E79" s="18" t="s">
        <v>16</v>
      </c>
      <c r="F79" s="8">
        <v>-3002990</v>
      </c>
      <c r="G79" s="8">
        <v>-3340409</v>
      </c>
      <c r="H79" s="8">
        <v>-3004524</v>
      </c>
      <c r="I79" s="8">
        <v>-3551194</v>
      </c>
      <c r="J79" s="8">
        <v>-2323218</v>
      </c>
      <c r="K79" s="8">
        <v>-3371500</v>
      </c>
      <c r="L79" s="8">
        <v>-2449904</v>
      </c>
      <c r="M79" s="8">
        <v>-2845127</v>
      </c>
      <c r="N79" s="8">
        <v>-2572883</v>
      </c>
      <c r="O79" s="8">
        <v>-3307355</v>
      </c>
      <c r="P79" s="8">
        <v>-2605638</v>
      </c>
      <c r="Q79" s="9">
        <v>-2647248</v>
      </c>
      <c r="R79" s="29">
        <f t="shared" si="9"/>
        <v>-35021990</v>
      </c>
      <c r="S79" s="29">
        <f t="shared" si="10"/>
        <v>-9347923</v>
      </c>
      <c r="T79" s="23">
        <f t="shared" si="11"/>
        <v>-9245912</v>
      </c>
      <c r="U79" s="23">
        <f t="shared" si="12"/>
        <v>-7867914</v>
      </c>
      <c r="V79" s="30">
        <f t="shared" si="13"/>
        <v>-8560241</v>
      </c>
    </row>
    <row r="80" spans="1:22" x14ac:dyDescent="0.25">
      <c r="A80" s="37" t="str">
        <f t="shared" si="7"/>
        <v>2020 Consulting Expense</v>
      </c>
      <c r="B80" s="7" t="s">
        <v>21</v>
      </c>
      <c r="C80" s="37" t="str">
        <f t="shared" si="8"/>
        <v>2020 Actuals Consulting Expense</v>
      </c>
      <c r="D80" s="18">
        <v>2020</v>
      </c>
      <c r="E80" s="18" t="s">
        <v>16</v>
      </c>
      <c r="F80" s="8">
        <v>-4083940</v>
      </c>
      <c r="G80" s="8">
        <v>-4181857</v>
      </c>
      <c r="H80" s="8">
        <v>-4200785</v>
      </c>
      <c r="I80" s="8">
        <v>-4354377</v>
      </c>
      <c r="J80" s="8">
        <v>-2601329</v>
      </c>
      <c r="K80" s="8">
        <v>-4369202</v>
      </c>
      <c r="L80" s="8">
        <v>-2990522</v>
      </c>
      <c r="M80" s="8">
        <v>-3089502</v>
      </c>
      <c r="N80" s="8">
        <v>-3010004</v>
      </c>
      <c r="O80" s="8">
        <v>-3493197</v>
      </c>
      <c r="P80" s="8">
        <v>-3343278</v>
      </c>
      <c r="Q80" s="9">
        <v>-3550075</v>
      </c>
      <c r="R80" s="29">
        <f t="shared" si="9"/>
        <v>-43268068</v>
      </c>
      <c r="S80" s="29">
        <f t="shared" si="10"/>
        <v>-12466582</v>
      </c>
      <c r="T80" s="23">
        <f t="shared" si="11"/>
        <v>-11324908</v>
      </c>
      <c r="U80" s="23">
        <f t="shared" si="12"/>
        <v>-9090028</v>
      </c>
      <c r="V80" s="30">
        <f t="shared" si="13"/>
        <v>-10386550</v>
      </c>
    </row>
    <row r="81" spans="1:22" x14ac:dyDescent="0.25">
      <c r="A81" s="37" t="str">
        <f t="shared" si="7"/>
        <v>2020 Software/Hardware Expense</v>
      </c>
      <c r="B81" s="7" t="s">
        <v>22</v>
      </c>
      <c r="C81" s="37" t="str">
        <f t="shared" si="8"/>
        <v>2020 Actuals Software/Hardware Expense</v>
      </c>
      <c r="D81" s="18">
        <v>2020</v>
      </c>
      <c r="E81" s="18" t="s">
        <v>16</v>
      </c>
      <c r="F81" s="8">
        <v>-5003748</v>
      </c>
      <c r="G81" s="8">
        <v>-5633221</v>
      </c>
      <c r="H81" s="8">
        <v>-5888134</v>
      </c>
      <c r="I81" s="8">
        <v>-6870676</v>
      </c>
      <c r="J81" s="8">
        <v>-4221289</v>
      </c>
      <c r="K81" s="8">
        <v>-5755164</v>
      </c>
      <c r="L81" s="8">
        <v>-4216369</v>
      </c>
      <c r="M81" s="8">
        <v>-4657751</v>
      </c>
      <c r="N81" s="8">
        <v>-4782116</v>
      </c>
      <c r="O81" s="8">
        <v>-5305882</v>
      </c>
      <c r="P81" s="8">
        <v>-4508253</v>
      </c>
      <c r="Q81" s="9">
        <v>-4768388</v>
      </c>
      <c r="R81" s="29">
        <f t="shared" si="9"/>
        <v>-61610991</v>
      </c>
      <c r="S81" s="29">
        <f t="shared" si="10"/>
        <v>-16525103</v>
      </c>
      <c r="T81" s="23">
        <f t="shared" si="11"/>
        <v>-16847129</v>
      </c>
      <c r="U81" s="23">
        <f t="shared" si="12"/>
        <v>-13656236</v>
      </c>
      <c r="V81" s="30">
        <f t="shared" si="13"/>
        <v>-14582523</v>
      </c>
    </row>
    <row r="82" spans="1:22" x14ac:dyDescent="0.25">
      <c r="A82" s="37" t="str">
        <f t="shared" si="7"/>
        <v>2020 Marketing Expense</v>
      </c>
      <c r="B82" s="7" t="s">
        <v>23</v>
      </c>
      <c r="C82" s="37" t="str">
        <f t="shared" si="8"/>
        <v>2020 Actuals Marketing Expense</v>
      </c>
      <c r="D82" s="18">
        <v>2020</v>
      </c>
      <c r="E82" s="18" t="s">
        <v>16</v>
      </c>
      <c r="F82" s="8">
        <v>-1468157</v>
      </c>
      <c r="G82" s="8">
        <v>-1469241</v>
      </c>
      <c r="H82" s="8">
        <v>-1405114</v>
      </c>
      <c r="I82" s="8">
        <v>-1822159</v>
      </c>
      <c r="J82" s="8">
        <v>-1017235</v>
      </c>
      <c r="K82" s="8">
        <v>-1738189</v>
      </c>
      <c r="L82" s="8">
        <v>-1064356</v>
      </c>
      <c r="M82" s="8">
        <v>-1323706</v>
      </c>
      <c r="N82" s="8">
        <v>-1303816</v>
      </c>
      <c r="O82" s="8">
        <v>-1536288</v>
      </c>
      <c r="P82" s="8">
        <v>-1447553</v>
      </c>
      <c r="Q82" s="9">
        <v>-1519478</v>
      </c>
      <c r="R82" s="29">
        <f t="shared" si="9"/>
        <v>-17115292</v>
      </c>
      <c r="S82" s="29">
        <f t="shared" si="10"/>
        <v>-4342512</v>
      </c>
      <c r="T82" s="23">
        <f t="shared" si="11"/>
        <v>-4577583</v>
      </c>
      <c r="U82" s="23">
        <f t="shared" si="12"/>
        <v>-3691878</v>
      </c>
      <c r="V82" s="30">
        <f t="shared" si="13"/>
        <v>-4503319</v>
      </c>
    </row>
    <row r="83" spans="1:22" x14ac:dyDescent="0.25">
      <c r="A83" s="37" t="str">
        <f t="shared" si="7"/>
        <v>2021 Sales</v>
      </c>
      <c r="B83" s="14" t="s">
        <v>15</v>
      </c>
      <c r="C83" s="132" t="str">
        <f t="shared" si="8"/>
        <v>2021 Actuals Sales</v>
      </c>
      <c r="D83" s="18">
        <v>2021</v>
      </c>
      <c r="E83" s="18" t="s">
        <v>16</v>
      </c>
      <c r="F83" s="8">
        <v>59639063</v>
      </c>
      <c r="G83" s="8">
        <v>63214286</v>
      </c>
      <c r="H83" s="8">
        <v>68906761</v>
      </c>
      <c r="I83" s="8">
        <v>89830559</v>
      </c>
      <c r="J83" s="8">
        <v>68972328</v>
      </c>
      <c r="K83" s="8">
        <v>59933044</v>
      </c>
      <c r="L83" s="8">
        <v>72743937</v>
      </c>
      <c r="M83" s="8">
        <v>88182249</v>
      </c>
      <c r="N83" s="8">
        <v>78099559</v>
      </c>
      <c r="O83" s="8">
        <v>53303092</v>
      </c>
      <c r="P83" s="8">
        <v>86545338</v>
      </c>
      <c r="Q83" s="9">
        <v>71448927</v>
      </c>
      <c r="R83" s="29">
        <f t="shared" si="9"/>
        <v>860819143</v>
      </c>
      <c r="S83" s="29">
        <f t="shared" si="10"/>
        <v>191760110</v>
      </c>
      <c r="T83" s="23">
        <f t="shared" si="11"/>
        <v>218735931</v>
      </c>
      <c r="U83" s="23">
        <f t="shared" si="12"/>
        <v>239025745</v>
      </c>
      <c r="V83" s="30">
        <f t="shared" si="13"/>
        <v>211297357</v>
      </c>
    </row>
    <row r="84" spans="1:22" x14ac:dyDescent="0.25">
      <c r="A84" s="37" t="str">
        <f t="shared" si="7"/>
        <v>2021 COGS</v>
      </c>
      <c r="B84" s="7" t="s">
        <v>34</v>
      </c>
      <c r="C84" s="37" t="str">
        <f t="shared" si="8"/>
        <v>2021 Actuals COGS</v>
      </c>
      <c r="D84" s="18">
        <v>2021</v>
      </c>
      <c r="E84" s="18" t="s">
        <v>16</v>
      </c>
      <c r="F84" s="8">
        <v>-23973231</v>
      </c>
      <c r="G84" s="8">
        <v>-30015539</v>
      </c>
      <c r="H84" s="8">
        <v>-31134647</v>
      </c>
      <c r="I84" s="8">
        <v>-40970359</v>
      </c>
      <c r="J84" s="8">
        <v>-30502322</v>
      </c>
      <c r="K84" s="8">
        <v>-27410189</v>
      </c>
      <c r="L84" s="8">
        <v>-31991409</v>
      </c>
      <c r="M84" s="8">
        <v>-42313803</v>
      </c>
      <c r="N84" s="8">
        <v>-36050532</v>
      </c>
      <c r="O84" s="8">
        <v>-22452316</v>
      </c>
      <c r="P84" s="8">
        <v>-37931056</v>
      </c>
      <c r="Q84" s="9">
        <v>-34824020</v>
      </c>
      <c r="R84" s="29">
        <f t="shared" si="9"/>
        <v>-389569423</v>
      </c>
      <c r="S84" s="29">
        <f t="shared" si="10"/>
        <v>-85123417</v>
      </c>
      <c r="T84" s="23">
        <f t="shared" si="11"/>
        <v>-98882870</v>
      </c>
      <c r="U84" s="23">
        <f t="shared" si="12"/>
        <v>-110355744</v>
      </c>
      <c r="V84" s="30">
        <f t="shared" si="13"/>
        <v>-95207392</v>
      </c>
    </row>
    <row r="85" spans="1:22" x14ac:dyDescent="0.25">
      <c r="A85" s="37" t="str">
        <f t="shared" si="7"/>
        <v>2021 Commissions Expense</v>
      </c>
      <c r="B85" s="7" t="s">
        <v>17</v>
      </c>
      <c r="C85" s="37" t="str">
        <f t="shared" si="8"/>
        <v>2021 Actuals Commissions Expense</v>
      </c>
      <c r="D85" s="18">
        <v>2021</v>
      </c>
      <c r="E85" s="18" t="s">
        <v>16</v>
      </c>
      <c r="F85" s="8">
        <v>-2750475</v>
      </c>
      <c r="G85" s="8">
        <v>-2995013</v>
      </c>
      <c r="H85" s="8">
        <v>-3278513</v>
      </c>
      <c r="I85" s="8">
        <v>-4096853</v>
      </c>
      <c r="J85" s="8">
        <v>-3074312</v>
      </c>
      <c r="K85" s="8">
        <v>-2633099</v>
      </c>
      <c r="L85" s="8">
        <v>-3191085</v>
      </c>
      <c r="M85" s="8">
        <v>-3613606</v>
      </c>
      <c r="N85" s="8">
        <v>-3551148</v>
      </c>
      <c r="O85" s="8">
        <v>-2501128</v>
      </c>
      <c r="P85" s="8">
        <v>-4117957</v>
      </c>
      <c r="Q85" s="9">
        <v>-2909146</v>
      </c>
      <c r="R85" s="29">
        <f t="shared" si="9"/>
        <v>-38712335</v>
      </c>
      <c r="S85" s="29">
        <f t="shared" si="10"/>
        <v>-9024001</v>
      </c>
      <c r="T85" s="23">
        <f t="shared" si="11"/>
        <v>-9804264</v>
      </c>
      <c r="U85" s="23">
        <f t="shared" si="12"/>
        <v>-10355839</v>
      </c>
      <c r="V85" s="30">
        <f t="shared" si="13"/>
        <v>-9528231</v>
      </c>
    </row>
    <row r="86" spans="1:22" x14ac:dyDescent="0.25">
      <c r="A86" s="37" t="str">
        <f t="shared" si="7"/>
        <v>2021 Payroll Expense</v>
      </c>
      <c r="B86" s="7" t="s">
        <v>18</v>
      </c>
      <c r="C86" s="37" t="str">
        <f t="shared" si="8"/>
        <v>2021 Actuals Payroll Expense</v>
      </c>
      <c r="D86" s="18">
        <v>2021</v>
      </c>
      <c r="E86" s="18" t="s">
        <v>16</v>
      </c>
      <c r="F86" s="8">
        <v>-6051302</v>
      </c>
      <c r="G86" s="8">
        <v>-6651645</v>
      </c>
      <c r="H86" s="8">
        <v>-8229415</v>
      </c>
      <c r="I86" s="8">
        <v>-9866087</v>
      </c>
      <c r="J86" s="8">
        <v>-7274833</v>
      </c>
      <c r="K86" s="8">
        <v>-7190572</v>
      </c>
      <c r="L86" s="8">
        <v>-8102482</v>
      </c>
      <c r="M86" s="8">
        <v>-10459385</v>
      </c>
      <c r="N86" s="8">
        <v>-8592628</v>
      </c>
      <c r="O86" s="8">
        <v>-6623440</v>
      </c>
      <c r="P86" s="8">
        <v>-9176467</v>
      </c>
      <c r="Q86" s="9">
        <v>-8483908</v>
      </c>
      <c r="R86" s="29">
        <f t="shared" si="9"/>
        <v>-96702164</v>
      </c>
      <c r="S86" s="29">
        <f t="shared" si="10"/>
        <v>-20932362</v>
      </c>
      <c r="T86" s="23">
        <f t="shared" si="11"/>
        <v>-24331492</v>
      </c>
      <c r="U86" s="23">
        <f t="shared" si="12"/>
        <v>-27154495</v>
      </c>
      <c r="V86" s="30">
        <f t="shared" si="13"/>
        <v>-24283815</v>
      </c>
    </row>
    <row r="87" spans="1:22" x14ac:dyDescent="0.25">
      <c r="A87" s="37" t="str">
        <f t="shared" si="7"/>
        <v>2021 Travel &amp; Entertainment Expense</v>
      </c>
      <c r="B87" s="7" t="s">
        <v>19</v>
      </c>
      <c r="C87" s="37" t="str">
        <f t="shared" si="8"/>
        <v>2021 Actuals Travel &amp; Entertainment Expense</v>
      </c>
      <c r="D87" s="18">
        <v>2021</v>
      </c>
      <c r="E87" s="18" t="s">
        <v>16</v>
      </c>
      <c r="F87" s="8">
        <v>-717745</v>
      </c>
      <c r="G87" s="8">
        <v>-784976</v>
      </c>
      <c r="H87" s="8">
        <v>-740504</v>
      </c>
      <c r="I87" s="8">
        <v>-1034005</v>
      </c>
      <c r="J87" s="8">
        <v>-808709</v>
      </c>
      <c r="K87" s="8">
        <v>-686323</v>
      </c>
      <c r="L87" s="8">
        <v>-731485</v>
      </c>
      <c r="M87" s="8">
        <v>-990377</v>
      </c>
      <c r="N87" s="8">
        <v>-910664</v>
      </c>
      <c r="O87" s="8">
        <v>-637021</v>
      </c>
      <c r="P87" s="8">
        <v>-1007342</v>
      </c>
      <c r="Q87" s="9">
        <v>-861790</v>
      </c>
      <c r="R87" s="29">
        <f t="shared" si="9"/>
        <v>-9910941</v>
      </c>
      <c r="S87" s="29">
        <f t="shared" si="10"/>
        <v>-2243225</v>
      </c>
      <c r="T87" s="23">
        <f t="shared" si="11"/>
        <v>-2529037</v>
      </c>
      <c r="U87" s="23">
        <f t="shared" si="12"/>
        <v>-2632526</v>
      </c>
      <c r="V87" s="30">
        <f t="shared" si="13"/>
        <v>-2506153</v>
      </c>
    </row>
    <row r="88" spans="1:22" x14ac:dyDescent="0.25">
      <c r="A88" s="37" t="str">
        <f t="shared" si="7"/>
        <v>2021 R&amp;D Expense</v>
      </c>
      <c r="B88" s="7" t="s">
        <v>20</v>
      </c>
      <c r="C88" s="37" t="str">
        <f t="shared" si="8"/>
        <v>2021 Actuals R&amp;D Expense</v>
      </c>
      <c r="D88" s="18">
        <v>2021</v>
      </c>
      <c r="E88" s="18" t="s">
        <v>16</v>
      </c>
      <c r="F88" s="8">
        <v>-2960261</v>
      </c>
      <c r="G88" s="8">
        <v>-2719473</v>
      </c>
      <c r="H88" s="8">
        <v>-2866789</v>
      </c>
      <c r="I88" s="8">
        <v>-4414681</v>
      </c>
      <c r="J88" s="8">
        <v>-3351655</v>
      </c>
      <c r="K88" s="8">
        <v>-2840401</v>
      </c>
      <c r="L88" s="8">
        <v>-3326958</v>
      </c>
      <c r="M88" s="8">
        <v>-3812188</v>
      </c>
      <c r="N88" s="8">
        <v>-3316582</v>
      </c>
      <c r="O88" s="8">
        <v>-2454320</v>
      </c>
      <c r="P88" s="8">
        <v>-4133391</v>
      </c>
      <c r="Q88" s="9">
        <v>-3270907</v>
      </c>
      <c r="R88" s="29">
        <f t="shared" si="9"/>
        <v>-39467606</v>
      </c>
      <c r="S88" s="29">
        <f t="shared" si="10"/>
        <v>-8546523</v>
      </c>
      <c r="T88" s="23">
        <f t="shared" si="11"/>
        <v>-10606737</v>
      </c>
      <c r="U88" s="23">
        <f t="shared" si="12"/>
        <v>-10455728</v>
      </c>
      <c r="V88" s="30">
        <f t="shared" si="13"/>
        <v>-9858618</v>
      </c>
    </row>
    <row r="89" spans="1:22" x14ac:dyDescent="0.25">
      <c r="A89" s="37" t="str">
        <f t="shared" si="7"/>
        <v>2021 Consulting Expense</v>
      </c>
      <c r="B89" s="7" t="s">
        <v>21</v>
      </c>
      <c r="C89" s="37" t="str">
        <f t="shared" si="8"/>
        <v>2021 Actuals Consulting Expense</v>
      </c>
      <c r="D89" s="18">
        <v>2021</v>
      </c>
      <c r="E89" s="18" t="s">
        <v>16</v>
      </c>
      <c r="F89" s="8">
        <v>-3649541</v>
      </c>
      <c r="G89" s="8">
        <v>-3533553</v>
      </c>
      <c r="H89" s="8">
        <v>-3458216</v>
      </c>
      <c r="I89" s="8">
        <v>-5592271</v>
      </c>
      <c r="J89" s="8">
        <v>-4005701</v>
      </c>
      <c r="K89" s="8">
        <v>-3358984</v>
      </c>
      <c r="L89" s="8">
        <v>-3687848</v>
      </c>
      <c r="M89" s="8">
        <v>-4759089</v>
      </c>
      <c r="N89" s="8">
        <v>-3918876</v>
      </c>
      <c r="O89" s="8">
        <v>-2669925</v>
      </c>
      <c r="P89" s="8">
        <v>-4358844</v>
      </c>
      <c r="Q89" s="9">
        <v>-3840200</v>
      </c>
      <c r="R89" s="29">
        <f t="shared" si="9"/>
        <v>-46833048</v>
      </c>
      <c r="S89" s="29">
        <f t="shared" si="10"/>
        <v>-10641310</v>
      </c>
      <c r="T89" s="23">
        <f t="shared" si="11"/>
        <v>-12956956</v>
      </c>
      <c r="U89" s="23">
        <f t="shared" si="12"/>
        <v>-12365813</v>
      </c>
      <c r="V89" s="30">
        <f t="shared" si="13"/>
        <v>-10868969</v>
      </c>
    </row>
    <row r="90" spans="1:22" x14ac:dyDescent="0.25">
      <c r="A90" s="37" t="str">
        <f t="shared" si="7"/>
        <v>2021 Software/Hardware Expense</v>
      </c>
      <c r="B90" s="7" t="s">
        <v>22</v>
      </c>
      <c r="C90" s="37" t="str">
        <f t="shared" si="8"/>
        <v>2021 Actuals Software/Hardware Expense</v>
      </c>
      <c r="D90" s="18">
        <v>2021</v>
      </c>
      <c r="E90" s="18" t="s">
        <v>16</v>
      </c>
      <c r="F90" s="8">
        <v>-4957360</v>
      </c>
      <c r="G90" s="8">
        <v>-4832819</v>
      </c>
      <c r="H90" s="8">
        <v>-4998813</v>
      </c>
      <c r="I90" s="8">
        <v>-7119942</v>
      </c>
      <c r="J90" s="8">
        <v>-5290282</v>
      </c>
      <c r="K90" s="8">
        <v>-4874238</v>
      </c>
      <c r="L90" s="8">
        <v>-5408483</v>
      </c>
      <c r="M90" s="8">
        <v>-7479531</v>
      </c>
      <c r="N90" s="8">
        <v>-5546489</v>
      </c>
      <c r="O90" s="8">
        <v>-4167715</v>
      </c>
      <c r="P90" s="8">
        <v>-6192072</v>
      </c>
      <c r="Q90" s="9">
        <v>-5068422</v>
      </c>
      <c r="R90" s="29">
        <f t="shared" si="9"/>
        <v>-65936166</v>
      </c>
      <c r="S90" s="29">
        <f t="shared" si="10"/>
        <v>-14788992</v>
      </c>
      <c r="T90" s="23">
        <f t="shared" si="11"/>
        <v>-17284462</v>
      </c>
      <c r="U90" s="23">
        <f t="shared" si="12"/>
        <v>-18434503</v>
      </c>
      <c r="V90" s="30">
        <f t="shared" si="13"/>
        <v>-15428209</v>
      </c>
    </row>
    <row r="91" spans="1:22" x14ac:dyDescent="0.25">
      <c r="A91" s="37" t="str">
        <f t="shared" si="7"/>
        <v>2021 Marketing Expense</v>
      </c>
      <c r="B91" s="7" t="s">
        <v>23</v>
      </c>
      <c r="C91" s="37" t="str">
        <f t="shared" si="8"/>
        <v>2021 Actuals Marketing Expense</v>
      </c>
      <c r="D91" s="18">
        <v>2021</v>
      </c>
      <c r="E91" s="18" t="s">
        <v>16</v>
      </c>
      <c r="F91" s="8">
        <v>-1367303</v>
      </c>
      <c r="G91" s="8">
        <v>-1548216</v>
      </c>
      <c r="H91" s="8">
        <v>-1696682</v>
      </c>
      <c r="I91" s="8">
        <v>-1972953</v>
      </c>
      <c r="J91" s="8">
        <v>-1689063</v>
      </c>
      <c r="K91" s="8">
        <v>-1441599</v>
      </c>
      <c r="L91" s="8">
        <v>-1643564</v>
      </c>
      <c r="M91" s="8">
        <v>-1883983</v>
      </c>
      <c r="N91" s="8">
        <v>-1926635</v>
      </c>
      <c r="O91" s="8">
        <v>-1133926</v>
      </c>
      <c r="P91" s="8">
        <v>-1930167</v>
      </c>
      <c r="Q91" s="9">
        <v>-1647005</v>
      </c>
      <c r="R91" s="29">
        <f t="shared" si="9"/>
        <v>-19881096</v>
      </c>
      <c r="S91" s="29">
        <f t="shared" si="10"/>
        <v>-4612201</v>
      </c>
      <c r="T91" s="23">
        <f t="shared" si="11"/>
        <v>-5103615</v>
      </c>
      <c r="U91" s="23">
        <f t="shared" si="12"/>
        <v>-5454182</v>
      </c>
      <c r="V91" s="30">
        <f t="shared" si="13"/>
        <v>-4711098</v>
      </c>
    </row>
    <row r="92" spans="1:22" x14ac:dyDescent="0.25">
      <c r="A92" s="37" t="str">
        <f t="shared" si="7"/>
        <v>2022 Sales</v>
      </c>
      <c r="B92" s="14" t="s">
        <v>15</v>
      </c>
      <c r="C92" s="132" t="str">
        <f t="shared" si="8"/>
        <v>2022 Actuals Sales</v>
      </c>
      <c r="D92" s="18">
        <v>2022</v>
      </c>
      <c r="E92" s="18" t="s">
        <v>16</v>
      </c>
      <c r="F92" s="8">
        <v>78338286</v>
      </c>
      <c r="G92" s="8">
        <v>58034151</v>
      </c>
      <c r="H92" s="8">
        <v>75874351</v>
      </c>
      <c r="I92" s="8">
        <v>87725417</v>
      </c>
      <c r="J92" s="8">
        <v>84878696</v>
      </c>
      <c r="K92" s="8">
        <v>73990027</v>
      </c>
      <c r="L92" s="8">
        <v>95372852</v>
      </c>
      <c r="M92" s="8">
        <v>83104256</v>
      </c>
      <c r="N92" s="8">
        <v>52883151</v>
      </c>
      <c r="O92" s="8">
        <v>61528451</v>
      </c>
      <c r="P92" s="8">
        <v>91089451</v>
      </c>
      <c r="Q92" s="9">
        <v>87746916</v>
      </c>
      <c r="R92" s="29">
        <f t="shared" si="9"/>
        <v>930566005</v>
      </c>
      <c r="S92" s="29">
        <f t="shared" si="10"/>
        <v>212246788</v>
      </c>
      <c r="T92" s="23">
        <f t="shared" si="11"/>
        <v>246594140</v>
      </c>
      <c r="U92" s="23">
        <f t="shared" si="12"/>
        <v>231360259</v>
      </c>
      <c r="V92" s="30">
        <f t="shared" si="13"/>
        <v>240364818</v>
      </c>
    </row>
    <row r="93" spans="1:22" x14ac:dyDescent="0.25">
      <c r="A93" s="37" t="str">
        <f t="shared" si="7"/>
        <v>2022 COGS</v>
      </c>
      <c r="B93" s="7" t="s">
        <v>34</v>
      </c>
      <c r="C93" s="37" t="str">
        <f t="shared" si="8"/>
        <v>2022 Actuals COGS</v>
      </c>
      <c r="D93" s="18">
        <v>2022</v>
      </c>
      <c r="E93" s="18" t="s">
        <v>16</v>
      </c>
      <c r="F93" s="8">
        <v>-32377742</v>
      </c>
      <c r="G93" s="8">
        <v>-26379976</v>
      </c>
      <c r="H93" s="8">
        <v>-33823729</v>
      </c>
      <c r="I93" s="8">
        <v>-41186038</v>
      </c>
      <c r="J93" s="8">
        <v>-40605218</v>
      </c>
      <c r="K93" s="8">
        <v>-31555193</v>
      </c>
      <c r="L93" s="8">
        <v>-46768008</v>
      </c>
      <c r="M93" s="8">
        <v>-33951735</v>
      </c>
      <c r="N93" s="8">
        <v>-24520783</v>
      </c>
      <c r="O93" s="8">
        <v>-24743822</v>
      </c>
      <c r="P93" s="8">
        <v>-36760421</v>
      </c>
      <c r="Q93" s="9">
        <v>-43815665</v>
      </c>
      <c r="R93" s="29">
        <f t="shared" si="9"/>
        <v>-416488330</v>
      </c>
      <c r="S93" s="29">
        <f t="shared" si="10"/>
        <v>-92581447</v>
      </c>
      <c r="T93" s="23">
        <f t="shared" si="11"/>
        <v>-113346449</v>
      </c>
      <c r="U93" s="23">
        <f t="shared" si="12"/>
        <v>-105240526</v>
      </c>
      <c r="V93" s="30">
        <f t="shared" si="13"/>
        <v>-105319908</v>
      </c>
    </row>
    <row r="94" spans="1:22" x14ac:dyDescent="0.25">
      <c r="A94" s="37" t="str">
        <f t="shared" si="7"/>
        <v>2022 Commissions Expense</v>
      </c>
      <c r="B94" s="7" t="s">
        <v>17</v>
      </c>
      <c r="C94" s="37" t="str">
        <f t="shared" si="8"/>
        <v>2022 Actuals Commissions Expense</v>
      </c>
      <c r="D94" s="18">
        <v>2022</v>
      </c>
      <c r="E94" s="18" t="s">
        <v>16</v>
      </c>
      <c r="F94" s="8">
        <v>-3477740</v>
      </c>
      <c r="G94" s="8">
        <v>-2612821</v>
      </c>
      <c r="H94" s="8">
        <v>-3043000</v>
      </c>
      <c r="I94" s="8">
        <v>-4206639</v>
      </c>
      <c r="J94" s="8">
        <v>-3635596</v>
      </c>
      <c r="K94" s="8">
        <v>-3390988</v>
      </c>
      <c r="L94" s="8">
        <v>-4751711</v>
      </c>
      <c r="M94" s="8">
        <v>-3385162</v>
      </c>
      <c r="N94" s="8">
        <v>-2396080</v>
      </c>
      <c r="O94" s="8">
        <v>-2929053</v>
      </c>
      <c r="P94" s="8">
        <v>-4196677</v>
      </c>
      <c r="Q94" s="9">
        <v>-3591506</v>
      </c>
      <c r="R94" s="29">
        <f t="shared" si="9"/>
        <v>-41616973</v>
      </c>
      <c r="S94" s="29">
        <f t="shared" si="10"/>
        <v>-9133561</v>
      </c>
      <c r="T94" s="23">
        <f t="shared" si="11"/>
        <v>-11233223</v>
      </c>
      <c r="U94" s="23">
        <f t="shared" si="12"/>
        <v>-10532953</v>
      </c>
      <c r="V94" s="30">
        <f t="shared" si="13"/>
        <v>-10717236</v>
      </c>
    </row>
    <row r="95" spans="1:22" x14ac:dyDescent="0.25">
      <c r="A95" s="37" t="str">
        <f t="shared" si="7"/>
        <v>2022 Payroll Expense</v>
      </c>
      <c r="B95" s="7" t="s">
        <v>18</v>
      </c>
      <c r="C95" s="37" t="str">
        <f t="shared" si="8"/>
        <v>2022 Actuals Payroll Expense</v>
      </c>
      <c r="D95" s="18">
        <v>2022</v>
      </c>
      <c r="E95" s="18" t="s">
        <v>16</v>
      </c>
      <c r="F95" s="8">
        <v>-8777061</v>
      </c>
      <c r="G95" s="8">
        <v>-5956476</v>
      </c>
      <c r="H95" s="8">
        <v>-8788853</v>
      </c>
      <c r="I95" s="8">
        <v>-9995832</v>
      </c>
      <c r="J95" s="8">
        <v>-8550645</v>
      </c>
      <c r="K95" s="8">
        <v>-8956466</v>
      </c>
      <c r="L95" s="8">
        <v>-11183485</v>
      </c>
      <c r="M95" s="8">
        <v>-8871134</v>
      </c>
      <c r="N95" s="8">
        <v>-6351611</v>
      </c>
      <c r="O95" s="8">
        <v>-7670731</v>
      </c>
      <c r="P95" s="8">
        <v>-9827555</v>
      </c>
      <c r="Q95" s="9">
        <v>-9599585</v>
      </c>
      <c r="R95" s="29">
        <f t="shared" si="9"/>
        <v>-104529434</v>
      </c>
      <c r="S95" s="29">
        <f t="shared" si="10"/>
        <v>-23522390</v>
      </c>
      <c r="T95" s="23">
        <f t="shared" si="11"/>
        <v>-27502943</v>
      </c>
      <c r="U95" s="23">
        <f t="shared" si="12"/>
        <v>-26406230</v>
      </c>
      <c r="V95" s="30">
        <f t="shared" si="13"/>
        <v>-27097871</v>
      </c>
    </row>
    <row r="96" spans="1:22" x14ac:dyDescent="0.25">
      <c r="A96" s="37" t="str">
        <f t="shared" si="7"/>
        <v>2022 Travel &amp; Entertainment Expense</v>
      </c>
      <c r="B96" s="7" t="s">
        <v>19</v>
      </c>
      <c r="C96" s="37" t="str">
        <f t="shared" si="8"/>
        <v>2022 Actuals Travel &amp; Entertainment Expense</v>
      </c>
      <c r="D96" s="18">
        <v>2022</v>
      </c>
      <c r="E96" s="18" t="s">
        <v>16</v>
      </c>
      <c r="F96" s="8">
        <v>-851217</v>
      </c>
      <c r="G96" s="8">
        <v>-648182</v>
      </c>
      <c r="H96" s="8">
        <v>-827626</v>
      </c>
      <c r="I96" s="8">
        <v>-971146</v>
      </c>
      <c r="J96" s="8">
        <v>-1009775</v>
      </c>
      <c r="K96" s="8">
        <v>-865150</v>
      </c>
      <c r="L96" s="8">
        <v>-1184627</v>
      </c>
      <c r="M96" s="8">
        <v>-992651</v>
      </c>
      <c r="N96" s="8">
        <v>-601399</v>
      </c>
      <c r="O96" s="8">
        <v>-727376</v>
      </c>
      <c r="P96" s="8">
        <v>-1128223</v>
      </c>
      <c r="Q96" s="9">
        <v>-1000127</v>
      </c>
      <c r="R96" s="29">
        <f t="shared" si="9"/>
        <v>-10807499</v>
      </c>
      <c r="S96" s="29">
        <f t="shared" si="10"/>
        <v>-2327025</v>
      </c>
      <c r="T96" s="23">
        <f t="shared" si="11"/>
        <v>-2846071</v>
      </c>
      <c r="U96" s="23">
        <f t="shared" si="12"/>
        <v>-2778677</v>
      </c>
      <c r="V96" s="30">
        <f t="shared" si="13"/>
        <v>-2855726</v>
      </c>
    </row>
    <row r="97" spans="1:22" x14ac:dyDescent="0.25">
      <c r="A97" s="37" t="str">
        <f t="shared" si="7"/>
        <v>2022 R&amp;D Expense</v>
      </c>
      <c r="B97" s="7" t="s">
        <v>20</v>
      </c>
      <c r="C97" s="37" t="str">
        <f t="shared" si="8"/>
        <v>2022 Actuals R&amp;D Expense</v>
      </c>
      <c r="D97" s="18">
        <v>2022</v>
      </c>
      <c r="E97" s="18" t="s">
        <v>16</v>
      </c>
      <c r="F97" s="8">
        <v>-3158339</v>
      </c>
      <c r="G97" s="8">
        <v>-2728823</v>
      </c>
      <c r="H97" s="8">
        <v>-3421161</v>
      </c>
      <c r="I97" s="8">
        <v>-4332736</v>
      </c>
      <c r="J97" s="8">
        <v>-4162923</v>
      </c>
      <c r="K97" s="8">
        <v>-3139829</v>
      </c>
      <c r="L97" s="8">
        <v>-4315056</v>
      </c>
      <c r="M97" s="8">
        <v>-3425707</v>
      </c>
      <c r="N97" s="8">
        <v>-2305237</v>
      </c>
      <c r="O97" s="8">
        <v>-2579902</v>
      </c>
      <c r="P97" s="8">
        <v>-4086474</v>
      </c>
      <c r="Q97" s="9">
        <v>-4146068</v>
      </c>
      <c r="R97" s="29">
        <f t="shared" si="9"/>
        <v>-41802255</v>
      </c>
      <c r="S97" s="29">
        <f t="shared" si="10"/>
        <v>-9308323</v>
      </c>
      <c r="T97" s="23">
        <f t="shared" si="11"/>
        <v>-11635488</v>
      </c>
      <c r="U97" s="23">
        <f t="shared" si="12"/>
        <v>-10046000</v>
      </c>
      <c r="V97" s="30">
        <f t="shared" si="13"/>
        <v>-10812444</v>
      </c>
    </row>
    <row r="98" spans="1:22" x14ac:dyDescent="0.25">
      <c r="A98" s="37" t="str">
        <f t="shared" si="7"/>
        <v>2022 Consulting Expense</v>
      </c>
      <c r="B98" s="7" t="s">
        <v>21</v>
      </c>
      <c r="C98" s="37" t="str">
        <f t="shared" si="8"/>
        <v>2022 Actuals Consulting Expense</v>
      </c>
      <c r="D98" s="18">
        <v>2022</v>
      </c>
      <c r="E98" s="18" t="s">
        <v>16</v>
      </c>
      <c r="F98" s="8">
        <v>-4069215</v>
      </c>
      <c r="G98" s="8">
        <v>-3519759</v>
      </c>
      <c r="H98" s="8">
        <v>-4009533</v>
      </c>
      <c r="I98" s="8">
        <v>-4836632</v>
      </c>
      <c r="J98" s="8">
        <v>-5257809</v>
      </c>
      <c r="K98" s="8">
        <v>-4412376</v>
      </c>
      <c r="L98" s="8">
        <v>-4985773</v>
      </c>
      <c r="M98" s="8">
        <v>-4979583</v>
      </c>
      <c r="N98" s="8">
        <v>-2840712</v>
      </c>
      <c r="O98" s="8">
        <v>-3475369</v>
      </c>
      <c r="P98" s="8">
        <v>-4584362</v>
      </c>
      <c r="Q98" s="9">
        <v>-4474219</v>
      </c>
      <c r="R98" s="29">
        <f t="shared" si="9"/>
        <v>-51445342</v>
      </c>
      <c r="S98" s="29">
        <f t="shared" si="10"/>
        <v>-11598507</v>
      </c>
      <c r="T98" s="23">
        <f t="shared" si="11"/>
        <v>-14506817</v>
      </c>
      <c r="U98" s="23">
        <f t="shared" si="12"/>
        <v>-12806068</v>
      </c>
      <c r="V98" s="30">
        <f t="shared" si="13"/>
        <v>-12533950</v>
      </c>
    </row>
    <row r="99" spans="1:22" x14ac:dyDescent="0.25">
      <c r="A99" s="37" t="str">
        <f t="shared" si="7"/>
        <v>2022 Software/Hardware Expense</v>
      </c>
      <c r="B99" s="7" t="s">
        <v>22</v>
      </c>
      <c r="C99" s="37" t="str">
        <f t="shared" si="8"/>
        <v>2022 Actuals Software/Hardware Expense</v>
      </c>
      <c r="D99" s="18">
        <v>2022</v>
      </c>
      <c r="E99" s="18" t="s">
        <v>16</v>
      </c>
      <c r="F99" s="8">
        <v>-6585349</v>
      </c>
      <c r="G99" s="8">
        <v>-4759687</v>
      </c>
      <c r="H99" s="8">
        <v>-6493370</v>
      </c>
      <c r="I99" s="8">
        <v>-6546763</v>
      </c>
      <c r="J99" s="8">
        <v>-6734243</v>
      </c>
      <c r="K99" s="8">
        <v>-6212732</v>
      </c>
      <c r="L99" s="8">
        <v>-8195799</v>
      </c>
      <c r="M99" s="8">
        <v>-6417083</v>
      </c>
      <c r="N99" s="8">
        <v>-4176227</v>
      </c>
      <c r="O99" s="8">
        <v>-5193726</v>
      </c>
      <c r="P99" s="8">
        <v>-6901697</v>
      </c>
      <c r="Q99" s="9">
        <v>-7639360</v>
      </c>
      <c r="R99" s="29">
        <f t="shared" si="9"/>
        <v>-75856036</v>
      </c>
      <c r="S99" s="29">
        <f t="shared" si="10"/>
        <v>-17838406</v>
      </c>
      <c r="T99" s="23">
        <f t="shared" si="11"/>
        <v>-19493738</v>
      </c>
      <c r="U99" s="23">
        <f t="shared" si="12"/>
        <v>-18789109</v>
      </c>
      <c r="V99" s="30">
        <f t="shared" si="13"/>
        <v>-19734783</v>
      </c>
    </row>
    <row r="100" spans="1:22" x14ac:dyDescent="0.25">
      <c r="A100" s="37" t="str">
        <f t="shared" si="7"/>
        <v>2022 Marketing Expense</v>
      </c>
      <c r="B100" s="7" t="s">
        <v>23</v>
      </c>
      <c r="C100" s="37" t="str">
        <f t="shared" si="8"/>
        <v>2022 Actuals Marketing Expense</v>
      </c>
      <c r="D100" s="18">
        <v>2022</v>
      </c>
      <c r="E100" s="18" t="s">
        <v>16</v>
      </c>
      <c r="F100" s="8">
        <v>-1828234</v>
      </c>
      <c r="G100" s="8">
        <v>-1342350</v>
      </c>
      <c r="H100" s="8">
        <v>-1751692</v>
      </c>
      <c r="I100" s="8">
        <v>-2175232</v>
      </c>
      <c r="J100" s="8">
        <v>-1829981</v>
      </c>
      <c r="K100" s="8">
        <v>-1789035</v>
      </c>
      <c r="L100" s="8">
        <v>-1954312</v>
      </c>
      <c r="M100" s="8">
        <v>-2007974</v>
      </c>
      <c r="N100" s="8">
        <v>-1094268</v>
      </c>
      <c r="O100" s="8">
        <v>-1521032</v>
      </c>
      <c r="P100" s="8">
        <v>-1827984</v>
      </c>
      <c r="Q100" s="9">
        <v>-1900742</v>
      </c>
      <c r="R100" s="29">
        <f t="shared" si="9"/>
        <v>-21022836</v>
      </c>
      <c r="S100" s="29">
        <f t="shared" si="10"/>
        <v>-4922276</v>
      </c>
      <c r="T100" s="23">
        <f t="shared" si="11"/>
        <v>-5794248</v>
      </c>
      <c r="U100" s="23">
        <f t="shared" si="12"/>
        <v>-5056554</v>
      </c>
      <c r="V100" s="30">
        <f t="shared" si="13"/>
        <v>-5249758</v>
      </c>
    </row>
    <row r="101" spans="1:22" x14ac:dyDescent="0.25">
      <c r="A101" s="37" t="str">
        <f t="shared" si="7"/>
        <v>2023 Sales</v>
      </c>
      <c r="B101" s="14" t="s">
        <v>15</v>
      </c>
      <c r="C101" s="132" t="str">
        <f t="shared" si="8"/>
        <v>2023 Budget Sales</v>
      </c>
      <c r="D101" s="18">
        <v>2023</v>
      </c>
      <c r="E101" s="18" t="s">
        <v>24</v>
      </c>
      <c r="F101" s="8">
        <v>89862727</v>
      </c>
      <c r="G101" s="8">
        <v>99687807</v>
      </c>
      <c r="H101" s="8">
        <v>99378570</v>
      </c>
      <c r="I101" s="8">
        <v>55271910</v>
      </c>
      <c r="J101" s="8">
        <v>83758431</v>
      </c>
      <c r="K101" s="8">
        <v>51637163</v>
      </c>
      <c r="L101" s="8">
        <v>76348472</v>
      </c>
      <c r="M101" s="8">
        <v>66086281</v>
      </c>
      <c r="N101" s="8">
        <v>80081331</v>
      </c>
      <c r="O101" s="8">
        <v>83886832</v>
      </c>
      <c r="P101" s="8">
        <v>95750606</v>
      </c>
      <c r="Q101" s="9">
        <v>87036633</v>
      </c>
      <c r="R101" s="29">
        <f t="shared" si="9"/>
        <v>968786763</v>
      </c>
      <c r="S101" s="29">
        <f t="shared" si="10"/>
        <v>288929104</v>
      </c>
      <c r="T101" s="23">
        <f t="shared" si="11"/>
        <v>190667504</v>
      </c>
      <c r="U101" s="23">
        <f t="shared" si="12"/>
        <v>222516084</v>
      </c>
      <c r="V101" s="30">
        <f t="shared" si="13"/>
        <v>266674071</v>
      </c>
    </row>
    <row r="102" spans="1:22" x14ac:dyDescent="0.25">
      <c r="A102" s="37" t="str">
        <f t="shared" si="7"/>
        <v>2023 COGS</v>
      </c>
      <c r="B102" s="7" t="s">
        <v>34</v>
      </c>
      <c r="C102" s="37" t="str">
        <f t="shared" si="8"/>
        <v>2023 Budget COGS</v>
      </c>
      <c r="D102" s="18">
        <v>2023</v>
      </c>
      <c r="E102" s="18" t="s">
        <v>24</v>
      </c>
      <c r="F102" s="8">
        <v>-39040130</v>
      </c>
      <c r="G102" s="8">
        <v>-39921367</v>
      </c>
      <c r="H102" s="8">
        <v>-45671498</v>
      </c>
      <c r="I102" s="8">
        <v>-25801859</v>
      </c>
      <c r="J102" s="8">
        <v>-39706126</v>
      </c>
      <c r="K102" s="8">
        <v>-24992558</v>
      </c>
      <c r="L102" s="8">
        <v>-31073960</v>
      </c>
      <c r="M102" s="8">
        <v>-27470867</v>
      </c>
      <c r="N102" s="8">
        <v>-33718513</v>
      </c>
      <c r="O102" s="8">
        <v>-35019709</v>
      </c>
      <c r="P102" s="8">
        <v>-45131670</v>
      </c>
      <c r="Q102" s="9">
        <v>-36256184</v>
      </c>
      <c r="R102" s="29">
        <f t="shared" si="9"/>
        <v>-423804441</v>
      </c>
      <c r="S102" s="29">
        <f t="shared" si="10"/>
        <v>-124632995</v>
      </c>
      <c r="T102" s="23">
        <f t="shared" si="11"/>
        <v>-90500543</v>
      </c>
      <c r="U102" s="23">
        <f t="shared" si="12"/>
        <v>-92263340</v>
      </c>
      <c r="V102" s="30">
        <f t="shared" si="13"/>
        <v>-116407563</v>
      </c>
    </row>
    <row r="103" spans="1:22" x14ac:dyDescent="0.25">
      <c r="A103" s="37" t="str">
        <f t="shared" si="7"/>
        <v>2023 Commissions Expense</v>
      </c>
      <c r="B103" s="7" t="s">
        <v>17</v>
      </c>
      <c r="C103" s="37" t="str">
        <f t="shared" si="8"/>
        <v>2023 Budget Commissions Expense</v>
      </c>
      <c r="D103" s="18">
        <v>2023</v>
      </c>
      <c r="E103" s="18" t="s">
        <v>24</v>
      </c>
      <c r="F103" s="8">
        <v>-4014208</v>
      </c>
      <c r="G103" s="8">
        <v>-4730507</v>
      </c>
      <c r="H103" s="8">
        <v>-4051116</v>
      </c>
      <c r="I103" s="8">
        <v>-2388743</v>
      </c>
      <c r="J103" s="8">
        <v>-3788314</v>
      </c>
      <c r="K103" s="8">
        <v>-2165366</v>
      </c>
      <c r="L103" s="8">
        <v>-3369016</v>
      </c>
      <c r="M103" s="8">
        <v>-2871769</v>
      </c>
      <c r="N103" s="8">
        <v>-3799113</v>
      </c>
      <c r="O103" s="8">
        <v>-3974617</v>
      </c>
      <c r="P103" s="8">
        <v>-4757153</v>
      </c>
      <c r="Q103" s="9">
        <v>-3920259</v>
      </c>
      <c r="R103" s="29">
        <f t="shared" si="9"/>
        <v>-43830181</v>
      </c>
      <c r="S103" s="29">
        <f t="shared" si="10"/>
        <v>-12795831</v>
      </c>
      <c r="T103" s="23">
        <f t="shared" si="11"/>
        <v>-8342423</v>
      </c>
      <c r="U103" s="23">
        <f t="shared" si="12"/>
        <v>-10039898</v>
      </c>
      <c r="V103" s="30">
        <f t="shared" si="13"/>
        <v>-12652029</v>
      </c>
    </row>
    <row r="104" spans="1:22" x14ac:dyDescent="0.25">
      <c r="A104" s="37" t="str">
        <f t="shared" si="7"/>
        <v>2023 Payroll Expense</v>
      </c>
      <c r="B104" s="7" t="s">
        <v>18</v>
      </c>
      <c r="C104" s="37" t="str">
        <f t="shared" si="8"/>
        <v>2023 Budget Payroll Expense</v>
      </c>
      <c r="D104" s="18">
        <v>2023</v>
      </c>
      <c r="E104" s="18" t="s">
        <v>24</v>
      </c>
      <c r="F104" s="8">
        <v>-11164524</v>
      </c>
      <c r="G104" s="8">
        <v>-11563467</v>
      </c>
      <c r="H104" s="8">
        <v>-10590962</v>
      </c>
      <c r="I104" s="8">
        <v>-6628891</v>
      </c>
      <c r="J104" s="8">
        <v>-10201147</v>
      </c>
      <c r="K104" s="8">
        <v>-6336226</v>
      </c>
      <c r="L104" s="8">
        <v>-8308362</v>
      </c>
      <c r="M104" s="8">
        <v>-8049766</v>
      </c>
      <c r="N104" s="8">
        <v>-9552167</v>
      </c>
      <c r="O104" s="8">
        <v>-9069604</v>
      </c>
      <c r="P104" s="8">
        <v>-11039826</v>
      </c>
      <c r="Q104" s="9">
        <v>-9218680</v>
      </c>
      <c r="R104" s="29">
        <f t="shared" si="9"/>
        <v>-111723622</v>
      </c>
      <c r="S104" s="29">
        <f t="shared" si="10"/>
        <v>-33318953</v>
      </c>
      <c r="T104" s="23">
        <f t="shared" si="11"/>
        <v>-23166264</v>
      </c>
      <c r="U104" s="23">
        <f t="shared" si="12"/>
        <v>-25910295</v>
      </c>
      <c r="V104" s="30">
        <f t="shared" si="13"/>
        <v>-29328110</v>
      </c>
    </row>
    <row r="105" spans="1:22" x14ac:dyDescent="0.25">
      <c r="A105" s="37" t="str">
        <f t="shared" si="7"/>
        <v>2023 Travel &amp; Entertainment Expense</v>
      </c>
      <c r="B105" s="7" t="s">
        <v>19</v>
      </c>
      <c r="C105" s="37" t="str">
        <f t="shared" si="8"/>
        <v>2023 Budget Travel &amp; Entertainment Expense</v>
      </c>
      <c r="D105" s="18">
        <v>2023</v>
      </c>
      <c r="E105" s="18" t="s">
        <v>24</v>
      </c>
      <c r="F105" s="8">
        <v>-903966</v>
      </c>
      <c r="G105" s="8">
        <v>-1205019</v>
      </c>
      <c r="H105" s="8">
        <v>-1010356</v>
      </c>
      <c r="I105" s="8">
        <v>-636949</v>
      </c>
      <c r="J105" s="8">
        <v>-1015796</v>
      </c>
      <c r="K105" s="8">
        <v>-595479</v>
      </c>
      <c r="L105" s="8">
        <v>-766242</v>
      </c>
      <c r="M105" s="8">
        <v>-750665</v>
      </c>
      <c r="N105" s="8">
        <v>-951950</v>
      </c>
      <c r="O105" s="8">
        <v>-1022303</v>
      </c>
      <c r="P105" s="8">
        <v>-1058471</v>
      </c>
      <c r="Q105" s="9">
        <v>-1058724</v>
      </c>
      <c r="R105" s="29">
        <f t="shared" si="9"/>
        <v>-10975920</v>
      </c>
      <c r="S105" s="29">
        <f t="shared" si="10"/>
        <v>-3119341</v>
      </c>
      <c r="T105" s="23">
        <f t="shared" si="11"/>
        <v>-2248224</v>
      </c>
      <c r="U105" s="23">
        <f t="shared" si="12"/>
        <v>-2468857</v>
      </c>
      <c r="V105" s="30">
        <f t="shared" si="13"/>
        <v>-3139498</v>
      </c>
    </row>
    <row r="106" spans="1:22" x14ac:dyDescent="0.25">
      <c r="A106" s="37" t="str">
        <f t="shared" si="7"/>
        <v>2023 R&amp;D Expense</v>
      </c>
      <c r="B106" s="7" t="s">
        <v>20</v>
      </c>
      <c r="C106" s="37" t="str">
        <f t="shared" si="8"/>
        <v>2023 Budget R&amp;D Expense</v>
      </c>
      <c r="D106" s="18">
        <v>2023</v>
      </c>
      <c r="E106" s="18" t="s">
        <v>24</v>
      </c>
      <c r="F106" s="8">
        <v>-3929016</v>
      </c>
      <c r="G106" s="8">
        <v>-4147710</v>
      </c>
      <c r="H106" s="8">
        <v>-4445473</v>
      </c>
      <c r="I106" s="8">
        <v>-2698906</v>
      </c>
      <c r="J106" s="8">
        <v>-3896549</v>
      </c>
      <c r="K106" s="8">
        <v>-2130630</v>
      </c>
      <c r="L106" s="8">
        <v>-3614931</v>
      </c>
      <c r="M106" s="8">
        <v>-2980311</v>
      </c>
      <c r="N106" s="8">
        <v>-3888537</v>
      </c>
      <c r="O106" s="8">
        <v>-3741844</v>
      </c>
      <c r="P106" s="8">
        <v>-4366391</v>
      </c>
      <c r="Q106" s="9">
        <v>-3894310</v>
      </c>
      <c r="R106" s="29">
        <f t="shared" si="9"/>
        <v>-43734608</v>
      </c>
      <c r="S106" s="29">
        <f t="shared" si="10"/>
        <v>-12522199</v>
      </c>
      <c r="T106" s="23">
        <f t="shared" si="11"/>
        <v>-8726085</v>
      </c>
      <c r="U106" s="23">
        <f t="shared" si="12"/>
        <v>-10483779</v>
      </c>
      <c r="V106" s="30">
        <f t="shared" si="13"/>
        <v>-12002545</v>
      </c>
    </row>
    <row r="107" spans="1:22" x14ac:dyDescent="0.25">
      <c r="A107" s="37" t="str">
        <f t="shared" si="7"/>
        <v>2023 Consulting Expense</v>
      </c>
      <c r="B107" s="7" t="s">
        <v>21</v>
      </c>
      <c r="C107" s="37" t="str">
        <f t="shared" si="8"/>
        <v>2023 Budget Consulting Expense</v>
      </c>
      <c r="D107" s="18">
        <v>2023</v>
      </c>
      <c r="E107" s="18" t="s">
        <v>24</v>
      </c>
      <c r="F107" s="8">
        <v>-5487234</v>
      </c>
      <c r="G107" s="8">
        <v>-6089746</v>
      </c>
      <c r="H107" s="8">
        <v>-5750018</v>
      </c>
      <c r="I107" s="8">
        <v>-3304967</v>
      </c>
      <c r="J107" s="8">
        <v>-4958093</v>
      </c>
      <c r="K107" s="8">
        <v>-2792253</v>
      </c>
      <c r="L107" s="8">
        <v>-4640076</v>
      </c>
      <c r="M107" s="8">
        <v>-3464963</v>
      </c>
      <c r="N107" s="8">
        <v>-4767705</v>
      </c>
      <c r="O107" s="8">
        <v>-4724399</v>
      </c>
      <c r="P107" s="8">
        <v>-5050221</v>
      </c>
      <c r="Q107" s="9">
        <v>-4982632</v>
      </c>
      <c r="R107" s="29">
        <f t="shared" si="9"/>
        <v>-56012307</v>
      </c>
      <c r="S107" s="29">
        <f t="shared" si="10"/>
        <v>-17326998</v>
      </c>
      <c r="T107" s="23">
        <f t="shared" si="11"/>
        <v>-11055313</v>
      </c>
      <c r="U107" s="23">
        <f t="shared" si="12"/>
        <v>-12872744</v>
      </c>
      <c r="V107" s="30">
        <f t="shared" si="13"/>
        <v>-14757252</v>
      </c>
    </row>
    <row r="108" spans="1:22" x14ac:dyDescent="0.25">
      <c r="A108" s="37" t="str">
        <f t="shared" si="7"/>
        <v>2023 Software/Hardware Expense</v>
      </c>
      <c r="B108" s="7" t="s">
        <v>22</v>
      </c>
      <c r="C108" s="37" t="str">
        <f t="shared" si="8"/>
        <v>2023 Budget Software/Hardware Expense</v>
      </c>
      <c r="D108" s="18">
        <v>2023</v>
      </c>
      <c r="E108" s="18" t="s">
        <v>24</v>
      </c>
      <c r="F108" s="8">
        <v>-7158940</v>
      </c>
      <c r="G108" s="8">
        <v>-7286160</v>
      </c>
      <c r="H108" s="8">
        <v>-7691904</v>
      </c>
      <c r="I108" s="8">
        <v>-4033310</v>
      </c>
      <c r="J108" s="8">
        <v>-6604421</v>
      </c>
      <c r="K108" s="8">
        <v>-3616980</v>
      </c>
      <c r="L108" s="8">
        <v>-5679051</v>
      </c>
      <c r="M108" s="8">
        <v>-5089930</v>
      </c>
      <c r="N108" s="8">
        <v>-5618855</v>
      </c>
      <c r="O108" s="8">
        <v>-5999913</v>
      </c>
      <c r="P108" s="8">
        <v>-7841981</v>
      </c>
      <c r="Q108" s="9">
        <v>-6140271</v>
      </c>
      <c r="R108" s="29">
        <f t="shared" si="9"/>
        <v>-72761716</v>
      </c>
      <c r="S108" s="29">
        <f t="shared" si="10"/>
        <v>-22137004</v>
      </c>
      <c r="T108" s="23">
        <f t="shared" si="11"/>
        <v>-14254711</v>
      </c>
      <c r="U108" s="23">
        <f t="shared" si="12"/>
        <v>-16387836</v>
      </c>
      <c r="V108" s="30">
        <f t="shared" si="13"/>
        <v>-19982165</v>
      </c>
    </row>
    <row r="109" spans="1:22" x14ac:dyDescent="0.25">
      <c r="A109" s="37" t="str">
        <f t="shared" si="7"/>
        <v>2023 Marketing Expense</v>
      </c>
      <c r="B109" s="7" t="s">
        <v>23</v>
      </c>
      <c r="C109" s="37" t="str">
        <f t="shared" si="8"/>
        <v>2023 Budget Marketing Expense</v>
      </c>
      <c r="D109" s="18">
        <v>2023</v>
      </c>
      <c r="E109" s="18" t="s">
        <v>24</v>
      </c>
      <c r="F109" s="8">
        <v>-1991503</v>
      </c>
      <c r="G109" s="8">
        <v>-2443588</v>
      </c>
      <c r="H109" s="8">
        <v>-2092138</v>
      </c>
      <c r="I109" s="8">
        <v>-1127262</v>
      </c>
      <c r="J109" s="8">
        <v>-2079479</v>
      </c>
      <c r="K109" s="8">
        <v>-1036044</v>
      </c>
      <c r="L109" s="8">
        <v>-1616405</v>
      </c>
      <c r="M109" s="8">
        <v>-1643097</v>
      </c>
      <c r="N109" s="8">
        <v>-1843345</v>
      </c>
      <c r="O109" s="8">
        <v>-1693056</v>
      </c>
      <c r="P109" s="8">
        <v>-2018243</v>
      </c>
      <c r="Q109" s="9">
        <v>-2002915</v>
      </c>
      <c r="R109" s="29">
        <f t="shared" si="9"/>
        <v>-21587075</v>
      </c>
      <c r="S109" s="29">
        <f t="shared" si="10"/>
        <v>-6527229</v>
      </c>
      <c r="T109" s="23">
        <f t="shared" si="11"/>
        <v>-4242785</v>
      </c>
      <c r="U109" s="23">
        <f t="shared" si="12"/>
        <v>-5102847</v>
      </c>
      <c r="V109" s="30">
        <f t="shared" si="13"/>
        <v>-5714214</v>
      </c>
    </row>
    <row r="110" spans="1:22" x14ac:dyDescent="0.25">
      <c r="A110" s="37" t="str">
        <f t="shared" si="7"/>
        <v>2023 Sales</v>
      </c>
      <c r="B110" s="14" t="s">
        <v>15</v>
      </c>
      <c r="C110" s="132" t="str">
        <f t="shared" si="8"/>
        <v>2023 Forecast Sales</v>
      </c>
      <c r="D110" s="18">
        <v>2023</v>
      </c>
      <c r="E110" s="18" t="s">
        <v>25</v>
      </c>
      <c r="F110" s="8">
        <v>77301768</v>
      </c>
      <c r="G110" s="8">
        <v>72875628</v>
      </c>
      <c r="H110" s="8">
        <v>55895001</v>
      </c>
      <c r="I110" s="8">
        <v>89382699</v>
      </c>
      <c r="J110" s="8">
        <v>71319509</v>
      </c>
      <c r="K110" s="8">
        <v>79975474</v>
      </c>
      <c r="L110" s="8">
        <v>69313842</v>
      </c>
      <c r="M110" s="8">
        <v>92091905</v>
      </c>
      <c r="N110" s="8">
        <v>83500769</v>
      </c>
      <c r="O110" s="8">
        <v>59385280</v>
      </c>
      <c r="P110" s="8">
        <v>65641609</v>
      </c>
      <c r="Q110" s="9">
        <v>71434962</v>
      </c>
      <c r="R110" s="29">
        <f t="shared" si="9"/>
        <v>888118446</v>
      </c>
      <c r="S110" s="29">
        <f t="shared" si="10"/>
        <v>206072397</v>
      </c>
      <c r="T110" s="23">
        <f t="shared" si="11"/>
        <v>240677682</v>
      </c>
      <c r="U110" s="23">
        <f t="shared" si="12"/>
        <v>244906516</v>
      </c>
      <c r="V110" s="30">
        <f t="shared" si="13"/>
        <v>196461851</v>
      </c>
    </row>
    <row r="111" spans="1:22" x14ac:dyDescent="0.25">
      <c r="A111" s="37" t="str">
        <f t="shared" si="7"/>
        <v>2023 COGS</v>
      </c>
      <c r="B111" s="7" t="s">
        <v>34</v>
      </c>
      <c r="C111" s="37" t="str">
        <f t="shared" si="8"/>
        <v>2023 Forecast COGS</v>
      </c>
      <c r="D111" s="18">
        <v>2023</v>
      </c>
      <c r="E111" s="18" t="s">
        <v>25</v>
      </c>
      <c r="F111" s="8">
        <v>-35752342</v>
      </c>
      <c r="G111" s="8">
        <v>-31441278</v>
      </c>
      <c r="H111" s="8">
        <v>-27014782</v>
      </c>
      <c r="I111" s="8">
        <v>-41080521</v>
      </c>
      <c r="J111" s="8">
        <v>-29816017</v>
      </c>
      <c r="K111" s="8">
        <v>-37864346</v>
      </c>
      <c r="L111" s="8">
        <v>-29367294</v>
      </c>
      <c r="M111" s="8">
        <v>-40634741</v>
      </c>
      <c r="N111" s="8">
        <v>-39724316</v>
      </c>
      <c r="O111" s="8">
        <v>-26784238</v>
      </c>
      <c r="P111" s="8">
        <v>-29537593</v>
      </c>
      <c r="Q111" s="9">
        <v>-34630314</v>
      </c>
      <c r="R111" s="29">
        <f t="shared" si="9"/>
        <v>-403647782</v>
      </c>
      <c r="S111" s="29">
        <f t="shared" si="10"/>
        <v>-94208402</v>
      </c>
      <c r="T111" s="23">
        <f t="shared" si="11"/>
        <v>-108760884</v>
      </c>
      <c r="U111" s="23">
        <f t="shared" si="12"/>
        <v>-109726351</v>
      </c>
      <c r="V111" s="30">
        <f t="shared" si="13"/>
        <v>-90952145</v>
      </c>
    </row>
    <row r="112" spans="1:22" x14ac:dyDescent="0.25">
      <c r="A112" s="37" t="str">
        <f t="shared" si="7"/>
        <v>2023 Commissions Expense</v>
      </c>
      <c r="B112" s="7" t="s">
        <v>17</v>
      </c>
      <c r="C112" s="37" t="str">
        <f t="shared" si="8"/>
        <v>2023 Forecast Commissions Expense</v>
      </c>
      <c r="D112" s="18">
        <v>2023</v>
      </c>
      <c r="E112" s="18" t="s">
        <v>25</v>
      </c>
      <c r="F112" s="8">
        <v>-3428824</v>
      </c>
      <c r="G112" s="8">
        <v>-3228713</v>
      </c>
      <c r="H112" s="8">
        <v>-2275853</v>
      </c>
      <c r="I112" s="8">
        <v>-4449372</v>
      </c>
      <c r="J112" s="8">
        <v>-3285819</v>
      </c>
      <c r="K112" s="8">
        <v>-3933173</v>
      </c>
      <c r="L112" s="8">
        <v>-2824146</v>
      </c>
      <c r="M112" s="8">
        <v>-4226119</v>
      </c>
      <c r="N112" s="8">
        <v>-3700895</v>
      </c>
      <c r="O112" s="8">
        <v>-2830639</v>
      </c>
      <c r="P112" s="8">
        <v>-3243319</v>
      </c>
      <c r="Q112" s="9">
        <v>-3463190</v>
      </c>
      <c r="R112" s="29">
        <f t="shared" si="9"/>
        <v>-40890062</v>
      </c>
      <c r="S112" s="29">
        <f t="shared" si="10"/>
        <v>-8933390</v>
      </c>
      <c r="T112" s="23">
        <f t="shared" si="11"/>
        <v>-11668364</v>
      </c>
      <c r="U112" s="23">
        <f t="shared" si="12"/>
        <v>-10751160</v>
      </c>
      <c r="V112" s="30">
        <f t="shared" si="13"/>
        <v>-9537148</v>
      </c>
    </row>
    <row r="113" spans="1:22" x14ac:dyDescent="0.25">
      <c r="A113" s="37" t="str">
        <f t="shared" si="7"/>
        <v>2023 Payroll Expense</v>
      </c>
      <c r="B113" s="7" t="s">
        <v>18</v>
      </c>
      <c r="C113" s="37" t="str">
        <f t="shared" si="8"/>
        <v>2023 Forecast Payroll Expense</v>
      </c>
      <c r="D113" s="18">
        <v>2023</v>
      </c>
      <c r="E113" s="18" t="s">
        <v>25</v>
      </c>
      <c r="F113" s="8">
        <v>-7928112</v>
      </c>
      <c r="G113" s="8">
        <v>-9106177</v>
      </c>
      <c r="H113" s="8">
        <v>-6946518</v>
      </c>
      <c r="I113" s="8">
        <v>-9674499</v>
      </c>
      <c r="J113" s="8">
        <v>-8601910</v>
      </c>
      <c r="K113" s="8">
        <v>-9397456</v>
      </c>
      <c r="L113" s="8">
        <v>-8541402</v>
      </c>
      <c r="M113" s="8">
        <v>-11276422</v>
      </c>
      <c r="N113" s="8">
        <v>-9209392</v>
      </c>
      <c r="O113" s="8">
        <v>-7076763</v>
      </c>
      <c r="P113" s="8">
        <v>-8202915</v>
      </c>
      <c r="Q113" s="9">
        <v>-8508411</v>
      </c>
      <c r="R113" s="29">
        <f t="shared" si="9"/>
        <v>-104469977</v>
      </c>
      <c r="S113" s="29">
        <f t="shared" si="10"/>
        <v>-23980807</v>
      </c>
      <c r="T113" s="23">
        <f t="shared" si="11"/>
        <v>-27673865</v>
      </c>
      <c r="U113" s="23">
        <f t="shared" si="12"/>
        <v>-29027216</v>
      </c>
      <c r="V113" s="30">
        <f t="shared" si="13"/>
        <v>-23788089</v>
      </c>
    </row>
    <row r="114" spans="1:22" x14ac:dyDescent="0.25">
      <c r="A114" s="37" t="str">
        <f t="shared" si="7"/>
        <v>2023 Travel &amp; Entertainment Expense</v>
      </c>
      <c r="B114" s="7" t="s">
        <v>19</v>
      </c>
      <c r="C114" s="37" t="str">
        <f t="shared" si="8"/>
        <v>2023 Forecast Travel &amp; Entertainment Expense</v>
      </c>
      <c r="D114" s="18">
        <v>2023</v>
      </c>
      <c r="E114" s="18" t="s">
        <v>25</v>
      </c>
      <c r="F114" s="8">
        <v>-957085</v>
      </c>
      <c r="G114" s="8">
        <v>-849920</v>
      </c>
      <c r="H114" s="8">
        <v>-682768</v>
      </c>
      <c r="I114" s="8">
        <v>-1070786</v>
      </c>
      <c r="J114" s="8">
        <v>-869744</v>
      </c>
      <c r="K114" s="8">
        <v>-914245</v>
      </c>
      <c r="L114" s="8">
        <v>-850332</v>
      </c>
      <c r="M114" s="8">
        <v>-1141027</v>
      </c>
      <c r="N114" s="8">
        <v>-843495</v>
      </c>
      <c r="O114" s="8">
        <v>-681529</v>
      </c>
      <c r="P114" s="8">
        <v>-713836</v>
      </c>
      <c r="Q114" s="9">
        <v>-742136</v>
      </c>
      <c r="R114" s="29">
        <f t="shared" si="9"/>
        <v>-10316903</v>
      </c>
      <c r="S114" s="29">
        <f t="shared" si="10"/>
        <v>-2489773</v>
      </c>
      <c r="T114" s="23">
        <f t="shared" si="11"/>
        <v>-2854775</v>
      </c>
      <c r="U114" s="23">
        <f t="shared" si="12"/>
        <v>-2834854</v>
      </c>
      <c r="V114" s="30">
        <f t="shared" si="13"/>
        <v>-2137501</v>
      </c>
    </row>
    <row r="115" spans="1:22" x14ac:dyDescent="0.25">
      <c r="A115" s="37" t="str">
        <f t="shared" si="7"/>
        <v>2023 R&amp;D Expense</v>
      </c>
      <c r="B115" s="7" t="s">
        <v>20</v>
      </c>
      <c r="C115" s="37" t="str">
        <f t="shared" si="8"/>
        <v>2023 Forecast R&amp;D Expense</v>
      </c>
      <c r="D115" s="18">
        <v>2023</v>
      </c>
      <c r="E115" s="18" t="s">
        <v>25</v>
      </c>
      <c r="F115" s="8">
        <v>-3438085</v>
      </c>
      <c r="G115" s="8">
        <v>-3285329</v>
      </c>
      <c r="H115" s="8">
        <v>-2789198</v>
      </c>
      <c r="I115" s="8">
        <v>-3812133</v>
      </c>
      <c r="J115" s="8">
        <v>-3117588</v>
      </c>
      <c r="K115" s="8">
        <v>-3550508</v>
      </c>
      <c r="L115" s="8">
        <v>-2975224</v>
      </c>
      <c r="M115" s="8">
        <v>-4265659</v>
      </c>
      <c r="N115" s="8">
        <v>-4086642</v>
      </c>
      <c r="O115" s="8">
        <v>-2794161</v>
      </c>
      <c r="P115" s="8">
        <v>-2929773</v>
      </c>
      <c r="Q115" s="9">
        <v>-3103697</v>
      </c>
      <c r="R115" s="29">
        <f t="shared" si="9"/>
        <v>-40147997</v>
      </c>
      <c r="S115" s="29">
        <f t="shared" si="10"/>
        <v>-9512612</v>
      </c>
      <c r="T115" s="23">
        <f t="shared" si="11"/>
        <v>-10480229</v>
      </c>
      <c r="U115" s="23">
        <f t="shared" si="12"/>
        <v>-11327525</v>
      </c>
      <c r="V115" s="30">
        <f t="shared" si="13"/>
        <v>-8827631</v>
      </c>
    </row>
    <row r="116" spans="1:22" x14ac:dyDescent="0.25">
      <c r="A116" s="37" t="str">
        <f t="shared" si="7"/>
        <v>2023 Consulting Expense</v>
      </c>
      <c r="B116" s="7" t="s">
        <v>21</v>
      </c>
      <c r="C116" s="37" t="str">
        <f t="shared" si="8"/>
        <v>2023 Forecast Consulting Expense</v>
      </c>
      <c r="D116" s="18">
        <v>2023</v>
      </c>
      <c r="E116" s="18" t="s">
        <v>25</v>
      </c>
      <c r="F116" s="8">
        <v>-3969897</v>
      </c>
      <c r="G116" s="8">
        <v>-4380494</v>
      </c>
      <c r="H116" s="8">
        <v>-3366354</v>
      </c>
      <c r="I116" s="8">
        <v>-5273562</v>
      </c>
      <c r="J116" s="8">
        <v>-3663927</v>
      </c>
      <c r="K116" s="8">
        <v>-4416822</v>
      </c>
      <c r="L116" s="8">
        <v>-4001007</v>
      </c>
      <c r="M116" s="8">
        <v>-4832019</v>
      </c>
      <c r="N116" s="8">
        <v>-4909221</v>
      </c>
      <c r="O116" s="8">
        <v>-3571834</v>
      </c>
      <c r="P116" s="8">
        <v>-3526646</v>
      </c>
      <c r="Q116" s="9">
        <v>-3835844</v>
      </c>
      <c r="R116" s="29">
        <f t="shared" si="9"/>
        <v>-49747627</v>
      </c>
      <c r="S116" s="29">
        <f t="shared" si="10"/>
        <v>-11716745</v>
      </c>
      <c r="T116" s="23">
        <f t="shared" si="11"/>
        <v>-13354311</v>
      </c>
      <c r="U116" s="23">
        <f t="shared" si="12"/>
        <v>-13742247</v>
      </c>
      <c r="V116" s="30">
        <f t="shared" si="13"/>
        <v>-10934324</v>
      </c>
    </row>
    <row r="117" spans="1:22" x14ac:dyDescent="0.25">
      <c r="A117" s="37" t="str">
        <f t="shared" si="7"/>
        <v>2023 Software/Hardware Expense</v>
      </c>
      <c r="B117" s="7" t="s">
        <v>22</v>
      </c>
      <c r="C117" s="37" t="str">
        <f t="shared" si="8"/>
        <v>2023 Forecast Software/Hardware Expense</v>
      </c>
      <c r="D117" s="18">
        <v>2023</v>
      </c>
      <c r="E117" s="18" t="s">
        <v>25</v>
      </c>
      <c r="F117" s="8">
        <v>-5877577</v>
      </c>
      <c r="G117" s="8">
        <v>-5737846</v>
      </c>
      <c r="H117" s="8">
        <v>-4331053</v>
      </c>
      <c r="I117" s="8">
        <v>-7521222</v>
      </c>
      <c r="J117" s="8">
        <v>-5990060</v>
      </c>
      <c r="K117" s="8">
        <v>-5838719</v>
      </c>
      <c r="L117" s="8">
        <v>-5381168</v>
      </c>
      <c r="M117" s="8">
        <v>-8054420</v>
      </c>
      <c r="N117" s="8">
        <v>-6629167</v>
      </c>
      <c r="O117" s="8">
        <v>-4297756</v>
      </c>
      <c r="P117" s="8">
        <v>-5298750</v>
      </c>
      <c r="Q117" s="9">
        <v>-5411523</v>
      </c>
      <c r="R117" s="29">
        <f t="shared" si="9"/>
        <v>-70369261</v>
      </c>
      <c r="S117" s="29">
        <f t="shared" si="10"/>
        <v>-15946476</v>
      </c>
      <c r="T117" s="23">
        <f t="shared" si="11"/>
        <v>-19350001</v>
      </c>
      <c r="U117" s="23">
        <f t="shared" si="12"/>
        <v>-20064755</v>
      </c>
      <c r="V117" s="30">
        <f t="shared" si="13"/>
        <v>-15008029</v>
      </c>
    </row>
    <row r="118" spans="1:22" ht="14.4" thickBot="1" x14ac:dyDescent="0.3">
      <c r="A118" s="38" t="str">
        <f t="shared" si="7"/>
        <v>2023 Marketing Expense</v>
      </c>
      <c r="B118" s="10" t="s">
        <v>23</v>
      </c>
      <c r="C118" s="38" t="str">
        <f t="shared" si="8"/>
        <v>2023 Forecast Marketing Expense</v>
      </c>
      <c r="D118" s="19">
        <v>2023</v>
      </c>
      <c r="E118" s="19" t="s">
        <v>25</v>
      </c>
      <c r="F118" s="11">
        <v>-1715892</v>
      </c>
      <c r="G118" s="11">
        <v>-1670598</v>
      </c>
      <c r="H118" s="11">
        <v>-1349484</v>
      </c>
      <c r="I118" s="11">
        <v>-1982340</v>
      </c>
      <c r="J118" s="11">
        <v>-1444353</v>
      </c>
      <c r="K118" s="11">
        <v>-1884602</v>
      </c>
      <c r="L118" s="11">
        <v>-1511649</v>
      </c>
      <c r="M118" s="11">
        <v>-1993504</v>
      </c>
      <c r="N118" s="11">
        <v>-2075691</v>
      </c>
      <c r="O118" s="11">
        <v>-1342675</v>
      </c>
      <c r="P118" s="11">
        <v>-1421368</v>
      </c>
      <c r="Q118" s="12">
        <v>-1684617</v>
      </c>
      <c r="R118" s="31">
        <f t="shared" si="9"/>
        <v>-20076773</v>
      </c>
      <c r="S118" s="31">
        <f t="shared" si="10"/>
        <v>-4735974</v>
      </c>
      <c r="T118" s="32">
        <f t="shared" si="11"/>
        <v>-5311295</v>
      </c>
      <c r="U118" s="32">
        <f t="shared" si="12"/>
        <v>-5580844</v>
      </c>
      <c r="V118" s="33">
        <f t="shared" si="13"/>
        <v>-4448660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V118"/>
  <sheetViews>
    <sheetView workbookViewId="0">
      <selection activeCell="D1" sqref="D1:E1048576"/>
    </sheetView>
  </sheetViews>
  <sheetFormatPr defaultRowHeight="13.8" x14ac:dyDescent="0.25"/>
  <cols>
    <col min="1" max="1" width="34" style="1" bestFit="1" customWidth="1"/>
    <col min="2" max="2" width="30.88671875" style="1" hidden="1" customWidth="1"/>
    <col min="3" max="3" width="15.77734375" style="1" customWidth="1"/>
    <col min="4" max="4" width="5" style="1" hidden="1" customWidth="1"/>
    <col min="5" max="5" width="8.44140625" style="18" hidden="1" customWidth="1"/>
    <col min="6" max="17" width="15.77734375" style="1" bestFit="1" customWidth="1"/>
    <col min="18" max="18" width="14.88671875" style="1" bestFit="1" customWidth="1"/>
    <col min="19" max="22" width="13.77734375" style="1" bestFit="1" customWidth="1"/>
    <col min="23" max="16384" width="8.88671875" style="1"/>
  </cols>
  <sheetData>
    <row r="1" spans="1:22" ht="14.4" thickBot="1" x14ac:dyDescent="0.3">
      <c r="A1" s="36" t="s">
        <v>35</v>
      </c>
      <c r="B1" s="3" t="s">
        <v>0</v>
      </c>
      <c r="C1" s="24" t="s">
        <v>64</v>
      </c>
      <c r="D1" s="20" t="s">
        <v>1</v>
      </c>
      <c r="E1" s="4" t="s">
        <v>2</v>
      </c>
      <c r="F1" s="4" t="s">
        <v>3</v>
      </c>
      <c r="G1" s="4" t="s">
        <v>4</v>
      </c>
      <c r="H1" s="4" t="s">
        <v>5</v>
      </c>
      <c r="I1" s="4" t="s">
        <v>6</v>
      </c>
      <c r="J1" s="4" t="s">
        <v>7</v>
      </c>
      <c r="K1" s="4" t="s">
        <v>8</v>
      </c>
      <c r="L1" s="4" t="s">
        <v>9</v>
      </c>
      <c r="M1" s="4" t="s">
        <v>10</v>
      </c>
      <c r="N1" s="4" t="s">
        <v>11</v>
      </c>
      <c r="O1" s="4" t="s">
        <v>12</v>
      </c>
      <c r="P1" s="4" t="s">
        <v>13</v>
      </c>
      <c r="Q1" s="4" t="s">
        <v>14</v>
      </c>
      <c r="R1" s="25" t="s">
        <v>29</v>
      </c>
      <c r="S1" s="25" t="s">
        <v>30</v>
      </c>
      <c r="T1" s="25" t="s">
        <v>31</v>
      </c>
      <c r="U1" s="25" t="s">
        <v>33</v>
      </c>
      <c r="V1" s="25" t="s">
        <v>32</v>
      </c>
    </row>
    <row r="2" spans="1:22" x14ac:dyDescent="0.25">
      <c r="A2" s="37" t="str">
        <f>CONCATENATE(D2," ",B2)</f>
        <v>2012 Sales</v>
      </c>
      <c r="B2" s="15" t="s">
        <v>15</v>
      </c>
      <c r="C2" s="131" t="str">
        <f>CONCATENATE(D2," ",E2," ",B2)</f>
        <v>2012 Actuals Sales</v>
      </c>
      <c r="D2" s="17">
        <v>2012</v>
      </c>
      <c r="E2" s="17" t="s">
        <v>16</v>
      </c>
      <c r="F2" s="5">
        <v>32732640.719999999</v>
      </c>
      <c r="G2" s="5">
        <v>30564269.579999998</v>
      </c>
      <c r="H2" s="5">
        <v>26200879.199999999</v>
      </c>
      <c r="I2" s="5">
        <v>19589169.370000001</v>
      </c>
      <c r="J2" s="5">
        <v>29460681.420000002</v>
      </c>
      <c r="K2" s="5">
        <v>36626119.119999997</v>
      </c>
      <c r="L2" s="5">
        <v>23976968.91</v>
      </c>
      <c r="M2" s="5">
        <v>34401805.549999997</v>
      </c>
      <c r="N2" s="5">
        <v>29555276.989999998</v>
      </c>
      <c r="O2" s="5">
        <v>31473222.989999998</v>
      </c>
      <c r="P2" s="5">
        <v>17015251.48</v>
      </c>
      <c r="Q2" s="6">
        <v>31427366.859999999</v>
      </c>
      <c r="R2" s="29">
        <f>SUM(F2:Q2)</f>
        <v>343023652.19000006</v>
      </c>
      <c r="S2" s="26">
        <f>SUM(F2:H2)</f>
        <v>89497789.5</v>
      </c>
      <c r="T2" s="27">
        <f>SUM(I2:K2)</f>
        <v>85675969.909999996</v>
      </c>
      <c r="U2" s="27">
        <f>SUM(L2:N2)</f>
        <v>87934051.449999988</v>
      </c>
      <c r="V2" s="28">
        <f>SUM(O2:Q2)</f>
        <v>79915841.329999998</v>
      </c>
    </row>
    <row r="3" spans="1:22" x14ac:dyDescent="0.25">
      <c r="A3" s="37" t="str">
        <f t="shared" ref="A3:A66" si="0">CONCATENATE(D3," ",B3)</f>
        <v>2012 COGS</v>
      </c>
      <c r="B3" s="7" t="s">
        <v>34</v>
      </c>
      <c r="C3" s="37" t="str">
        <f t="shared" ref="C3:C66" si="1">CONCATENATE(D3," ",E3," ",B3)</f>
        <v>2012 Actuals COGS</v>
      </c>
      <c r="D3" s="18">
        <v>2012</v>
      </c>
      <c r="E3" s="18" t="s">
        <v>16</v>
      </c>
      <c r="F3" s="8">
        <v>-15174996</v>
      </c>
      <c r="G3" s="8">
        <v>-13026257</v>
      </c>
      <c r="H3" s="8">
        <v>-11675693</v>
      </c>
      <c r="I3" s="8">
        <v>-8655251</v>
      </c>
      <c r="J3" s="8">
        <v>-12015866</v>
      </c>
      <c r="K3" s="8">
        <v>-15700152</v>
      </c>
      <c r="L3" s="8">
        <v>-9675687</v>
      </c>
      <c r="M3" s="8">
        <v>-16111034</v>
      </c>
      <c r="N3" s="8">
        <v>-12007211</v>
      </c>
      <c r="O3" s="8">
        <v>-15679125</v>
      </c>
      <c r="P3" s="8">
        <v>-7771569</v>
      </c>
      <c r="Q3" s="9">
        <v>-15258373</v>
      </c>
      <c r="R3" s="29">
        <f t="shared" ref="R3:R66" si="2">SUM(F3:Q3)</f>
        <v>-152751214</v>
      </c>
      <c r="S3" s="29">
        <f t="shared" ref="S3:S66" si="3">SUM(F3:H3)</f>
        <v>-39876946</v>
      </c>
      <c r="T3" s="23">
        <f t="shared" ref="T3:T66" si="4">SUM(I3:K3)</f>
        <v>-36371269</v>
      </c>
      <c r="U3" s="23">
        <f t="shared" ref="U3:U66" si="5">SUM(L3:N3)</f>
        <v>-37793932</v>
      </c>
      <c r="V3" s="30">
        <f t="shared" ref="V3:V66" si="6">SUM(O3:Q3)</f>
        <v>-38709067</v>
      </c>
    </row>
    <row r="4" spans="1:22" x14ac:dyDescent="0.25">
      <c r="A4" s="37" t="str">
        <f t="shared" si="0"/>
        <v>2012 Commissions Expense</v>
      </c>
      <c r="B4" s="7" t="s">
        <v>17</v>
      </c>
      <c r="C4" s="37" t="str">
        <f t="shared" si="1"/>
        <v>2012 Actuals Commissions Expense</v>
      </c>
      <c r="D4" s="18">
        <v>2012</v>
      </c>
      <c r="E4" s="18" t="s">
        <v>16</v>
      </c>
      <c r="F4" s="8">
        <v>-1365874</v>
      </c>
      <c r="G4" s="8">
        <v>-1359525</v>
      </c>
      <c r="H4" s="8">
        <v>-1296743</v>
      </c>
      <c r="I4" s="8">
        <v>-900105</v>
      </c>
      <c r="J4" s="8">
        <v>-1331847</v>
      </c>
      <c r="K4" s="8">
        <v>-1564129</v>
      </c>
      <c r="L4" s="8">
        <v>-1063724</v>
      </c>
      <c r="M4" s="8">
        <v>-1612959</v>
      </c>
      <c r="N4" s="8">
        <v>-1338743</v>
      </c>
      <c r="O4" s="8">
        <v>-1378721</v>
      </c>
      <c r="P4" s="8">
        <v>-751229</v>
      </c>
      <c r="Q4" s="9">
        <v>-1417137</v>
      </c>
      <c r="R4" s="29">
        <f t="shared" si="2"/>
        <v>-15380736</v>
      </c>
      <c r="S4" s="29">
        <f t="shared" si="3"/>
        <v>-4022142</v>
      </c>
      <c r="T4" s="23">
        <f t="shared" si="4"/>
        <v>-3796081</v>
      </c>
      <c r="U4" s="23">
        <f t="shared" si="5"/>
        <v>-4015426</v>
      </c>
      <c r="V4" s="30">
        <f t="shared" si="6"/>
        <v>-3547087</v>
      </c>
    </row>
    <row r="5" spans="1:22" x14ac:dyDescent="0.25">
      <c r="A5" s="37" t="str">
        <f t="shared" si="0"/>
        <v>2012 Payroll Expense</v>
      </c>
      <c r="B5" s="7" t="s">
        <v>18</v>
      </c>
      <c r="C5" s="37" t="str">
        <f t="shared" si="1"/>
        <v>2012 Actuals Payroll Expense</v>
      </c>
      <c r="D5" s="18">
        <v>2012</v>
      </c>
      <c r="E5" s="18" t="s">
        <v>16</v>
      </c>
      <c r="F5" s="8">
        <v>-3625840</v>
      </c>
      <c r="G5" s="8">
        <v>-3423587</v>
      </c>
      <c r="H5" s="8">
        <v>-2865530</v>
      </c>
      <c r="I5" s="8">
        <v>-2430054</v>
      </c>
      <c r="J5" s="8">
        <v>-3605303</v>
      </c>
      <c r="K5" s="8">
        <v>-4252053</v>
      </c>
      <c r="L5" s="8">
        <v>-2644538</v>
      </c>
      <c r="M5" s="8">
        <v>-4099242</v>
      </c>
      <c r="N5" s="8">
        <v>-3376769</v>
      </c>
      <c r="O5" s="8">
        <v>-3479104</v>
      </c>
      <c r="P5" s="8">
        <v>-2018487</v>
      </c>
      <c r="Q5" s="9">
        <v>-3638336</v>
      </c>
      <c r="R5" s="29">
        <f t="shared" si="2"/>
        <v>-39458843</v>
      </c>
      <c r="S5" s="29">
        <f t="shared" si="3"/>
        <v>-9914957</v>
      </c>
      <c r="T5" s="23">
        <f t="shared" si="4"/>
        <v>-10287410</v>
      </c>
      <c r="U5" s="23">
        <f t="shared" si="5"/>
        <v>-10120549</v>
      </c>
      <c r="V5" s="30">
        <f t="shared" si="6"/>
        <v>-9135927</v>
      </c>
    </row>
    <row r="6" spans="1:22" x14ac:dyDescent="0.25">
      <c r="A6" s="37" t="str">
        <f t="shared" si="0"/>
        <v>2012 Travel &amp; Entertainment Expense</v>
      </c>
      <c r="B6" s="7" t="s">
        <v>19</v>
      </c>
      <c r="C6" s="37" t="str">
        <f t="shared" si="1"/>
        <v>2012 Actuals Travel &amp; Entertainment Expense</v>
      </c>
      <c r="D6" s="18">
        <v>2012</v>
      </c>
      <c r="E6" s="18" t="s">
        <v>16</v>
      </c>
      <c r="F6" s="8">
        <v>-404102</v>
      </c>
      <c r="G6" s="8">
        <v>-338689</v>
      </c>
      <c r="H6" s="8">
        <v>-289410</v>
      </c>
      <c r="I6" s="8">
        <v>-231627</v>
      </c>
      <c r="J6" s="8">
        <v>-322868</v>
      </c>
      <c r="K6" s="8">
        <v>-401363</v>
      </c>
      <c r="L6" s="8">
        <v>-253582</v>
      </c>
      <c r="M6" s="8">
        <v>-412988</v>
      </c>
      <c r="N6" s="8">
        <v>-347606</v>
      </c>
      <c r="O6" s="8">
        <v>-391065</v>
      </c>
      <c r="P6" s="8">
        <v>-171970</v>
      </c>
      <c r="Q6" s="9">
        <v>-374266</v>
      </c>
      <c r="R6" s="29">
        <f t="shared" si="2"/>
        <v>-3939536</v>
      </c>
      <c r="S6" s="29">
        <f t="shared" si="3"/>
        <v>-1032201</v>
      </c>
      <c r="T6" s="23">
        <f t="shared" si="4"/>
        <v>-955858</v>
      </c>
      <c r="U6" s="23">
        <f t="shared" si="5"/>
        <v>-1014176</v>
      </c>
      <c r="V6" s="30">
        <f t="shared" si="6"/>
        <v>-937301</v>
      </c>
    </row>
    <row r="7" spans="1:22" x14ac:dyDescent="0.25">
      <c r="A7" s="37" t="str">
        <f t="shared" si="0"/>
        <v>2012 R&amp;D Expense</v>
      </c>
      <c r="B7" s="7" t="s">
        <v>20</v>
      </c>
      <c r="C7" s="37" t="str">
        <f t="shared" si="1"/>
        <v>2012 Actuals R&amp;D Expense</v>
      </c>
      <c r="D7" s="18">
        <v>2012</v>
      </c>
      <c r="E7" s="18" t="s">
        <v>16</v>
      </c>
      <c r="F7" s="8">
        <v>-1468035</v>
      </c>
      <c r="G7" s="8">
        <v>-1483124</v>
      </c>
      <c r="H7" s="8">
        <v>-1094520</v>
      </c>
      <c r="I7" s="8">
        <v>-937432</v>
      </c>
      <c r="J7" s="8">
        <v>-1284439</v>
      </c>
      <c r="K7" s="8">
        <v>-1598284</v>
      </c>
      <c r="L7" s="8">
        <v>-1152053</v>
      </c>
      <c r="M7" s="8">
        <v>-1525329</v>
      </c>
      <c r="N7" s="8">
        <v>-1197635</v>
      </c>
      <c r="O7" s="8">
        <v>-1277358</v>
      </c>
      <c r="P7" s="8">
        <v>-816086</v>
      </c>
      <c r="Q7" s="9">
        <v>-1391966</v>
      </c>
      <c r="R7" s="29">
        <f t="shared" si="2"/>
        <v>-15226261</v>
      </c>
      <c r="S7" s="29">
        <f t="shared" si="3"/>
        <v>-4045679</v>
      </c>
      <c r="T7" s="23">
        <f t="shared" si="4"/>
        <v>-3820155</v>
      </c>
      <c r="U7" s="23">
        <f t="shared" si="5"/>
        <v>-3875017</v>
      </c>
      <c r="V7" s="30">
        <f t="shared" si="6"/>
        <v>-3485410</v>
      </c>
    </row>
    <row r="8" spans="1:22" x14ac:dyDescent="0.25">
      <c r="A8" s="37" t="str">
        <f t="shared" si="0"/>
        <v>2012 Consulting Expense</v>
      </c>
      <c r="B8" s="7" t="s">
        <v>21</v>
      </c>
      <c r="C8" s="37" t="str">
        <f t="shared" si="1"/>
        <v>2012 Actuals Consulting Expense</v>
      </c>
      <c r="D8" s="18">
        <v>2012</v>
      </c>
      <c r="E8" s="18" t="s">
        <v>16</v>
      </c>
      <c r="F8" s="8">
        <v>-1854144</v>
      </c>
      <c r="G8" s="8">
        <v>-1664382</v>
      </c>
      <c r="H8" s="8">
        <v>-1580339</v>
      </c>
      <c r="I8" s="8">
        <v>-1211392</v>
      </c>
      <c r="J8" s="8">
        <v>-1625464</v>
      </c>
      <c r="K8" s="8">
        <v>-2017618</v>
      </c>
      <c r="L8" s="8">
        <v>-1472986</v>
      </c>
      <c r="M8" s="8">
        <v>-2012637</v>
      </c>
      <c r="N8" s="8">
        <v>-1767868</v>
      </c>
      <c r="O8" s="8">
        <v>-1608184</v>
      </c>
      <c r="P8" s="8">
        <v>-917113</v>
      </c>
      <c r="Q8" s="9">
        <v>-1651075</v>
      </c>
      <c r="R8" s="29">
        <f t="shared" si="2"/>
        <v>-19383202</v>
      </c>
      <c r="S8" s="29">
        <f t="shared" si="3"/>
        <v>-5098865</v>
      </c>
      <c r="T8" s="23">
        <f t="shared" si="4"/>
        <v>-4854474</v>
      </c>
      <c r="U8" s="23">
        <f t="shared" si="5"/>
        <v>-5253491</v>
      </c>
      <c r="V8" s="30">
        <f t="shared" si="6"/>
        <v>-4176372</v>
      </c>
    </row>
    <row r="9" spans="1:22" x14ac:dyDescent="0.25">
      <c r="A9" s="37" t="str">
        <f t="shared" si="0"/>
        <v>2012 Software/Hardware Expense</v>
      </c>
      <c r="B9" s="7" t="s">
        <v>22</v>
      </c>
      <c r="C9" s="37" t="str">
        <f t="shared" si="1"/>
        <v>2012 Actuals Software/Hardware Expense</v>
      </c>
      <c r="D9" s="18">
        <v>2012</v>
      </c>
      <c r="E9" s="18" t="s">
        <v>16</v>
      </c>
      <c r="F9" s="8">
        <v>-2454740</v>
      </c>
      <c r="G9" s="8">
        <v>-2246414</v>
      </c>
      <c r="H9" s="8">
        <v>-1920131</v>
      </c>
      <c r="I9" s="8">
        <v>-1538618</v>
      </c>
      <c r="J9" s="8">
        <v>-2459096</v>
      </c>
      <c r="K9" s="8">
        <v>-2690767</v>
      </c>
      <c r="L9" s="8">
        <v>-1781975</v>
      </c>
      <c r="M9" s="8">
        <v>-2592510</v>
      </c>
      <c r="N9" s="8">
        <v>-2077955</v>
      </c>
      <c r="O9" s="8">
        <v>-2418669</v>
      </c>
      <c r="P9" s="8">
        <v>-1334326</v>
      </c>
      <c r="Q9" s="9">
        <v>-2275474</v>
      </c>
      <c r="R9" s="29">
        <f t="shared" si="2"/>
        <v>-25790675</v>
      </c>
      <c r="S9" s="29">
        <f t="shared" si="3"/>
        <v>-6621285</v>
      </c>
      <c r="T9" s="23">
        <f t="shared" si="4"/>
        <v>-6688481</v>
      </c>
      <c r="U9" s="23">
        <f t="shared" si="5"/>
        <v>-6452440</v>
      </c>
      <c r="V9" s="30">
        <f t="shared" si="6"/>
        <v>-6028469</v>
      </c>
    </row>
    <row r="10" spans="1:22" x14ac:dyDescent="0.25">
      <c r="A10" s="37" t="str">
        <f t="shared" si="0"/>
        <v>2012 Marketing Expense</v>
      </c>
      <c r="B10" s="7" t="s">
        <v>23</v>
      </c>
      <c r="C10" s="37" t="str">
        <f t="shared" si="1"/>
        <v>2012 Actuals Marketing Expense</v>
      </c>
      <c r="D10" s="18">
        <v>2012</v>
      </c>
      <c r="E10" s="18" t="s">
        <v>16</v>
      </c>
      <c r="F10" s="8">
        <v>-713163</v>
      </c>
      <c r="G10" s="8">
        <v>-741500</v>
      </c>
      <c r="H10" s="8">
        <v>-638160</v>
      </c>
      <c r="I10" s="8">
        <v>-461044</v>
      </c>
      <c r="J10" s="8">
        <v>-641726</v>
      </c>
      <c r="K10" s="8">
        <v>-906407</v>
      </c>
      <c r="L10" s="8">
        <v>-538307</v>
      </c>
      <c r="M10" s="8">
        <v>-792272</v>
      </c>
      <c r="N10" s="8">
        <v>-631951</v>
      </c>
      <c r="O10" s="8">
        <v>-774552</v>
      </c>
      <c r="P10" s="8">
        <v>-424464</v>
      </c>
      <c r="Q10" s="9">
        <v>-689907</v>
      </c>
      <c r="R10" s="29">
        <f t="shared" si="2"/>
        <v>-7953453</v>
      </c>
      <c r="S10" s="29">
        <f t="shared" si="3"/>
        <v>-2092823</v>
      </c>
      <c r="T10" s="23">
        <f t="shared" si="4"/>
        <v>-2009177</v>
      </c>
      <c r="U10" s="23">
        <f t="shared" si="5"/>
        <v>-1962530</v>
      </c>
      <c r="V10" s="30">
        <f t="shared" si="6"/>
        <v>-1888923</v>
      </c>
    </row>
    <row r="11" spans="1:22" x14ac:dyDescent="0.25">
      <c r="A11" s="37" t="str">
        <f t="shared" si="0"/>
        <v>2013 Sales</v>
      </c>
      <c r="B11" s="16" t="s">
        <v>15</v>
      </c>
      <c r="C11" s="132" t="str">
        <f t="shared" si="1"/>
        <v>2013 Actuals Sales</v>
      </c>
      <c r="D11" s="18">
        <v>2013</v>
      </c>
      <c r="E11" s="18" t="s">
        <v>16</v>
      </c>
      <c r="F11" s="8">
        <v>19509973.07</v>
      </c>
      <c r="G11" s="8">
        <v>17256060.48</v>
      </c>
      <c r="H11" s="8">
        <v>30532260.100000001</v>
      </c>
      <c r="I11" s="8">
        <v>29272945.600000001</v>
      </c>
      <c r="J11" s="8">
        <v>29336566.710000001</v>
      </c>
      <c r="K11" s="8">
        <v>20351396.16</v>
      </c>
      <c r="L11" s="8">
        <v>28675098.550000001</v>
      </c>
      <c r="M11" s="8">
        <v>33553476.800000001</v>
      </c>
      <c r="N11" s="8">
        <v>34517494.939999998</v>
      </c>
      <c r="O11" s="8">
        <v>26255937.010000002</v>
      </c>
      <c r="P11" s="8">
        <v>30608966.16</v>
      </c>
      <c r="Q11" s="9">
        <v>18118055.66</v>
      </c>
      <c r="R11" s="29">
        <f t="shared" si="2"/>
        <v>317988231.24000007</v>
      </c>
      <c r="S11" s="29">
        <f t="shared" si="3"/>
        <v>67298293.650000006</v>
      </c>
      <c r="T11" s="23">
        <f t="shared" si="4"/>
        <v>78960908.469999999</v>
      </c>
      <c r="U11" s="23">
        <f t="shared" si="5"/>
        <v>96746070.289999992</v>
      </c>
      <c r="V11" s="30">
        <f t="shared" si="6"/>
        <v>74982958.829999998</v>
      </c>
    </row>
    <row r="12" spans="1:22" x14ac:dyDescent="0.25">
      <c r="A12" s="37" t="str">
        <f t="shared" si="0"/>
        <v>2013 COGS</v>
      </c>
      <c r="B12" s="7" t="s">
        <v>34</v>
      </c>
      <c r="C12" s="37" t="str">
        <f t="shared" si="1"/>
        <v>2013 Actuals COGS</v>
      </c>
      <c r="D12" s="18">
        <v>2013</v>
      </c>
      <c r="E12" s="18" t="s">
        <v>16</v>
      </c>
      <c r="F12" s="8">
        <v>-8150515</v>
      </c>
      <c r="G12" s="8">
        <v>-8450170</v>
      </c>
      <c r="H12" s="8">
        <v>-14161620</v>
      </c>
      <c r="I12" s="8">
        <v>-11982699</v>
      </c>
      <c r="J12" s="8">
        <v>-14251244</v>
      </c>
      <c r="K12" s="8">
        <v>-9764566</v>
      </c>
      <c r="L12" s="8">
        <v>-13601224</v>
      </c>
      <c r="M12" s="8">
        <v>-16479944</v>
      </c>
      <c r="N12" s="8">
        <v>-15769647</v>
      </c>
      <c r="O12" s="8">
        <v>-11713786</v>
      </c>
      <c r="P12" s="8">
        <v>-13808185</v>
      </c>
      <c r="Q12" s="9">
        <v>-7671352</v>
      </c>
      <c r="R12" s="29">
        <f t="shared" si="2"/>
        <v>-145804952</v>
      </c>
      <c r="S12" s="29">
        <f t="shared" si="3"/>
        <v>-30762305</v>
      </c>
      <c r="T12" s="23">
        <f t="shared" si="4"/>
        <v>-35998509</v>
      </c>
      <c r="U12" s="23">
        <f t="shared" si="5"/>
        <v>-45850815</v>
      </c>
      <c r="V12" s="30">
        <f t="shared" si="6"/>
        <v>-33193323</v>
      </c>
    </row>
    <row r="13" spans="1:22" x14ac:dyDescent="0.25">
      <c r="A13" s="37" t="str">
        <f t="shared" si="0"/>
        <v>2013 Commissions Expense</v>
      </c>
      <c r="B13" s="7" t="s">
        <v>17</v>
      </c>
      <c r="C13" s="37" t="str">
        <f t="shared" si="1"/>
        <v>2013 Actuals Commissions Expense</v>
      </c>
      <c r="D13" s="18">
        <v>2013</v>
      </c>
      <c r="E13" s="18" t="s">
        <v>16</v>
      </c>
      <c r="F13" s="8">
        <v>-918940</v>
      </c>
      <c r="G13" s="8">
        <v>-807370</v>
      </c>
      <c r="H13" s="8">
        <v>-1441691</v>
      </c>
      <c r="I13" s="8">
        <v>-1189856</v>
      </c>
      <c r="J13" s="8">
        <v>-1441481</v>
      </c>
      <c r="K13" s="8">
        <v>-992324</v>
      </c>
      <c r="L13" s="8">
        <v>-1184148</v>
      </c>
      <c r="M13" s="8">
        <v>-1395247</v>
      </c>
      <c r="N13" s="8">
        <v>-1624531</v>
      </c>
      <c r="O13" s="8">
        <v>-1309585</v>
      </c>
      <c r="P13" s="8">
        <v>-1271473</v>
      </c>
      <c r="Q13" s="9">
        <v>-888159</v>
      </c>
      <c r="R13" s="29">
        <f t="shared" si="2"/>
        <v>-14464805</v>
      </c>
      <c r="S13" s="29">
        <f t="shared" si="3"/>
        <v>-3168001</v>
      </c>
      <c r="T13" s="23">
        <f t="shared" si="4"/>
        <v>-3623661</v>
      </c>
      <c r="U13" s="23">
        <f t="shared" si="5"/>
        <v>-4203926</v>
      </c>
      <c r="V13" s="30">
        <f t="shared" si="6"/>
        <v>-3469217</v>
      </c>
    </row>
    <row r="14" spans="1:22" x14ac:dyDescent="0.25">
      <c r="A14" s="37" t="str">
        <f t="shared" si="0"/>
        <v>2013 Payroll Expense</v>
      </c>
      <c r="B14" s="7" t="s">
        <v>18</v>
      </c>
      <c r="C14" s="37" t="str">
        <f t="shared" si="1"/>
        <v>2013 Actuals Payroll Expense</v>
      </c>
      <c r="D14" s="18">
        <v>2013</v>
      </c>
      <c r="E14" s="18" t="s">
        <v>16</v>
      </c>
      <c r="F14" s="8">
        <v>-1978540</v>
      </c>
      <c r="G14" s="8">
        <v>-2042733</v>
      </c>
      <c r="H14" s="8">
        <v>-3640742</v>
      </c>
      <c r="I14" s="8">
        <v>-3022060</v>
      </c>
      <c r="J14" s="8">
        <v>-3103005</v>
      </c>
      <c r="K14" s="8">
        <v>-2469981</v>
      </c>
      <c r="L14" s="8">
        <v>-3153289</v>
      </c>
      <c r="M14" s="8">
        <v>-3620396</v>
      </c>
      <c r="N14" s="8">
        <v>-4017528</v>
      </c>
      <c r="O14" s="8">
        <v>-2657392</v>
      </c>
      <c r="P14" s="8">
        <v>-3428688</v>
      </c>
      <c r="Q14" s="9">
        <v>-2234769</v>
      </c>
      <c r="R14" s="29">
        <f t="shared" si="2"/>
        <v>-35369123</v>
      </c>
      <c r="S14" s="29">
        <f t="shared" si="3"/>
        <v>-7662015</v>
      </c>
      <c r="T14" s="23">
        <f t="shared" si="4"/>
        <v>-8595046</v>
      </c>
      <c r="U14" s="23">
        <f t="shared" si="5"/>
        <v>-10791213</v>
      </c>
      <c r="V14" s="30">
        <f t="shared" si="6"/>
        <v>-8320849</v>
      </c>
    </row>
    <row r="15" spans="1:22" x14ac:dyDescent="0.25">
      <c r="A15" s="37" t="str">
        <f t="shared" si="0"/>
        <v>2013 Travel &amp; Entertainment Expense</v>
      </c>
      <c r="B15" s="7" t="s">
        <v>19</v>
      </c>
      <c r="C15" s="37" t="str">
        <f t="shared" si="1"/>
        <v>2013 Actuals Travel &amp; Entertainment Expense</v>
      </c>
      <c r="D15" s="18">
        <v>2013</v>
      </c>
      <c r="E15" s="18" t="s">
        <v>16</v>
      </c>
      <c r="F15" s="8">
        <v>-226737</v>
      </c>
      <c r="G15" s="8">
        <v>-177057</v>
      </c>
      <c r="H15" s="8">
        <v>-348448</v>
      </c>
      <c r="I15" s="8">
        <v>-348912</v>
      </c>
      <c r="J15" s="8">
        <v>-340324</v>
      </c>
      <c r="K15" s="8">
        <v>-233884</v>
      </c>
      <c r="L15" s="8">
        <v>-339323</v>
      </c>
      <c r="M15" s="8">
        <v>-346782</v>
      </c>
      <c r="N15" s="8">
        <v>-416320</v>
      </c>
      <c r="O15" s="8">
        <v>-265196</v>
      </c>
      <c r="P15" s="8">
        <v>-350713</v>
      </c>
      <c r="Q15" s="9">
        <v>-191961</v>
      </c>
      <c r="R15" s="29">
        <f t="shared" si="2"/>
        <v>-3585657</v>
      </c>
      <c r="S15" s="29">
        <f t="shared" si="3"/>
        <v>-752242</v>
      </c>
      <c r="T15" s="23">
        <f t="shared" si="4"/>
        <v>-923120</v>
      </c>
      <c r="U15" s="23">
        <f t="shared" si="5"/>
        <v>-1102425</v>
      </c>
      <c r="V15" s="30">
        <f t="shared" si="6"/>
        <v>-807870</v>
      </c>
    </row>
    <row r="16" spans="1:22" x14ac:dyDescent="0.25">
      <c r="A16" s="37" t="str">
        <f t="shared" si="0"/>
        <v>2013 R&amp;D Expense</v>
      </c>
      <c r="B16" s="7" t="s">
        <v>20</v>
      </c>
      <c r="C16" s="37" t="str">
        <f t="shared" si="1"/>
        <v>2013 Actuals R&amp;D Expense</v>
      </c>
      <c r="D16" s="18">
        <v>2013</v>
      </c>
      <c r="E16" s="18" t="s">
        <v>16</v>
      </c>
      <c r="F16" s="8">
        <v>-864114</v>
      </c>
      <c r="G16" s="8">
        <v>-798924</v>
      </c>
      <c r="H16" s="8">
        <v>-1397111</v>
      </c>
      <c r="I16" s="8">
        <v>-1424616</v>
      </c>
      <c r="J16" s="8">
        <v>-1408363</v>
      </c>
      <c r="K16" s="8">
        <v>-988295</v>
      </c>
      <c r="L16" s="8">
        <v>-1420613</v>
      </c>
      <c r="M16" s="8">
        <v>-1550303</v>
      </c>
      <c r="N16" s="8">
        <v>-1530986</v>
      </c>
      <c r="O16" s="8">
        <v>-1291985</v>
      </c>
      <c r="P16" s="8">
        <v>-1244998</v>
      </c>
      <c r="Q16" s="9">
        <v>-880628</v>
      </c>
      <c r="R16" s="29">
        <f t="shared" si="2"/>
        <v>-14800936</v>
      </c>
      <c r="S16" s="29">
        <f t="shared" si="3"/>
        <v>-3060149</v>
      </c>
      <c r="T16" s="23">
        <f t="shared" si="4"/>
        <v>-3821274</v>
      </c>
      <c r="U16" s="23">
        <f t="shared" si="5"/>
        <v>-4501902</v>
      </c>
      <c r="V16" s="30">
        <f t="shared" si="6"/>
        <v>-3417611</v>
      </c>
    </row>
    <row r="17" spans="1:22" x14ac:dyDescent="0.25">
      <c r="A17" s="37" t="str">
        <f t="shared" si="0"/>
        <v>2013 Consulting Expense</v>
      </c>
      <c r="B17" s="7" t="s">
        <v>21</v>
      </c>
      <c r="C17" s="37" t="str">
        <f t="shared" si="1"/>
        <v>2013 Actuals Consulting Expense</v>
      </c>
      <c r="D17" s="18">
        <v>2013</v>
      </c>
      <c r="E17" s="18" t="s">
        <v>16</v>
      </c>
      <c r="F17" s="8">
        <v>-985386</v>
      </c>
      <c r="G17" s="8">
        <v>-1024168</v>
      </c>
      <c r="H17" s="8">
        <v>-1624588</v>
      </c>
      <c r="I17" s="8">
        <v>-1566421</v>
      </c>
      <c r="J17" s="8">
        <v>-1513745</v>
      </c>
      <c r="K17" s="8">
        <v>-1168867</v>
      </c>
      <c r="L17" s="8">
        <v>-1433907</v>
      </c>
      <c r="M17" s="8">
        <v>-1760511</v>
      </c>
      <c r="N17" s="8">
        <v>-1764055</v>
      </c>
      <c r="O17" s="8">
        <v>-1576381</v>
      </c>
      <c r="P17" s="8">
        <v>-1568287</v>
      </c>
      <c r="Q17" s="9">
        <v>-1109268</v>
      </c>
      <c r="R17" s="29">
        <f t="shared" si="2"/>
        <v>-17095584</v>
      </c>
      <c r="S17" s="29">
        <f t="shared" si="3"/>
        <v>-3634142</v>
      </c>
      <c r="T17" s="23">
        <f t="shared" si="4"/>
        <v>-4249033</v>
      </c>
      <c r="U17" s="23">
        <f t="shared" si="5"/>
        <v>-4958473</v>
      </c>
      <c r="V17" s="30">
        <f t="shared" si="6"/>
        <v>-4253936</v>
      </c>
    </row>
    <row r="18" spans="1:22" x14ac:dyDescent="0.25">
      <c r="A18" s="37" t="str">
        <f t="shared" si="0"/>
        <v>2013 Software/Hardware Expense</v>
      </c>
      <c r="B18" s="7" t="s">
        <v>22</v>
      </c>
      <c r="C18" s="37" t="str">
        <f t="shared" si="1"/>
        <v>2013 Actuals Software/Hardware Expense</v>
      </c>
      <c r="D18" s="18">
        <v>2013</v>
      </c>
      <c r="E18" s="18" t="s">
        <v>16</v>
      </c>
      <c r="F18" s="8">
        <v>-1643593</v>
      </c>
      <c r="G18" s="8">
        <v>-1410736</v>
      </c>
      <c r="H18" s="8">
        <v>-2420767</v>
      </c>
      <c r="I18" s="8">
        <v>-2153538</v>
      </c>
      <c r="J18" s="8">
        <v>-2533689</v>
      </c>
      <c r="K18" s="8">
        <v>-1741008</v>
      </c>
      <c r="L18" s="8">
        <v>-2146318</v>
      </c>
      <c r="M18" s="8">
        <v>-2517357</v>
      </c>
      <c r="N18" s="8">
        <v>-2704417</v>
      </c>
      <c r="O18" s="8">
        <v>-2028595</v>
      </c>
      <c r="P18" s="8">
        <v>-2603838</v>
      </c>
      <c r="Q18" s="9">
        <v>-1295382</v>
      </c>
      <c r="R18" s="29">
        <f t="shared" si="2"/>
        <v>-25199238</v>
      </c>
      <c r="S18" s="29">
        <f t="shared" si="3"/>
        <v>-5475096</v>
      </c>
      <c r="T18" s="23">
        <f t="shared" si="4"/>
        <v>-6428235</v>
      </c>
      <c r="U18" s="23">
        <f t="shared" si="5"/>
        <v>-7368092</v>
      </c>
      <c r="V18" s="30">
        <f t="shared" si="6"/>
        <v>-5927815</v>
      </c>
    </row>
    <row r="19" spans="1:22" x14ac:dyDescent="0.25">
      <c r="A19" s="37" t="str">
        <f t="shared" si="0"/>
        <v>2013 Marketing Expense</v>
      </c>
      <c r="B19" s="7" t="s">
        <v>23</v>
      </c>
      <c r="C19" s="37" t="str">
        <f t="shared" si="1"/>
        <v>2013 Actuals Marketing Expense</v>
      </c>
      <c r="D19" s="18">
        <v>2013</v>
      </c>
      <c r="E19" s="18" t="s">
        <v>16</v>
      </c>
      <c r="F19" s="8">
        <v>-448703</v>
      </c>
      <c r="G19" s="8">
        <v>-383620</v>
      </c>
      <c r="H19" s="8">
        <v>-615643</v>
      </c>
      <c r="I19" s="8">
        <v>-713736</v>
      </c>
      <c r="J19" s="8">
        <v>-716076</v>
      </c>
      <c r="K19" s="8">
        <v>-430361</v>
      </c>
      <c r="L19" s="8">
        <v>-707885</v>
      </c>
      <c r="M19" s="8">
        <v>-733111</v>
      </c>
      <c r="N19" s="8">
        <v>-799880</v>
      </c>
      <c r="O19" s="8">
        <v>-586058</v>
      </c>
      <c r="P19" s="8">
        <v>-621736</v>
      </c>
      <c r="Q19" s="9">
        <v>-422427</v>
      </c>
      <c r="R19" s="29">
        <f t="shared" si="2"/>
        <v>-7179236</v>
      </c>
      <c r="S19" s="29">
        <f t="shared" si="3"/>
        <v>-1447966</v>
      </c>
      <c r="T19" s="23">
        <f t="shared" si="4"/>
        <v>-1860173</v>
      </c>
      <c r="U19" s="23">
        <f t="shared" si="5"/>
        <v>-2240876</v>
      </c>
      <c r="V19" s="30">
        <f t="shared" si="6"/>
        <v>-1630221</v>
      </c>
    </row>
    <row r="20" spans="1:22" x14ac:dyDescent="0.25">
      <c r="A20" s="37" t="str">
        <f t="shared" si="0"/>
        <v>2014 Sales</v>
      </c>
      <c r="B20" s="16" t="s">
        <v>15</v>
      </c>
      <c r="C20" s="132" t="str">
        <f t="shared" si="1"/>
        <v>2014 Actuals Sales</v>
      </c>
      <c r="D20" s="18">
        <v>2014</v>
      </c>
      <c r="E20" s="18" t="s">
        <v>16</v>
      </c>
      <c r="F20" s="8">
        <v>25551125.600000001</v>
      </c>
      <c r="G20" s="8">
        <v>27033585.600000001</v>
      </c>
      <c r="H20" s="8">
        <v>35796546.140000001</v>
      </c>
      <c r="I20" s="8">
        <v>18053347.949999999</v>
      </c>
      <c r="J20" s="8">
        <v>17054427.52</v>
      </c>
      <c r="K20" s="8">
        <v>27317568.050000001</v>
      </c>
      <c r="L20" s="8">
        <v>18796269.989999998</v>
      </c>
      <c r="M20" s="8">
        <v>20235971.100000001</v>
      </c>
      <c r="N20" s="8">
        <v>32597695.02</v>
      </c>
      <c r="O20" s="8">
        <v>20547965.100000001</v>
      </c>
      <c r="P20" s="8">
        <v>28503302</v>
      </c>
      <c r="Q20" s="9">
        <v>33402960</v>
      </c>
      <c r="R20" s="29">
        <f t="shared" si="2"/>
        <v>304890764.07000005</v>
      </c>
      <c r="S20" s="29">
        <f t="shared" si="3"/>
        <v>88381257.340000004</v>
      </c>
      <c r="T20" s="23">
        <f t="shared" si="4"/>
        <v>62425343.519999996</v>
      </c>
      <c r="U20" s="23">
        <f t="shared" si="5"/>
        <v>71629936.109999999</v>
      </c>
      <c r="V20" s="30">
        <f t="shared" si="6"/>
        <v>82454227.099999994</v>
      </c>
    </row>
    <row r="21" spans="1:22" x14ac:dyDescent="0.25">
      <c r="A21" s="37" t="str">
        <f t="shared" si="0"/>
        <v>2014 COGS</v>
      </c>
      <c r="B21" s="7" t="s">
        <v>34</v>
      </c>
      <c r="C21" s="37" t="str">
        <f t="shared" si="1"/>
        <v>2014 Actuals COGS</v>
      </c>
      <c r="D21" s="18">
        <v>2014</v>
      </c>
      <c r="E21" s="18" t="s">
        <v>16</v>
      </c>
      <c r="F21" s="8">
        <v>-12281785</v>
      </c>
      <c r="G21" s="8">
        <v>-11806223</v>
      </c>
      <c r="H21" s="8">
        <v>-16195590</v>
      </c>
      <c r="I21" s="8">
        <v>-8716303</v>
      </c>
      <c r="J21" s="8">
        <v>-7594755</v>
      </c>
      <c r="K21" s="8">
        <v>-12346026</v>
      </c>
      <c r="L21" s="8">
        <v>-8571654</v>
      </c>
      <c r="M21" s="8">
        <v>-8792279</v>
      </c>
      <c r="N21" s="8">
        <v>-13697258</v>
      </c>
      <c r="O21" s="8">
        <v>-9660014</v>
      </c>
      <c r="P21" s="8">
        <v>-12192298</v>
      </c>
      <c r="Q21" s="9">
        <v>-13616846</v>
      </c>
      <c r="R21" s="29">
        <f t="shared" si="2"/>
        <v>-135471031</v>
      </c>
      <c r="S21" s="29">
        <f t="shared" si="3"/>
        <v>-40283598</v>
      </c>
      <c r="T21" s="23">
        <f t="shared" si="4"/>
        <v>-28657084</v>
      </c>
      <c r="U21" s="23">
        <f t="shared" si="5"/>
        <v>-31061191</v>
      </c>
      <c r="V21" s="30">
        <f t="shared" si="6"/>
        <v>-35469158</v>
      </c>
    </row>
    <row r="22" spans="1:22" x14ac:dyDescent="0.25">
      <c r="A22" s="37" t="str">
        <f t="shared" si="0"/>
        <v>2014 Commissions Expense</v>
      </c>
      <c r="B22" s="7" t="s">
        <v>17</v>
      </c>
      <c r="C22" s="37" t="str">
        <f t="shared" si="1"/>
        <v>2014 Actuals Commissions Expense</v>
      </c>
      <c r="D22" s="18">
        <v>2014</v>
      </c>
      <c r="E22" s="18" t="s">
        <v>16</v>
      </c>
      <c r="F22" s="8">
        <v>-1071411</v>
      </c>
      <c r="G22" s="8">
        <v>-1096480</v>
      </c>
      <c r="H22" s="8">
        <v>-1629789</v>
      </c>
      <c r="I22" s="8">
        <v>-758301</v>
      </c>
      <c r="J22" s="8">
        <v>-754325</v>
      </c>
      <c r="K22" s="8">
        <v>-1304916</v>
      </c>
      <c r="L22" s="8">
        <v>-823868</v>
      </c>
      <c r="M22" s="8">
        <v>-817673</v>
      </c>
      <c r="N22" s="8">
        <v>-1590942</v>
      </c>
      <c r="O22" s="8">
        <v>-938741</v>
      </c>
      <c r="P22" s="8">
        <v>-1163913</v>
      </c>
      <c r="Q22" s="9">
        <v>-1561563</v>
      </c>
      <c r="R22" s="29">
        <f t="shared" si="2"/>
        <v>-13511922</v>
      </c>
      <c r="S22" s="29">
        <f t="shared" si="3"/>
        <v>-3797680</v>
      </c>
      <c r="T22" s="23">
        <f t="shared" si="4"/>
        <v>-2817542</v>
      </c>
      <c r="U22" s="23">
        <f t="shared" si="5"/>
        <v>-3232483</v>
      </c>
      <c r="V22" s="30">
        <f t="shared" si="6"/>
        <v>-3664217</v>
      </c>
    </row>
    <row r="23" spans="1:22" x14ac:dyDescent="0.25">
      <c r="A23" s="37" t="str">
        <f t="shared" si="0"/>
        <v>2014 Payroll Expense</v>
      </c>
      <c r="B23" s="7" t="s">
        <v>18</v>
      </c>
      <c r="C23" s="37" t="str">
        <f t="shared" si="1"/>
        <v>2014 Actuals Payroll Expense</v>
      </c>
      <c r="D23" s="18">
        <v>2014</v>
      </c>
      <c r="E23" s="18" t="s">
        <v>16</v>
      </c>
      <c r="F23" s="8">
        <v>-2862315</v>
      </c>
      <c r="G23" s="8">
        <v>-2916140</v>
      </c>
      <c r="H23" s="8">
        <v>-3680507</v>
      </c>
      <c r="I23" s="8">
        <v>-2237785</v>
      </c>
      <c r="J23" s="8">
        <v>-2017248</v>
      </c>
      <c r="K23" s="8">
        <v>-2969483</v>
      </c>
      <c r="L23" s="8">
        <v>-1933361</v>
      </c>
      <c r="M23" s="8">
        <v>-2483806</v>
      </c>
      <c r="N23" s="8">
        <v>-3462148</v>
      </c>
      <c r="O23" s="8">
        <v>-2092959</v>
      </c>
      <c r="P23" s="8">
        <v>-3143791</v>
      </c>
      <c r="Q23" s="9">
        <v>-3950404</v>
      </c>
      <c r="R23" s="29">
        <f t="shared" si="2"/>
        <v>-33749947</v>
      </c>
      <c r="S23" s="29">
        <f t="shared" si="3"/>
        <v>-9458962</v>
      </c>
      <c r="T23" s="23">
        <f t="shared" si="4"/>
        <v>-7224516</v>
      </c>
      <c r="U23" s="23">
        <f t="shared" si="5"/>
        <v>-7879315</v>
      </c>
      <c r="V23" s="30">
        <f t="shared" si="6"/>
        <v>-9187154</v>
      </c>
    </row>
    <row r="24" spans="1:22" x14ac:dyDescent="0.25">
      <c r="A24" s="37" t="str">
        <f t="shared" si="0"/>
        <v>2014 Travel &amp; Entertainment Expense</v>
      </c>
      <c r="B24" s="7" t="s">
        <v>19</v>
      </c>
      <c r="C24" s="37" t="str">
        <f t="shared" si="1"/>
        <v>2014 Actuals Travel &amp; Entertainment Expense</v>
      </c>
      <c r="D24" s="18">
        <v>2014</v>
      </c>
      <c r="E24" s="18" t="s">
        <v>16</v>
      </c>
      <c r="F24" s="8">
        <v>-295032</v>
      </c>
      <c r="G24" s="8">
        <v>-281721</v>
      </c>
      <c r="H24" s="8">
        <v>-360010</v>
      </c>
      <c r="I24" s="8">
        <v>-215094</v>
      </c>
      <c r="J24" s="8">
        <v>-177449</v>
      </c>
      <c r="K24" s="8">
        <v>-277921</v>
      </c>
      <c r="L24" s="8">
        <v>-210549</v>
      </c>
      <c r="M24" s="8">
        <v>-251945</v>
      </c>
      <c r="N24" s="8">
        <v>-394839</v>
      </c>
      <c r="O24" s="8">
        <v>-241749</v>
      </c>
      <c r="P24" s="8">
        <v>-339129</v>
      </c>
      <c r="Q24" s="9">
        <v>-403062</v>
      </c>
      <c r="R24" s="29">
        <f t="shared" si="2"/>
        <v>-3448500</v>
      </c>
      <c r="S24" s="29">
        <f t="shared" si="3"/>
        <v>-936763</v>
      </c>
      <c r="T24" s="23">
        <f t="shared" si="4"/>
        <v>-670464</v>
      </c>
      <c r="U24" s="23">
        <f t="shared" si="5"/>
        <v>-857333</v>
      </c>
      <c r="V24" s="30">
        <f t="shared" si="6"/>
        <v>-983940</v>
      </c>
    </row>
    <row r="25" spans="1:22" x14ac:dyDescent="0.25">
      <c r="A25" s="37" t="str">
        <f t="shared" si="0"/>
        <v>2014 R&amp;D Expense</v>
      </c>
      <c r="B25" s="7" t="s">
        <v>20</v>
      </c>
      <c r="C25" s="37" t="str">
        <f t="shared" si="1"/>
        <v>2014 Actuals R&amp;D Expense</v>
      </c>
      <c r="D25" s="18">
        <v>2014</v>
      </c>
      <c r="E25" s="18" t="s">
        <v>16</v>
      </c>
      <c r="F25" s="8">
        <v>-1184703</v>
      </c>
      <c r="G25" s="8">
        <v>-1206612</v>
      </c>
      <c r="H25" s="8">
        <v>-1706514</v>
      </c>
      <c r="I25" s="8">
        <v>-787069</v>
      </c>
      <c r="J25" s="8">
        <v>-719494</v>
      </c>
      <c r="K25" s="8">
        <v>-1217784</v>
      </c>
      <c r="L25" s="8">
        <v>-802138</v>
      </c>
      <c r="M25" s="8">
        <v>-1010960</v>
      </c>
      <c r="N25" s="8">
        <v>-1342224</v>
      </c>
      <c r="O25" s="8">
        <v>-929984</v>
      </c>
      <c r="P25" s="8">
        <v>-1347763</v>
      </c>
      <c r="Q25" s="9">
        <v>-1538947</v>
      </c>
      <c r="R25" s="29">
        <f t="shared" si="2"/>
        <v>-13794192</v>
      </c>
      <c r="S25" s="29">
        <f t="shared" si="3"/>
        <v>-4097829</v>
      </c>
      <c r="T25" s="23">
        <f t="shared" si="4"/>
        <v>-2724347</v>
      </c>
      <c r="U25" s="23">
        <f t="shared" si="5"/>
        <v>-3155322</v>
      </c>
      <c r="V25" s="30">
        <f t="shared" si="6"/>
        <v>-3816694</v>
      </c>
    </row>
    <row r="26" spans="1:22" x14ac:dyDescent="0.25">
      <c r="A26" s="37" t="str">
        <f t="shared" si="0"/>
        <v>2014 Consulting Expense</v>
      </c>
      <c r="B26" s="7" t="s">
        <v>21</v>
      </c>
      <c r="C26" s="37" t="str">
        <f t="shared" si="1"/>
        <v>2014 Actuals Consulting Expense</v>
      </c>
      <c r="D26" s="18">
        <v>2014</v>
      </c>
      <c r="E26" s="18" t="s">
        <v>16</v>
      </c>
      <c r="F26" s="8">
        <v>-1396550</v>
      </c>
      <c r="G26" s="8">
        <v>-1412122</v>
      </c>
      <c r="H26" s="8">
        <v>-1960177</v>
      </c>
      <c r="I26" s="8">
        <v>-1021805</v>
      </c>
      <c r="J26" s="8">
        <v>-1016393</v>
      </c>
      <c r="K26" s="8">
        <v>-1460281</v>
      </c>
      <c r="L26" s="8">
        <v>-1158758</v>
      </c>
      <c r="M26" s="8">
        <v>-1212490</v>
      </c>
      <c r="N26" s="8">
        <v>-1926307</v>
      </c>
      <c r="O26" s="8">
        <v>-1095283</v>
      </c>
      <c r="P26" s="8">
        <v>-1655140</v>
      </c>
      <c r="Q26" s="9">
        <v>-2087346</v>
      </c>
      <c r="R26" s="29">
        <f t="shared" si="2"/>
        <v>-17402652</v>
      </c>
      <c r="S26" s="29">
        <f t="shared" si="3"/>
        <v>-4768849</v>
      </c>
      <c r="T26" s="23">
        <f t="shared" si="4"/>
        <v>-3498479</v>
      </c>
      <c r="U26" s="23">
        <f t="shared" si="5"/>
        <v>-4297555</v>
      </c>
      <c r="V26" s="30">
        <f t="shared" si="6"/>
        <v>-4837769</v>
      </c>
    </row>
    <row r="27" spans="1:22" x14ac:dyDescent="0.25">
      <c r="A27" s="37" t="str">
        <f t="shared" si="0"/>
        <v>2014 Software/Hardware Expense</v>
      </c>
      <c r="B27" s="7" t="s">
        <v>22</v>
      </c>
      <c r="C27" s="37" t="str">
        <f t="shared" si="1"/>
        <v>2014 Actuals Software/Hardware Expense</v>
      </c>
      <c r="D27" s="18">
        <v>2014</v>
      </c>
      <c r="E27" s="18" t="s">
        <v>16</v>
      </c>
      <c r="F27" s="8">
        <v>-2055703</v>
      </c>
      <c r="G27" s="8">
        <v>-1910219</v>
      </c>
      <c r="H27" s="8">
        <v>-2832136</v>
      </c>
      <c r="I27" s="8">
        <v>-1380565</v>
      </c>
      <c r="J27" s="8">
        <v>-1364825</v>
      </c>
      <c r="K27" s="8">
        <v>-2260644</v>
      </c>
      <c r="L27" s="8">
        <v>-1615169</v>
      </c>
      <c r="M27" s="8">
        <v>-1655450</v>
      </c>
      <c r="N27" s="8">
        <v>-2372522</v>
      </c>
      <c r="O27" s="8">
        <v>-1789944</v>
      </c>
      <c r="P27" s="8">
        <v>-2194746</v>
      </c>
      <c r="Q27" s="9">
        <v>-2825224</v>
      </c>
      <c r="R27" s="29">
        <f t="shared" si="2"/>
        <v>-24257147</v>
      </c>
      <c r="S27" s="29">
        <f t="shared" si="3"/>
        <v>-6798058</v>
      </c>
      <c r="T27" s="23">
        <f t="shared" si="4"/>
        <v>-5006034</v>
      </c>
      <c r="U27" s="23">
        <f t="shared" si="5"/>
        <v>-5643141</v>
      </c>
      <c r="V27" s="30">
        <f t="shared" si="6"/>
        <v>-6809914</v>
      </c>
    </row>
    <row r="28" spans="1:22" x14ac:dyDescent="0.25">
      <c r="A28" s="37" t="str">
        <f t="shared" si="0"/>
        <v>2014 Marketing Expense</v>
      </c>
      <c r="B28" s="7" t="s">
        <v>23</v>
      </c>
      <c r="C28" s="37" t="str">
        <f t="shared" si="1"/>
        <v>2014 Actuals Marketing Expense</v>
      </c>
      <c r="D28" s="18">
        <v>2014</v>
      </c>
      <c r="E28" s="18" t="s">
        <v>16</v>
      </c>
      <c r="F28" s="8">
        <v>-551509</v>
      </c>
      <c r="G28" s="8">
        <v>-553460</v>
      </c>
      <c r="H28" s="8">
        <v>-858779</v>
      </c>
      <c r="I28" s="8">
        <v>-444914</v>
      </c>
      <c r="J28" s="8">
        <v>-346671</v>
      </c>
      <c r="K28" s="8">
        <v>-561327</v>
      </c>
      <c r="L28" s="8">
        <v>-421945</v>
      </c>
      <c r="M28" s="8">
        <v>-459673</v>
      </c>
      <c r="N28" s="8">
        <v>-699116</v>
      </c>
      <c r="O28" s="8">
        <v>-436835</v>
      </c>
      <c r="P28" s="8">
        <v>-646474</v>
      </c>
      <c r="Q28" s="9">
        <v>-790325</v>
      </c>
      <c r="R28" s="29">
        <f t="shared" si="2"/>
        <v>-6771028</v>
      </c>
      <c r="S28" s="29">
        <f t="shared" si="3"/>
        <v>-1963748</v>
      </c>
      <c r="T28" s="23">
        <f t="shared" si="4"/>
        <v>-1352912</v>
      </c>
      <c r="U28" s="23">
        <f t="shared" si="5"/>
        <v>-1580734</v>
      </c>
      <c r="V28" s="30">
        <f t="shared" si="6"/>
        <v>-1873634</v>
      </c>
    </row>
    <row r="29" spans="1:22" x14ac:dyDescent="0.25">
      <c r="A29" s="37" t="str">
        <f t="shared" si="0"/>
        <v>2015 Sales</v>
      </c>
      <c r="B29" s="16" t="s">
        <v>15</v>
      </c>
      <c r="C29" s="132" t="str">
        <f t="shared" si="1"/>
        <v>2015 Actuals Sales</v>
      </c>
      <c r="D29" s="18">
        <v>2015</v>
      </c>
      <c r="E29" s="18" t="s">
        <v>16</v>
      </c>
      <c r="F29" s="8">
        <v>16969408.800000001</v>
      </c>
      <c r="G29" s="8">
        <v>20671365</v>
      </c>
      <c r="H29" s="8">
        <v>21706988.52</v>
      </c>
      <c r="I29" s="8">
        <v>16485722.880000001</v>
      </c>
      <c r="J29" s="8">
        <v>33633742.350000001</v>
      </c>
      <c r="K29" s="8">
        <v>25985002.59</v>
      </c>
      <c r="L29" s="8">
        <v>30855846.899999999</v>
      </c>
      <c r="M29" s="8">
        <v>22620783.600000001</v>
      </c>
      <c r="N29" s="8">
        <v>30238140.399999999</v>
      </c>
      <c r="O29" s="8">
        <v>33424817.48</v>
      </c>
      <c r="P29" s="8">
        <v>28877124.16</v>
      </c>
      <c r="Q29" s="9">
        <v>31591279.079999998</v>
      </c>
      <c r="R29" s="29">
        <f t="shared" si="2"/>
        <v>313060221.75999999</v>
      </c>
      <c r="S29" s="29">
        <f t="shared" si="3"/>
        <v>59347762.319999993</v>
      </c>
      <c r="T29" s="23">
        <f t="shared" si="4"/>
        <v>76104467.820000008</v>
      </c>
      <c r="U29" s="23">
        <f t="shared" si="5"/>
        <v>83714770.900000006</v>
      </c>
      <c r="V29" s="30">
        <f t="shared" si="6"/>
        <v>93893220.719999999</v>
      </c>
    </row>
    <row r="30" spans="1:22" x14ac:dyDescent="0.25">
      <c r="A30" s="37" t="str">
        <f t="shared" si="0"/>
        <v>2015 COGS</v>
      </c>
      <c r="B30" s="7" t="s">
        <v>34</v>
      </c>
      <c r="C30" s="37" t="str">
        <f t="shared" si="1"/>
        <v>2015 Actuals COGS</v>
      </c>
      <c r="D30" s="18">
        <v>2015</v>
      </c>
      <c r="E30" s="18" t="s">
        <v>16</v>
      </c>
      <c r="F30" s="8">
        <v>-7450571</v>
      </c>
      <c r="G30" s="8">
        <v>-10294064</v>
      </c>
      <c r="H30" s="8">
        <v>-9221253</v>
      </c>
      <c r="I30" s="8">
        <v>-7725376</v>
      </c>
      <c r="J30" s="8">
        <v>-13917348</v>
      </c>
      <c r="K30" s="8">
        <v>-12519321</v>
      </c>
      <c r="L30" s="8">
        <v>-13571742</v>
      </c>
      <c r="M30" s="8">
        <v>-9837654</v>
      </c>
      <c r="N30" s="8">
        <v>-12678165</v>
      </c>
      <c r="O30" s="8">
        <v>-16340698</v>
      </c>
      <c r="P30" s="8">
        <v>-12993746</v>
      </c>
      <c r="Q30" s="9">
        <v>-13172331</v>
      </c>
      <c r="R30" s="29">
        <f t="shared" si="2"/>
        <v>-139722269</v>
      </c>
      <c r="S30" s="29">
        <f t="shared" si="3"/>
        <v>-26965888</v>
      </c>
      <c r="T30" s="23">
        <f t="shared" si="4"/>
        <v>-34162045</v>
      </c>
      <c r="U30" s="23">
        <f t="shared" si="5"/>
        <v>-36087561</v>
      </c>
      <c r="V30" s="30">
        <f t="shared" si="6"/>
        <v>-42506775</v>
      </c>
    </row>
    <row r="31" spans="1:22" x14ac:dyDescent="0.25">
      <c r="A31" s="37" t="str">
        <f t="shared" si="0"/>
        <v>2015 Commissions Expense</v>
      </c>
      <c r="B31" s="7" t="s">
        <v>17</v>
      </c>
      <c r="C31" s="37" t="str">
        <f t="shared" si="1"/>
        <v>2015 Actuals Commissions Expense</v>
      </c>
      <c r="D31" s="18">
        <v>2015</v>
      </c>
      <c r="E31" s="18" t="s">
        <v>16</v>
      </c>
      <c r="F31" s="8">
        <v>-715290</v>
      </c>
      <c r="G31" s="8">
        <v>-904129</v>
      </c>
      <c r="H31" s="8">
        <v>-931252</v>
      </c>
      <c r="I31" s="8">
        <v>-711157</v>
      </c>
      <c r="J31" s="8">
        <v>-1659270</v>
      </c>
      <c r="K31" s="8">
        <v>-1221659</v>
      </c>
      <c r="L31" s="8">
        <v>-1350283</v>
      </c>
      <c r="M31" s="8">
        <v>-929404</v>
      </c>
      <c r="N31" s="8">
        <v>-1347979</v>
      </c>
      <c r="O31" s="8">
        <v>-1470024</v>
      </c>
      <c r="P31" s="8">
        <v>-1389785</v>
      </c>
      <c r="Q31" s="9">
        <v>-1287585</v>
      </c>
      <c r="R31" s="29">
        <f t="shared" si="2"/>
        <v>-13917817</v>
      </c>
      <c r="S31" s="29">
        <f t="shared" si="3"/>
        <v>-2550671</v>
      </c>
      <c r="T31" s="23">
        <f t="shared" si="4"/>
        <v>-3592086</v>
      </c>
      <c r="U31" s="23">
        <f t="shared" si="5"/>
        <v>-3627666</v>
      </c>
      <c r="V31" s="30">
        <f t="shared" si="6"/>
        <v>-4147394</v>
      </c>
    </row>
    <row r="32" spans="1:22" x14ac:dyDescent="0.25">
      <c r="A32" s="37" t="str">
        <f t="shared" si="0"/>
        <v>2015 Payroll Expense</v>
      </c>
      <c r="B32" s="7" t="s">
        <v>18</v>
      </c>
      <c r="C32" s="37" t="str">
        <f t="shared" si="1"/>
        <v>2015 Actuals Payroll Expense</v>
      </c>
      <c r="D32" s="18">
        <v>2015</v>
      </c>
      <c r="E32" s="18" t="s">
        <v>16</v>
      </c>
      <c r="F32" s="8">
        <v>-1988528</v>
      </c>
      <c r="G32" s="8">
        <v>-2459353</v>
      </c>
      <c r="H32" s="8">
        <v>-2709458</v>
      </c>
      <c r="I32" s="8">
        <v>-2003559</v>
      </c>
      <c r="J32" s="8">
        <v>-3552022</v>
      </c>
      <c r="K32" s="8">
        <v>-2709456</v>
      </c>
      <c r="L32" s="8">
        <v>-3252981</v>
      </c>
      <c r="M32" s="8">
        <v>-2779126</v>
      </c>
      <c r="N32" s="8">
        <v>-3172400</v>
      </c>
      <c r="O32" s="8">
        <v>-3896025</v>
      </c>
      <c r="P32" s="8">
        <v>-3318030</v>
      </c>
      <c r="Q32" s="9">
        <v>-3813684</v>
      </c>
      <c r="R32" s="29">
        <f t="shared" si="2"/>
        <v>-35654622</v>
      </c>
      <c r="S32" s="29">
        <f t="shared" si="3"/>
        <v>-7157339</v>
      </c>
      <c r="T32" s="23">
        <f t="shared" si="4"/>
        <v>-8265037</v>
      </c>
      <c r="U32" s="23">
        <f t="shared" si="5"/>
        <v>-9204507</v>
      </c>
      <c r="V32" s="30">
        <f t="shared" si="6"/>
        <v>-11027739</v>
      </c>
    </row>
    <row r="33" spans="1:22" x14ac:dyDescent="0.25">
      <c r="A33" s="37" t="str">
        <f t="shared" si="0"/>
        <v>2015 Travel &amp; Entertainment Expense</v>
      </c>
      <c r="B33" s="7" t="s">
        <v>19</v>
      </c>
      <c r="C33" s="37" t="str">
        <f t="shared" si="1"/>
        <v>2015 Actuals Travel &amp; Entertainment Expense</v>
      </c>
      <c r="D33" s="18">
        <v>2015</v>
      </c>
      <c r="E33" s="18" t="s">
        <v>16</v>
      </c>
      <c r="F33" s="8">
        <v>-205282</v>
      </c>
      <c r="G33" s="8">
        <v>-225837</v>
      </c>
      <c r="H33" s="8">
        <v>-227747</v>
      </c>
      <c r="I33" s="8">
        <v>-169757</v>
      </c>
      <c r="J33" s="8">
        <v>-347847</v>
      </c>
      <c r="K33" s="8">
        <v>-269530</v>
      </c>
      <c r="L33" s="8">
        <v>-324152</v>
      </c>
      <c r="M33" s="8">
        <v>-253011</v>
      </c>
      <c r="N33" s="8">
        <v>-324488</v>
      </c>
      <c r="O33" s="8">
        <v>-370035</v>
      </c>
      <c r="P33" s="8">
        <v>-330614</v>
      </c>
      <c r="Q33" s="9">
        <v>-360629</v>
      </c>
      <c r="R33" s="29">
        <f t="shared" si="2"/>
        <v>-3408929</v>
      </c>
      <c r="S33" s="29">
        <f t="shared" si="3"/>
        <v>-658866</v>
      </c>
      <c r="T33" s="23">
        <f t="shared" si="4"/>
        <v>-787134</v>
      </c>
      <c r="U33" s="23">
        <f t="shared" si="5"/>
        <v>-901651</v>
      </c>
      <c r="V33" s="30">
        <f t="shared" si="6"/>
        <v>-1061278</v>
      </c>
    </row>
    <row r="34" spans="1:22" x14ac:dyDescent="0.25">
      <c r="A34" s="37" t="str">
        <f t="shared" si="0"/>
        <v>2015 R&amp;D Expense</v>
      </c>
      <c r="B34" s="7" t="s">
        <v>20</v>
      </c>
      <c r="C34" s="37" t="str">
        <f t="shared" si="1"/>
        <v>2015 Actuals R&amp;D Expense</v>
      </c>
      <c r="D34" s="18">
        <v>2015</v>
      </c>
      <c r="E34" s="18" t="s">
        <v>16</v>
      </c>
      <c r="F34" s="8">
        <v>-723600</v>
      </c>
      <c r="G34" s="8">
        <v>-1004867</v>
      </c>
      <c r="H34" s="8">
        <v>-965808</v>
      </c>
      <c r="I34" s="8">
        <v>-689206</v>
      </c>
      <c r="J34" s="8">
        <v>-1499915</v>
      </c>
      <c r="K34" s="8">
        <v>-1141605</v>
      </c>
      <c r="L34" s="8">
        <v>-1507171</v>
      </c>
      <c r="M34" s="8">
        <v>-1075555</v>
      </c>
      <c r="N34" s="8">
        <v>-1237536</v>
      </c>
      <c r="O34" s="8">
        <v>-1515831</v>
      </c>
      <c r="P34" s="8">
        <v>-1394273</v>
      </c>
      <c r="Q34" s="9">
        <v>-1442698</v>
      </c>
      <c r="R34" s="29">
        <f t="shared" si="2"/>
        <v>-14198065</v>
      </c>
      <c r="S34" s="29">
        <f t="shared" si="3"/>
        <v>-2694275</v>
      </c>
      <c r="T34" s="23">
        <f t="shared" si="4"/>
        <v>-3330726</v>
      </c>
      <c r="U34" s="23">
        <f t="shared" si="5"/>
        <v>-3820262</v>
      </c>
      <c r="V34" s="30">
        <f t="shared" si="6"/>
        <v>-4352802</v>
      </c>
    </row>
    <row r="35" spans="1:22" x14ac:dyDescent="0.25">
      <c r="A35" s="37" t="str">
        <f t="shared" si="0"/>
        <v>2015 Consulting Expense</v>
      </c>
      <c r="B35" s="7" t="s">
        <v>21</v>
      </c>
      <c r="C35" s="37" t="str">
        <f t="shared" si="1"/>
        <v>2015 Actuals Consulting Expense</v>
      </c>
      <c r="D35" s="18">
        <v>2015</v>
      </c>
      <c r="E35" s="18" t="s">
        <v>16</v>
      </c>
      <c r="F35" s="8">
        <v>-1017910</v>
      </c>
      <c r="G35" s="8">
        <v>-1145770</v>
      </c>
      <c r="H35" s="8">
        <v>-1136471</v>
      </c>
      <c r="I35" s="8">
        <v>-873995</v>
      </c>
      <c r="J35" s="8">
        <v>-1914496</v>
      </c>
      <c r="K35" s="8">
        <v>-1546855</v>
      </c>
      <c r="L35" s="8">
        <v>-1592349</v>
      </c>
      <c r="M35" s="8">
        <v>-1318910</v>
      </c>
      <c r="N35" s="8">
        <v>-1733965</v>
      </c>
      <c r="O35" s="8">
        <v>-2010672</v>
      </c>
      <c r="P35" s="8">
        <v>-1596932</v>
      </c>
      <c r="Q35" s="9">
        <v>-1693505</v>
      </c>
      <c r="R35" s="29">
        <f t="shared" si="2"/>
        <v>-17581830</v>
      </c>
      <c r="S35" s="29">
        <f t="shared" si="3"/>
        <v>-3300151</v>
      </c>
      <c r="T35" s="23">
        <f t="shared" si="4"/>
        <v>-4335346</v>
      </c>
      <c r="U35" s="23">
        <f t="shared" si="5"/>
        <v>-4645224</v>
      </c>
      <c r="V35" s="30">
        <f t="shared" si="6"/>
        <v>-5301109</v>
      </c>
    </row>
    <row r="36" spans="1:22" x14ac:dyDescent="0.25">
      <c r="A36" s="37" t="str">
        <f t="shared" si="0"/>
        <v>2015 Software/Hardware Expense</v>
      </c>
      <c r="B36" s="7" t="s">
        <v>22</v>
      </c>
      <c r="C36" s="37" t="str">
        <f t="shared" si="1"/>
        <v>2015 Actuals Software/Hardware Expense</v>
      </c>
      <c r="D36" s="18">
        <v>2015</v>
      </c>
      <c r="E36" s="18" t="s">
        <v>16</v>
      </c>
      <c r="F36" s="8">
        <v>-1206195</v>
      </c>
      <c r="G36" s="8">
        <v>-1591750</v>
      </c>
      <c r="H36" s="8">
        <v>-1622068</v>
      </c>
      <c r="I36" s="8">
        <v>-1226905</v>
      </c>
      <c r="J36" s="8">
        <v>-2863033</v>
      </c>
      <c r="K36" s="8">
        <v>-2160356</v>
      </c>
      <c r="L36" s="8">
        <v>-2268443</v>
      </c>
      <c r="M36" s="8">
        <v>-1907784</v>
      </c>
      <c r="N36" s="8">
        <v>-2503681</v>
      </c>
      <c r="O36" s="8">
        <v>-2409168</v>
      </c>
      <c r="P36" s="8">
        <v>-2141293</v>
      </c>
      <c r="Q36" s="9">
        <v>-2275942</v>
      </c>
      <c r="R36" s="29">
        <f t="shared" si="2"/>
        <v>-24176618</v>
      </c>
      <c r="S36" s="29">
        <f t="shared" si="3"/>
        <v>-4420013</v>
      </c>
      <c r="T36" s="23">
        <f t="shared" si="4"/>
        <v>-6250294</v>
      </c>
      <c r="U36" s="23">
        <f t="shared" si="5"/>
        <v>-6679908</v>
      </c>
      <c r="V36" s="30">
        <f t="shared" si="6"/>
        <v>-6826403</v>
      </c>
    </row>
    <row r="37" spans="1:22" x14ac:dyDescent="0.25">
      <c r="A37" s="37" t="str">
        <f t="shared" si="0"/>
        <v>2015 Marketing Expense</v>
      </c>
      <c r="B37" s="7" t="s">
        <v>23</v>
      </c>
      <c r="C37" s="37" t="str">
        <f t="shared" si="1"/>
        <v>2015 Actuals Marketing Expense</v>
      </c>
      <c r="D37" s="18">
        <v>2015</v>
      </c>
      <c r="E37" s="18" t="s">
        <v>16</v>
      </c>
      <c r="F37" s="8">
        <v>-361779</v>
      </c>
      <c r="G37" s="8">
        <v>-465522</v>
      </c>
      <c r="H37" s="8">
        <v>-435154</v>
      </c>
      <c r="I37" s="8">
        <v>-387703</v>
      </c>
      <c r="J37" s="8">
        <v>-771709</v>
      </c>
      <c r="K37" s="8">
        <v>-598031</v>
      </c>
      <c r="L37" s="8">
        <v>-742056</v>
      </c>
      <c r="M37" s="8">
        <v>-491851</v>
      </c>
      <c r="N37" s="8">
        <v>-630665</v>
      </c>
      <c r="O37" s="8">
        <v>-803064</v>
      </c>
      <c r="P37" s="8">
        <v>-602653</v>
      </c>
      <c r="Q37" s="9">
        <v>-683941</v>
      </c>
      <c r="R37" s="29">
        <f t="shared" si="2"/>
        <v>-6974128</v>
      </c>
      <c r="S37" s="29">
        <f t="shared" si="3"/>
        <v>-1262455</v>
      </c>
      <c r="T37" s="23">
        <f t="shared" si="4"/>
        <v>-1757443</v>
      </c>
      <c r="U37" s="23">
        <f t="shared" si="5"/>
        <v>-1864572</v>
      </c>
      <c r="V37" s="30">
        <f t="shared" si="6"/>
        <v>-2089658</v>
      </c>
    </row>
    <row r="38" spans="1:22" x14ac:dyDescent="0.25">
      <c r="A38" s="37" t="str">
        <f t="shared" si="0"/>
        <v>2016 Sales</v>
      </c>
      <c r="B38" s="16" t="s">
        <v>15</v>
      </c>
      <c r="C38" s="132" t="str">
        <f t="shared" si="1"/>
        <v>2016 Actuals Sales</v>
      </c>
      <c r="D38" s="18">
        <v>2016</v>
      </c>
      <c r="E38" s="18" t="s">
        <v>16</v>
      </c>
      <c r="F38" s="8">
        <v>31845794.370000001</v>
      </c>
      <c r="G38" s="8">
        <v>30082145.760000002</v>
      </c>
      <c r="H38" s="8">
        <v>18590909.100000001</v>
      </c>
      <c r="I38" s="8">
        <v>19719345.210000001</v>
      </c>
      <c r="J38" s="8">
        <v>31899202.57</v>
      </c>
      <c r="K38" s="8">
        <v>28967795.84</v>
      </c>
      <c r="L38" s="8">
        <v>35768218.939999998</v>
      </c>
      <c r="M38" s="8">
        <v>34459093.200000003</v>
      </c>
      <c r="N38" s="8">
        <v>27231867.23</v>
      </c>
      <c r="O38" s="8">
        <v>29870048.559999999</v>
      </c>
      <c r="P38" s="8">
        <v>16952764.949999999</v>
      </c>
      <c r="Q38" s="9">
        <v>32186199.879999999</v>
      </c>
      <c r="R38" s="29">
        <f t="shared" si="2"/>
        <v>337573385.60999995</v>
      </c>
      <c r="S38" s="29">
        <f t="shared" si="3"/>
        <v>80518849.230000004</v>
      </c>
      <c r="T38" s="23">
        <f t="shared" si="4"/>
        <v>80586343.620000005</v>
      </c>
      <c r="U38" s="23">
        <f t="shared" si="5"/>
        <v>97459179.370000005</v>
      </c>
      <c r="V38" s="30">
        <f t="shared" si="6"/>
        <v>79009013.390000001</v>
      </c>
    </row>
    <row r="39" spans="1:22" x14ac:dyDescent="0.25">
      <c r="A39" s="37" t="str">
        <f t="shared" si="0"/>
        <v>2016 COGS</v>
      </c>
      <c r="B39" s="7" t="s">
        <v>34</v>
      </c>
      <c r="C39" s="37" t="str">
        <f t="shared" si="1"/>
        <v>2016 Actuals COGS</v>
      </c>
      <c r="D39" s="18">
        <v>2016</v>
      </c>
      <c r="E39" s="18" t="s">
        <v>16</v>
      </c>
      <c r="F39" s="8">
        <v>-13200712</v>
      </c>
      <c r="G39" s="8">
        <v>-12724470</v>
      </c>
      <c r="H39" s="8">
        <v>-8005672</v>
      </c>
      <c r="I39" s="8">
        <v>-8313897</v>
      </c>
      <c r="J39" s="8">
        <v>-13789811</v>
      </c>
      <c r="K39" s="8">
        <v>-12486225</v>
      </c>
      <c r="L39" s="8">
        <v>-14967747</v>
      </c>
      <c r="M39" s="8">
        <v>-16272271</v>
      </c>
      <c r="N39" s="8">
        <v>-13336587</v>
      </c>
      <c r="O39" s="8">
        <v>-14070961</v>
      </c>
      <c r="P39" s="8">
        <v>-7089539</v>
      </c>
      <c r="Q39" s="9">
        <v>-13748549</v>
      </c>
      <c r="R39" s="29">
        <f t="shared" si="2"/>
        <v>-148006441</v>
      </c>
      <c r="S39" s="29">
        <f t="shared" si="3"/>
        <v>-33930854</v>
      </c>
      <c r="T39" s="23">
        <f t="shared" si="4"/>
        <v>-34589933</v>
      </c>
      <c r="U39" s="23">
        <f t="shared" si="5"/>
        <v>-44576605</v>
      </c>
      <c r="V39" s="30">
        <f t="shared" si="6"/>
        <v>-34909049</v>
      </c>
    </row>
    <row r="40" spans="1:22" x14ac:dyDescent="0.25">
      <c r="A40" s="37" t="str">
        <f t="shared" si="0"/>
        <v>2016 Commissions Expense</v>
      </c>
      <c r="B40" s="7" t="s">
        <v>17</v>
      </c>
      <c r="C40" s="37" t="str">
        <f t="shared" si="1"/>
        <v>2016 Actuals Commissions Expense</v>
      </c>
      <c r="D40" s="18">
        <v>2016</v>
      </c>
      <c r="E40" s="18" t="s">
        <v>16</v>
      </c>
      <c r="F40" s="8">
        <v>-1382258</v>
      </c>
      <c r="G40" s="8">
        <v>-1379467</v>
      </c>
      <c r="H40" s="8">
        <v>-909010</v>
      </c>
      <c r="I40" s="8">
        <v>-890247</v>
      </c>
      <c r="J40" s="8">
        <v>-1385535</v>
      </c>
      <c r="K40" s="8">
        <v>-1190803</v>
      </c>
      <c r="L40" s="8">
        <v>-1478432</v>
      </c>
      <c r="M40" s="8">
        <v>-1441730</v>
      </c>
      <c r="N40" s="8">
        <v>-1319597</v>
      </c>
      <c r="O40" s="8">
        <v>-1318334</v>
      </c>
      <c r="P40" s="8">
        <v>-716994</v>
      </c>
      <c r="Q40" s="9">
        <v>-1489139</v>
      </c>
      <c r="R40" s="29">
        <f t="shared" si="2"/>
        <v>-14901546</v>
      </c>
      <c r="S40" s="29">
        <f t="shared" si="3"/>
        <v>-3670735</v>
      </c>
      <c r="T40" s="23">
        <f t="shared" si="4"/>
        <v>-3466585</v>
      </c>
      <c r="U40" s="23">
        <f t="shared" si="5"/>
        <v>-4239759</v>
      </c>
      <c r="V40" s="30">
        <f t="shared" si="6"/>
        <v>-3524467</v>
      </c>
    </row>
    <row r="41" spans="1:22" x14ac:dyDescent="0.25">
      <c r="A41" s="37" t="str">
        <f t="shared" si="0"/>
        <v>2016 Payroll Expense</v>
      </c>
      <c r="B41" s="7" t="s">
        <v>18</v>
      </c>
      <c r="C41" s="37" t="str">
        <f t="shared" si="1"/>
        <v>2016 Actuals Payroll Expense</v>
      </c>
      <c r="D41" s="18">
        <v>2016</v>
      </c>
      <c r="E41" s="18" t="s">
        <v>16</v>
      </c>
      <c r="F41" s="8">
        <v>-3529710</v>
      </c>
      <c r="G41" s="8">
        <v>-3352789</v>
      </c>
      <c r="H41" s="8">
        <v>-2066872</v>
      </c>
      <c r="I41" s="8">
        <v>-2137102</v>
      </c>
      <c r="J41" s="8">
        <v>-3900848</v>
      </c>
      <c r="K41" s="8">
        <v>-3360650</v>
      </c>
      <c r="L41" s="8">
        <v>-4456741</v>
      </c>
      <c r="M41" s="8">
        <v>-4184978</v>
      </c>
      <c r="N41" s="8">
        <v>-2924927</v>
      </c>
      <c r="O41" s="8">
        <v>-3047539</v>
      </c>
      <c r="P41" s="8">
        <v>-1933137</v>
      </c>
      <c r="Q41" s="9">
        <v>-3711354</v>
      </c>
      <c r="R41" s="29">
        <f t="shared" si="2"/>
        <v>-38606647</v>
      </c>
      <c r="S41" s="29">
        <f t="shared" si="3"/>
        <v>-8949371</v>
      </c>
      <c r="T41" s="23">
        <f t="shared" si="4"/>
        <v>-9398600</v>
      </c>
      <c r="U41" s="23">
        <f t="shared" si="5"/>
        <v>-11566646</v>
      </c>
      <c r="V41" s="30">
        <f t="shared" si="6"/>
        <v>-8692030</v>
      </c>
    </row>
    <row r="42" spans="1:22" x14ac:dyDescent="0.25">
      <c r="A42" s="37" t="str">
        <f t="shared" si="0"/>
        <v>2016 Travel &amp; Entertainment Expense</v>
      </c>
      <c r="B42" s="7" t="s">
        <v>19</v>
      </c>
      <c r="C42" s="37" t="str">
        <f t="shared" si="1"/>
        <v>2016 Actuals Travel &amp; Entertainment Expense</v>
      </c>
      <c r="D42" s="18">
        <v>2016</v>
      </c>
      <c r="E42" s="18" t="s">
        <v>16</v>
      </c>
      <c r="F42" s="8">
        <v>-360600</v>
      </c>
      <c r="G42" s="8">
        <v>-355602</v>
      </c>
      <c r="H42" s="8">
        <v>-225838</v>
      </c>
      <c r="I42" s="8">
        <v>-214931</v>
      </c>
      <c r="J42" s="8">
        <v>-385660</v>
      </c>
      <c r="K42" s="8">
        <v>-318347</v>
      </c>
      <c r="L42" s="8">
        <v>-416340</v>
      </c>
      <c r="M42" s="8">
        <v>-345090</v>
      </c>
      <c r="N42" s="8">
        <v>-319634</v>
      </c>
      <c r="O42" s="8">
        <v>-339599</v>
      </c>
      <c r="P42" s="8">
        <v>-205616</v>
      </c>
      <c r="Q42" s="9">
        <v>-397272</v>
      </c>
      <c r="R42" s="29">
        <f t="shared" si="2"/>
        <v>-3884529</v>
      </c>
      <c r="S42" s="29">
        <f t="shared" si="3"/>
        <v>-942040</v>
      </c>
      <c r="T42" s="23">
        <f t="shared" si="4"/>
        <v>-918938</v>
      </c>
      <c r="U42" s="23">
        <f t="shared" si="5"/>
        <v>-1081064</v>
      </c>
      <c r="V42" s="30">
        <f t="shared" si="6"/>
        <v>-942487</v>
      </c>
    </row>
    <row r="43" spans="1:22" x14ac:dyDescent="0.25">
      <c r="A43" s="37" t="str">
        <f t="shared" si="0"/>
        <v>2016 R&amp;D Expense</v>
      </c>
      <c r="B43" s="7" t="s">
        <v>20</v>
      </c>
      <c r="C43" s="37" t="str">
        <f t="shared" si="1"/>
        <v>2016 Actuals R&amp;D Expense</v>
      </c>
      <c r="D43" s="18">
        <v>2016</v>
      </c>
      <c r="E43" s="18" t="s">
        <v>16</v>
      </c>
      <c r="F43" s="8">
        <v>-1448404</v>
      </c>
      <c r="G43" s="8">
        <v>-1354372</v>
      </c>
      <c r="H43" s="8">
        <v>-843964</v>
      </c>
      <c r="I43" s="8">
        <v>-793282</v>
      </c>
      <c r="J43" s="8">
        <v>-1336026</v>
      </c>
      <c r="K43" s="8">
        <v>-1175987</v>
      </c>
      <c r="L43" s="8">
        <v>-1479244</v>
      </c>
      <c r="M43" s="8">
        <v>-1546344</v>
      </c>
      <c r="N43" s="8">
        <v>-1131760</v>
      </c>
      <c r="O43" s="8">
        <v>-1471727</v>
      </c>
      <c r="P43" s="8">
        <v>-821928</v>
      </c>
      <c r="Q43" s="9">
        <v>-1349035</v>
      </c>
      <c r="R43" s="29">
        <f t="shared" si="2"/>
        <v>-14752073</v>
      </c>
      <c r="S43" s="29">
        <f t="shared" si="3"/>
        <v>-3646740</v>
      </c>
      <c r="T43" s="23">
        <f t="shared" si="4"/>
        <v>-3305295</v>
      </c>
      <c r="U43" s="23">
        <f t="shared" si="5"/>
        <v>-4157348</v>
      </c>
      <c r="V43" s="30">
        <f t="shared" si="6"/>
        <v>-3642690</v>
      </c>
    </row>
    <row r="44" spans="1:22" x14ac:dyDescent="0.25">
      <c r="A44" s="37" t="str">
        <f t="shared" si="0"/>
        <v>2016 Consulting Expense</v>
      </c>
      <c r="B44" s="7" t="s">
        <v>21</v>
      </c>
      <c r="C44" s="37" t="str">
        <f t="shared" si="1"/>
        <v>2016 Actuals Consulting Expense</v>
      </c>
      <c r="D44" s="18">
        <v>2016</v>
      </c>
      <c r="E44" s="18" t="s">
        <v>16</v>
      </c>
      <c r="F44" s="8">
        <v>-1648622</v>
      </c>
      <c r="G44" s="8">
        <v>-1786593</v>
      </c>
      <c r="H44" s="8">
        <v>-1136110</v>
      </c>
      <c r="I44" s="8">
        <v>-1080438</v>
      </c>
      <c r="J44" s="8">
        <v>-1938602</v>
      </c>
      <c r="K44" s="8">
        <v>-1649632</v>
      </c>
      <c r="L44" s="8">
        <v>-1997676</v>
      </c>
      <c r="M44" s="8">
        <v>-2104863</v>
      </c>
      <c r="N44" s="8">
        <v>-1516483</v>
      </c>
      <c r="O44" s="8">
        <v>-1584186</v>
      </c>
      <c r="P44" s="8">
        <v>-985271</v>
      </c>
      <c r="Q44" s="9">
        <v>-1919097</v>
      </c>
      <c r="R44" s="29">
        <f t="shared" si="2"/>
        <v>-19347573</v>
      </c>
      <c r="S44" s="29">
        <f t="shared" si="3"/>
        <v>-4571325</v>
      </c>
      <c r="T44" s="23">
        <f t="shared" si="4"/>
        <v>-4668672</v>
      </c>
      <c r="U44" s="23">
        <f t="shared" si="5"/>
        <v>-5619022</v>
      </c>
      <c r="V44" s="30">
        <f t="shared" si="6"/>
        <v>-4488554</v>
      </c>
    </row>
    <row r="45" spans="1:22" x14ac:dyDescent="0.25">
      <c r="A45" s="37" t="str">
        <f t="shared" si="0"/>
        <v>2016 Software/Hardware Expense</v>
      </c>
      <c r="B45" s="7" t="s">
        <v>22</v>
      </c>
      <c r="C45" s="37" t="str">
        <f t="shared" si="1"/>
        <v>2016 Actuals Software/Hardware Expense</v>
      </c>
      <c r="D45" s="18">
        <v>2016</v>
      </c>
      <c r="E45" s="18" t="s">
        <v>16</v>
      </c>
      <c r="F45" s="8">
        <v>-2309056</v>
      </c>
      <c r="G45" s="8">
        <v>-2423602</v>
      </c>
      <c r="H45" s="8">
        <v>-1559611</v>
      </c>
      <c r="I45" s="8">
        <v>-1703087</v>
      </c>
      <c r="J45" s="8">
        <v>-2723160</v>
      </c>
      <c r="K45" s="8">
        <v>-2034072</v>
      </c>
      <c r="L45" s="8">
        <v>-2704842</v>
      </c>
      <c r="M45" s="8">
        <v>-2801318</v>
      </c>
      <c r="N45" s="8">
        <v>-2243456</v>
      </c>
      <c r="O45" s="8">
        <v>-2327951</v>
      </c>
      <c r="P45" s="8">
        <v>-1466294</v>
      </c>
      <c r="Q45" s="9">
        <v>-2665088</v>
      </c>
      <c r="R45" s="29">
        <f t="shared" si="2"/>
        <v>-26961537</v>
      </c>
      <c r="S45" s="29">
        <f t="shared" si="3"/>
        <v>-6292269</v>
      </c>
      <c r="T45" s="23">
        <f t="shared" si="4"/>
        <v>-6460319</v>
      </c>
      <c r="U45" s="23">
        <f t="shared" si="5"/>
        <v>-7749616</v>
      </c>
      <c r="V45" s="30">
        <f t="shared" si="6"/>
        <v>-6459333</v>
      </c>
    </row>
    <row r="46" spans="1:22" x14ac:dyDescent="0.25">
      <c r="A46" s="37" t="str">
        <f t="shared" si="0"/>
        <v>2016 Marketing Expense</v>
      </c>
      <c r="B46" s="7" t="s">
        <v>23</v>
      </c>
      <c r="C46" s="37" t="str">
        <f t="shared" si="1"/>
        <v>2016 Actuals Marketing Expense</v>
      </c>
      <c r="D46" s="18">
        <v>2016</v>
      </c>
      <c r="E46" s="18" t="s">
        <v>16</v>
      </c>
      <c r="F46" s="8">
        <v>-741378</v>
      </c>
      <c r="G46" s="8">
        <v>-643670</v>
      </c>
      <c r="H46" s="8">
        <v>-387401</v>
      </c>
      <c r="I46" s="8">
        <v>-424256</v>
      </c>
      <c r="J46" s="8">
        <v>-741907</v>
      </c>
      <c r="K46" s="8">
        <v>-614784</v>
      </c>
      <c r="L46" s="8">
        <v>-893758</v>
      </c>
      <c r="M46" s="8">
        <v>-799193</v>
      </c>
      <c r="N46" s="8">
        <v>-553098</v>
      </c>
      <c r="O46" s="8">
        <v>-643339</v>
      </c>
      <c r="P46" s="8">
        <v>-417847</v>
      </c>
      <c r="Q46" s="9">
        <v>-692029</v>
      </c>
      <c r="R46" s="29">
        <f t="shared" si="2"/>
        <v>-7552660</v>
      </c>
      <c r="S46" s="29">
        <f t="shared" si="3"/>
        <v>-1772449</v>
      </c>
      <c r="T46" s="23">
        <f t="shared" si="4"/>
        <v>-1780947</v>
      </c>
      <c r="U46" s="23">
        <f t="shared" si="5"/>
        <v>-2246049</v>
      </c>
      <c r="V46" s="30">
        <f t="shared" si="6"/>
        <v>-1753215</v>
      </c>
    </row>
    <row r="47" spans="1:22" x14ac:dyDescent="0.25">
      <c r="A47" s="37" t="str">
        <f t="shared" si="0"/>
        <v>2017 Sales</v>
      </c>
      <c r="B47" s="16" t="s">
        <v>15</v>
      </c>
      <c r="C47" s="132" t="str">
        <f t="shared" si="1"/>
        <v>2017 Actuals Sales</v>
      </c>
      <c r="D47" s="18">
        <v>2017</v>
      </c>
      <c r="E47" s="18" t="s">
        <v>16</v>
      </c>
      <c r="F47" s="8">
        <v>35331958.350000001</v>
      </c>
      <c r="G47" s="8">
        <v>24354701.98</v>
      </c>
      <c r="H47" s="8">
        <v>33607922.880000003</v>
      </c>
      <c r="I47" s="8">
        <v>36226759.600000001</v>
      </c>
      <c r="J47" s="8">
        <v>22862426.170000002</v>
      </c>
      <c r="K47" s="8">
        <v>33165758.449999999</v>
      </c>
      <c r="L47" s="8">
        <v>38806242.799999997</v>
      </c>
      <c r="M47" s="8">
        <v>17358126.300000001</v>
      </c>
      <c r="N47" s="8">
        <v>29100923.57</v>
      </c>
      <c r="O47" s="8">
        <v>19299384.98</v>
      </c>
      <c r="P47" s="8">
        <v>26695885.68</v>
      </c>
      <c r="Q47" s="9">
        <v>31914461.120000001</v>
      </c>
      <c r="R47" s="29">
        <f t="shared" si="2"/>
        <v>348724551.88000005</v>
      </c>
      <c r="S47" s="29">
        <f t="shared" si="3"/>
        <v>93294583.210000008</v>
      </c>
      <c r="T47" s="23">
        <f t="shared" si="4"/>
        <v>92254944.219999999</v>
      </c>
      <c r="U47" s="23">
        <f t="shared" si="5"/>
        <v>85265292.669999987</v>
      </c>
      <c r="V47" s="30">
        <f t="shared" si="6"/>
        <v>77909731.780000001</v>
      </c>
    </row>
    <row r="48" spans="1:22" x14ac:dyDescent="0.25">
      <c r="A48" s="37" t="str">
        <f t="shared" si="0"/>
        <v>2017 COGS</v>
      </c>
      <c r="B48" s="7" t="s">
        <v>34</v>
      </c>
      <c r="C48" s="37" t="str">
        <f t="shared" si="1"/>
        <v>2017 Actuals COGS</v>
      </c>
      <c r="D48" s="18">
        <v>2017</v>
      </c>
      <c r="E48" s="18" t="s">
        <v>16</v>
      </c>
      <c r="F48" s="8">
        <v>-14981390</v>
      </c>
      <c r="G48" s="8">
        <v>-11768480</v>
      </c>
      <c r="H48" s="8">
        <v>-13481513</v>
      </c>
      <c r="I48" s="8">
        <v>-15681576</v>
      </c>
      <c r="J48" s="8">
        <v>-10257861</v>
      </c>
      <c r="K48" s="8">
        <v>-14264605</v>
      </c>
      <c r="L48" s="8">
        <v>-19353821</v>
      </c>
      <c r="M48" s="8">
        <v>-8653531</v>
      </c>
      <c r="N48" s="8">
        <v>-13737554</v>
      </c>
      <c r="O48" s="8">
        <v>-7848305</v>
      </c>
      <c r="P48" s="8">
        <v>-11711526</v>
      </c>
      <c r="Q48" s="9">
        <v>-15747097</v>
      </c>
      <c r="R48" s="29">
        <f t="shared" si="2"/>
        <v>-157487259</v>
      </c>
      <c r="S48" s="29">
        <f t="shared" si="3"/>
        <v>-40231383</v>
      </c>
      <c r="T48" s="23">
        <f t="shared" si="4"/>
        <v>-40204042</v>
      </c>
      <c r="U48" s="23">
        <f t="shared" si="5"/>
        <v>-41744906</v>
      </c>
      <c r="V48" s="30">
        <f t="shared" si="6"/>
        <v>-35306928</v>
      </c>
    </row>
    <row r="49" spans="1:22" x14ac:dyDescent="0.25">
      <c r="A49" s="37" t="str">
        <f t="shared" si="0"/>
        <v>2017 Commissions Expense</v>
      </c>
      <c r="B49" s="7" t="s">
        <v>17</v>
      </c>
      <c r="C49" s="37" t="str">
        <f t="shared" si="1"/>
        <v>2017 Actuals Commissions Expense</v>
      </c>
      <c r="D49" s="18">
        <v>2017</v>
      </c>
      <c r="E49" s="18" t="s">
        <v>16</v>
      </c>
      <c r="F49" s="8">
        <v>-1587761</v>
      </c>
      <c r="G49" s="8">
        <v>-1170710</v>
      </c>
      <c r="H49" s="8">
        <v>-1624574</v>
      </c>
      <c r="I49" s="8">
        <v>-1691834</v>
      </c>
      <c r="J49" s="8">
        <v>-1049741</v>
      </c>
      <c r="K49" s="8">
        <v>-1359614</v>
      </c>
      <c r="L49" s="8">
        <v>-1758131</v>
      </c>
      <c r="M49" s="8">
        <v>-711793</v>
      </c>
      <c r="N49" s="8">
        <v>-1388918</v>
      </c>
      <c r="O49" s="8">
        <v>-779205</v>
      </c>
      <c r="P49" s="8">
        <v>-1144606</v>
      </c>
      <c r="Q49" s="9">
        <v>-1522730</v>
      </c>
      <c r="R49" s="29">
        <f t="shared" si="2"/>
        <v>-15789617</v>
      </c>
      <c r="S49" s="29">
        <f t="shared" si="3"/>
        <v>-4383045</v>
      </c>
      <c r="T49" s="23">
        <f t="shared" si="4"/>
        <v>-4101189</v>
      </c>
      <c r="U49" s="23">
        <f t="shared" si="5"/>
        <v>-3858842</v>
      </c>
      <c r="V49" s="30">
        <f t="shared" si="6"/>
        <v>-3446541</v>
      </c>
    </row>
    <row r="50" spans="1:22" x14ac:dyDescent="0.25">
      <c r="A50" s="37" t="str">
        <f t="shared" si="0"/>
        <v>2017 Payroll Expense</v>
      </c>
      <c r="B50" s="7" t="s">
        <v>18</v>
      </c>
      <c r="C50" s="37" t="str">
        <f t="shared" si="1"/>
        <v>2017 Actuals Payroll Expense</v>
      </c>
      <c r="D50" s="18">
        <v>2017</v>
      </c>
      <c r="E50" s="18" t="s">
        <v>16</v>
      </c>
      <c r="F50" s="8">
        <v>-4033118</v>
      </c>
      <c r="G50" s="8">
        <v>-2804073</v>
      </c>
      <c r="H50" s="8">
        <v>-4114440</v>
      </c>
      <c r="I50" s="8">
        <v>-4458834</v>
      </c>
      <c r="J50" s="8">
        <v>-2464577</v>
      </c>
      <c r="K50" s="8">
        <v>-3718795</v>
      </c>
      <c r="L50" s="8">
        <v>-4094125</v>
      </c>
      <c r="M50" s="8">
        <v>-1938707</v>
      </c>
      <c r="N50" s="8">
        <v>-3630932</v>
      </c>
      <c r="O50" s="8">
        <v>-1950807</v>
      </c>
      <c r="P50" s="8">
        <v>-2705544</v>
      </c>
      <c r="Q50" s="9">
        <v>-3793540</v>
      </c>
      <c r="R50" s="29">
        <f t="shared" si="2"/>
        <v>-39707492</v>
      </c>
      <c r="S50" s="29">
        <f t="shared" si="3"/>
        <v>-10951631</v>
      </c>
      <c r="T50" s="23">
        <f t="shared" si="4"/>
        <v>-10642206</v>
      </c>
      <c r="U50" s="23">
        <f t="shared" si="5"/>
        <v>-9663764</v>
      </c>
      <c r="V50" s="30">
        <f t="shared" si="6"/>
        <v>-8449891</v>
      </c>
    </row>
    <row r="51" spans="1:22" x14ac:dyDescent="0.25">
      <c r="A51" s="37" t="str">
        <f t="shared" si="0"/>
        <v>2017 Travel &amp; Entertainment Expense</v>
      </c>
      <c r="B51" s="7" t="s">
        <v>19</v>
      </c>
      <c r="C51" s="37" t="str">
        <f t="shared" si="1"/>
        <v>2017 Actuals Travel &amp; Entertainment Expense</v>
      </c>
      <c r="D51" s="18">
        <v>2017</v>
      </c>
      <c r="E51" s="18" t="s">
        <v>16</v>
      </c>
      <c r="F51" s="8">
        <v>-398121</v>
      </c>
      <c r="G51" s="8">
        <v>-274894</v>
      </c>
      <c r="H51" s="8">
        <v>-376456</v>
      </c>
      <c r="I51" s="8">
        <v>-391528</v>
      </c>
      <c r="J51" s="8">
        <v>-237490</v>
      </c>
      <c r="K51" s="8">
        <v>-368441</v>
      </c>
      <c r="L51" s="8">
        <v>-448153</v>
      </c>
      <c r="M51" s="8">
        <v>-216891</v>
      </c>
      <c r="N51" s="8">
        <v>-307907</v>
      </c>
      <c r="O51" s="8">
        <v>-218441</v>
      </c>
      <c r="P51" s="8">
        <v>-324610</v>
      </c>
      <c r="Q51" s="9">
        <v>-329602</v>
      </c>
      <c r="R51" s="29">
        <f t="shared" si="2"/>
        <v>-3892534</v>
      </c>
      <c r="S51" s="29">
        <f t="shared" si="3"/>
        <v>-1049471</v>
      </c>
      <c r="T51" s="23">
        <f t="shared" si="4"/>
        <v>-997459</v>
      </c>
      <c r="U51" s="23">
        <f t="shared" si="5"/>
        <v>-972951</v>
      </c>
      <c r="V51" s="30">
        <f t="shared" si="6"/>
        <v>-872653</v>
      </c>
    </row>
    <row r="52" spans="1:22" x14ac:dyDescent="0.25">
      <c r="A52" s="37" t="str">
        <f t="shared" si="0"/>
        <v>2017 R&amp;D Expense</v>
      </c>
      <c r="B52" s="7" t="s">
        <v>20</v>
      </c>
      <c r="C52" s="37" t="str">
        <f t="shared" si="1"/>
        <v>2017 Actuals R&amp;D Expense</v>
      </c>
      <c r="D52" s="18">
        <v>2017</v>
      </c>
      <c r="E52" s="18" t="s">
        <v>16</v>
      </c>
      <c r="F52" s="8">
        <v>-1635112</v>
      </c>
      <c r="G52" s="8">
        <v>-1019814</v>
      </c>
      <c r="H52" s="8">
        <v>-1426689</v>
      </c>
      <c r="I52" s="8">
        <v>-1679837</v>
      </c>
      <c r="J52" s="8">
        <v>-1135315</v>
      </c>
      <c r="K52" s="8">
        <v>-1541375</v>
      </c>
      <c r="L52" s="8">
        <v>-1814752</v>
      </c>
      <c r="M52" s="8">
        <v>-836674</v>
      </c>
      <c r="N52" s="8">
        <v>-1253636</v>
      </c>
      <c r="O52" s="8">
        <v>-853717</v>
      </c>
      <c r="P52" s="8">
        <v>-1294484</v>
      </c>
      <c r="Q52" s="9">
        <v>-1425518</v>
      </c>
      <c r="R52" s="29">
        <f t="shared" si="2"/>
        <v>-15916923</v>
      </c>
      <c r="S52" s="29">
        <f t="shared" si="3"/>
        <v>-4081615</v>
      </c>
      <c r="T52" s="23">
        <f t="shared" si="4"/>
        <v>-4356527</v>
      </c>
      <c r="U52" s="23">
        <f t="shared" si="5"/>
        <v>-3905062</v>
      </c>
      <c r="V52" s="30">
        <f t="shared" si="6"/>
        <v>-3573719</v>
      </c>
    </row>
    <row r="53" spans="1:22" x14ac:dyDescent="0.25">
      <c r="A53" s="37" t="str">
        <f t="shared" si="0"/>
        <v>2017 Consulting Expense</v>
      </c>
      <c r="B53" s="7" t="s">
        <v>21</v>
      </c>
      <c r="C53" s="37" t="str">
        <f t="shared" si="1"/>
        <v>2017 Actuals Consulting Expense</v>
      </c>
      <c r="D53" s="18">
        <v>2017</v>
      </c>
      <c r="E53" s="18" t="s">
        <v>16</v>
      </c>
      <c r="F53" s="8">
        <v>-1927676</v>
      </c>
      <c r="G53" s="8">
        <v>-1328400</v>
      </c>
      <c r="H53" s="8">
        <v>-2069551</v>
      </c>
      <c r="I53" s="8">
        <v>-1887355</v>
      </c>
      <c r="J53" s="8">
        <v>-1156009</v>
      </c>
      <c r="K53" s="8">
        <v>-1784928</v>
      </c>
      <c r="L53" s="8">
        <v>-2248306</v>
      </c>
      <c r="M53" s="8">
        <v>-910768</v>
      </c>
      <c r="N53" s="8">
        <v>-1580888</v>
      </c>
      <c r="O53" s="8">
        <v>-1158277</v>
      </c>
      <c r="P53" s="8">
        <v>-1560426</v>
      </c>
      <c r="Q53" s="9">
        <v>-1837473</v>
      </c>
      <c r="R53" s="29">
        <f t="shared" si="2"/>
        <v>-19450057</v>
      </c>
      <c r="S53" s="29">
        <f t="shared" si="3"/>
        <v>-5325627</v>
      </c>
      <c r="T53" s="23">
        <f t="shared" si="4"/>
        <v>-4828292</v>
      </c>
      <c r="U53" s="23">
        <f t="shared" si="5"/>
        <v>-4739962</v>
      </c>
      <c r="V53" s="30">
        <f t="shared" si="6"/>
        <v>-4556176</v>
      </c>
    </row>
    <row r="54" spans="1:22" x14ac:dyDescent="0.25">
      <c r="A54" s="37" t="str">
        <f t="shared" si="0"/>
        <v>2017 Software/Hardware Expense</v>
      </c>
      <c r="B54" s="7" t="s">
        <v>22</v>
      </c>
      <c r="C54" s="37" t="str">
        <f t="shared" si="1"/>
        <v>2017 Actuals Software/Hardware Expense</v>
      </c>
      <c r="D54" s="18">
        <v>2017</v>
      </c>
      <c r="E54" s="18" t="s">
        <v>16</v>
      </c>
      <c r="F54" s="8">
        <v>-3044114</v>
      </c>
      <c r="G54" s="8">
        <v>-1819545</v>
      </c>
      <c r="H54" s="8">
        <v>-2617322</v>
      </c>
      <c r="I54" s="8">
        <v>-2755287</v>
      </c>
      <c r="J54" s="8">
        <v>-1805785</v>
      </c>
      <c r="K54" s="8">
        <v>-2873587</v>
      </c>
      <c r="L54" s="8">
        <v>-2847737</v>
      </c>
      <c r="M54" s="8">
        <v>-1476154</v>
      </c>
      <c r="N54" s="8">
        <v>-2221842</v>
      </c>
      <c r="O54" s="8">
        <v>-1549413</v>
      </c>
      <c r="P54" s="8">
        <v>-2203496</v>
      </c>
      <c r="Q54" s="9">
        <v>-2541935</v>
      </c>
      <c r="R54" s="29">
        <f t="shared" si="2"/>
        <v>-27756217</v>
      </c>
      <c r="S54" s="29">
        <f t="shared" si="3"/>
        <v>-7480981</v>
      </c>
      <c r="T54" s="23">
        <f t="shared" si="4"/>
        <v>-7434659</v>
      </c>
      <c r="U54" s="23">
        <f t="shared" si="5"/>
        <v>-6545733</v>
      </c>
      <c r="V54" s="30">
        <f t="shared" si="6"/>
        <v>-6294844</v>
      </c>
    </row>
    <row r="55" spans="1:22" x14ac:dyDescent="0.25">
      <c r="A55" s="37" t="str">
        <f t="shared" si="0"/>
        <v>2017 Marketing Expense</v>
      </c>
      <c r="B55" s="7" t="s">
        <v>23</v>
      </c>
      <c r="C55" s="37" t="str">
        <f t="shared" si="1"/>
        <v>2017 Actuals Marketing Expense</v>
      </c>
      <c r="D55" s="18">
        <v>2017</v>
      </c>
      <c r="E55" s="18" t="s">
        <v>16</v>
      </c>
      <c r="F55" s="8">
        <v>-776342</v>
      </c>
      <c r="G55" s="8">
        <v>-495765</v>
      </c>
      <c r="H55" s="8">
        <v>-711063</v>
      </c>
      <c r="I55" s="8">
        <v>-748765</v>
      </c>
      <c r="J55" s="8">
        <v>-469993</v>
      </c>
      <c r="K55" s="8">
        <v>-773003</v>
      </c>
      <c r="L55" s="8">
        <v>-859144</v>
      </c>
      <c r="M55" s="8">
        <v>-386918</v>
      </c>
      <c r="N55" s="8">
        <v>-662455</v>
      </c>
      <c r="O55" s="8">
        <v>-414101</v>
      </c>
      <c r="P55" s="8">
        <v>-546738</v>
      </c>
      <c r="Q55" s="9">
        <v>-757113</v>
      </c>
      <c r="R55" s="29">
        <f t="shared" si="2"/>
        <v>-7601400</v>
      </c>
      <c r="S55" s="29">
        <f t="shared" si="3"/>
        <v>-1983170</v>
      </c>
      <c r="T55" s="23">
        <f t="shared" si="4"/>
        <v>-1991761</v>
      </c>
      <c r="U55" s="23">
        <f t="shared" si="5"/>
        <v>-1908517</v>
      </c>
      <c r="V55" s="30">
        <f t="shared" si="6"/>
        <v>-1717952</v>
      </c>
    </row>
    <row r="56" spans="1:22" x14ac:dyDescent="0.25">
      <c r="A56" s="37" t="str">
        <f t="shared" si="0"/>
        <v>2018 Sales</v>
      </c>
      <c r="B56" s="16" t="s">
        <v>15</v>
      </c>
      <c r="C56" s="132" t="str">
        <f t="shared" si="1"/>
        <v>2018 Actuals Sales</v>
      </c>
      <c r="D56" s="18">
        <v>2018</v>
      </c>
      <c r="E56" s="18" t="s">
        <v>16</v>
      </c>
      <c r="F56" s="8">
        <v>22588008.460000001</v>
      </c>
      <c r="G56" s="8">
        <v>21641450.399999999</v>
      </c>
      <c r="H56" s="8">
        <v>27071096.100000001</v>
      </c>
      <c r="I56" s="8">
        <v>20348080.809999999</v>
      </c>
      <c r="J56" s="8">
        <v>30120118.859999999</v>
      </c>
      <c r="K56" s="8">
        <v>31267063.359999999</v>
      </c>
      <c r="L56" s="8">
        <v>23797691.449999999</v>
      </c>
      <c r="M56" s="8">
        <v>28790136</v>
      </c>
      <c r="N56" s="8">
        <v>23829894.620000001</v>
      </c>
      <c r="O56" s="8">
        <v>25899573</v>
      </c>
      <c r="P56" s="8">
        <v>33069395.199999999</v>
      </c>
      <c r="Q56" s="9">
        <v>26084683.649999999</v>
      </c>
      <c r="R56" s="29">
        <f t="shared" si="2"/>
        <v>314507191.90999997</v>
      </c>
      <c r="S56" s="29">
        <f t="shared" si="3"/>
        <v>71300554.960000008</v>
      </c>
      <c r="T56" s="23">
        <f t="shared" si="4"/>
        <v>81735263.030000001</v>
      </c>
      <c r="U56" s="23">
        <f t="shared" si="5"/>
        <v>76417722.070000008</v>
      </c>
      <c r="V56" s="30">
        <f t="shared" si="6"/>
        <v>85053651.849999994</v>
      </c>
    </row>
    <row r="57" spans="1:22" x14ac:dyDescent="0.25">
      <c r="A57" s="37" t="str">
        <f t="shared" si="0"/>
        <v>2018 COGS</v>
      </c>
      <c r="B57" s="7" t="s">
        <v>34</v>
      </c>
      <c r="C57" s="37" t="str">
        <f t="shared" si="1"/>
        <v>2018 Actuals COGS</v>
      </c>
      <c r="D57" s="18">
        <v>2018</v>
      </c>
      <c r="E57" s="18" t="s">
        <v>16</v>
      </c>
      <c r="F57" s="8">
        <v>-10265791</v>
      </c>
      <c r="G57" s="8">
        <v>-9595925</v>
      </c>
      <c r="H57" s="8">
        <v>-12320892</v>
      </c>
      <c r="I57" s="8">
        <v>-9627717</v>
      </c>
      <c r="J57" s="8">
        <v>-12962874</v>
      </c>
      <c r="K57" s="8">
        <v>-13064551</v>
      </c>
      <c r="L57" s="8">
        <v>-9571992</v>
      </c>
      <c r="M57" s="8">
        <v>-12221156</v>
      </c>
      <c r="N57" s="8">
        <v>-11418990</v>
      </c>
      <c r="O57" s="8">
        <v>-12077910</v>
      </c>
      <c r="P57" s="8">
        <v>-16179555</v>
      </c>
      <c r="Q57" s="9">
        <v>-10510360</v>
      </c>
      <c r="R57" s="29">
        <f t="shared" si="2"/>
        <v>-139817713</v>
      </c>
      <c r="S57" s="29">
        <f t="shared" si="3"/>
        <v>-32182608</v>
      </c>
      <c r="T57" s="23">
        <f t="shared" si="4"/>
        <v>-35655142</v>
      </c>
      <c r="U57" s="23">
        <f t="shared" si="5"/>
        <v>-33212138</v>
      </c>
      <c r="V57" s="30">
        <f t="shared" si="6"/>
        <v>-38767825</v>
      </c>
    </row>
    <row r="58" spans="1:22" x14ac:dyDescent="0.25">
      <c r="A58" s="37" t="str">
        <f t="shared" si="0"/>
        <v>2018 Commissions Expense</v>
      </c>
      <c r="B58" s="7" t="s">
        <v>17</v>
      </c>
      <c r="C58" s="37" t="str">
        <f t="shared" si="1"/>
        <v>2018 Actuals Commissions Expense</v>
      </c>
      <c r="D58" s="18">
        <v>2018</v>
      </c>
      <c r="E58" s="18" t="s">
        <v>16</v>
      </c>
      <c r="F58" s="8">
        <v>-1109715</v>
      </c>
      <c r="G58" s="8">
        <v>-990616</v>
      </c>
      <c r="H58" s="8">
        <v>-1310557</v>
      </c>
      <c r="I58" s="8">
        <v>-982150</v>
      </c>
      <c r="J58" s="8">
        <v>-1364098</v>
      </c>
      <c r="K58" s="8">
        <v>-1391285</v>
      </c>
      <c r="L58" s="8">
        <v>-1187160</v>
      </c>
      <c r="M58" s="8">
        <v>-1378779</v>
      </c>
      <c r="N58" s="8">
        <v>-1128203</v>
      </c>
      <c r="O58" s="8">
        <v>-1221475</v>
      </c>
      <c r="P58" s="8">
        <v>-1462497</v>
      </c>
      <c r="Q58" s="9">
        <v>-1098303</v>
      </c>
      <c r="R58" s="29">
        <f t="shared" si="2"/>
        <v>-14624838</v>
      </c>
      <c r="S58" s="29">
        <f t="shared" si="3"/>
        <v>-3410888</v>
      </c>
      <c r="T58" s="23">
        <f t="shared" si="4"/>
        <v>-3737533</v>
      </c>
      <c r="U58" s="23">
        <f t="shared" si="5"/>
        <v>-3694142</v>
      </c>
      <c r="V58" s="30">
        <f t="shared" si="6"/>
        <v>-3782275</v>
      </c>
    </row>
    <row r="59" spans="1:22" x14ac:dyDescent="0.25">
      <c r="A59" s="37" t="str">
        <f t="shared" si="0"/>
        <v>2018 Payroll Expense</v>
      </c>
      <c r="B59" s="7" t="s">
        <v>18</v>
      </c>
      <c r="C59" s="37" t="str">
        <f t="shared" si="1"/>
        <v>2018 Actuals Payroll Expense</v>
      </c>
      <c r="D59" s="18">
        <v>2018</v>
      </c>
      <c r="E59" s="18" t="s">
        <v>16</v>
      </c>
      <c r="F59" s="8">
        <v>-2815912</v>
      </c>
      <c r="G59" s="8">
        <v>-2488177</v>
      </c>
      <c r="H59" s="8">
        <v>-2965661</v>
      </c>
      <c r="I59" s="8">
        <v>-2283610</v>
      </c>
      <c r="J59" s="8">
        <v>-3049013</v>
      </c>
      <c r="K59" s="8">
        <v>-3229385</v>
      </c>
      <c r="L59" s="8">
        <v>-2723303</v>
      </c>
      <c r="M59" s="8">
        <v>-3347966</v>
      </c>
      <c r="N59" s="8">
        <v>-2808206</v>
      </c>
      <c r="O59" s="8">
        <v>-2898991</v>
      </c>
      <c r="P59" s="8">
        <v>-3824182</v>
      </c>
      <c r="Q59" s="9">
        <v>-3110761</v>
      </c>
      <c r="R59" s="29">
        <f t="shared" si="2"/>
        <v>-35545167</v>
      </c>
      <c r="S59" s="29">
        <f t="shared" si="3"/>
        <v>-8269750</v>
      </c>
      <c r="T59" s="23">
        <f t="shared" si="4"/>
        <v>-8562008</v>
      </c>
      <c r="U59" s="23">
        <f t="shared" si="5"/>
        <v>-8879475</v>
      </c>
      <c r="V59" s="30">
        <f t="shared" si="6"/>
        <v>-9833934</v>
      </c>
    </row>
    <row r="60" spans="1:22" x14ac:dyDescent="0.25">
      <c r="A60" s="37" t="str">
        <f t="shared" si="0"/>
        <v>2018 Travel &amp; Entertainment Expense</v>
      </c>
      <c r="B60" s="7" t="s">
        <v>19</v>
      </c>
      <c r="C60" s="37" t="str">
        <f t="shared" si="1"/>
        <v>2018 Actuals Travel &amp; Entertainment Expense</v>
      </c>
      <c r="D60" s="18">
        <v>2018</v>
      </c>
      <c r="E60" s="18" t="s">
        <v>16</v>
      </c>
      <c r="F60" s="8">
        <v>-277101</v>
      </c>
      <c r="G60" s="8">
        <v>-268307</v>
      </c>
      <c r="H60" s="8">
        <v>-300695</v>
      </c>
      <c r="I60" s="8">
        <v>-226664</v>
      </c>
      <c r="J60" s="8">
        <v>-330688</v>
      </c>
      <c r="K60" s="8">
        <v>-356708</v>
      </c>
      <c r="L60" s="8">
        <v>-270129</v>
      </c>
      <c r="M60" s="8">
        <v>-330116</v>
      </c>
      <c r="N60" s="8">
        <v>-264694</v>
      </c>
      <c r="O60" s="8">
        <v>-268441</v>
      </c>
      <c r="P60" s="8">
        <v>-394967</v>
      </c>
      <c r="Q60" s="9">
        <v>-294530</v>
      </c>
      <c r="R60" s="29">
        <f t="shared" si="2"/>
        <v>-3583040</v>
      </c>
      <c r="S60" s="29">
        <f t="shared" si="3"/>
        <v>-846103</v>
      </c>
      <c r="T60" s="23">
        <f t="shared" si="4"/>
        <v>-914060</v>
      </c>
      <c r="U60" s="23">
        <f t="shared" si="5"/>
        <v>-864939</v>
      </c>
      <c r="V60" s="30">
        <f t="shared" si="6"/>
        <v>-957938</v>
      </c>
    </row>
    <row r="61" spans="1:22" x14ac:dyDescent="0.25">
      <c r="A61" s="37" t="str">
        <f t="shared" si="0"/>
        <v>2018 R&amp;D Expense</v>
      </c>
      <c r="B61" s="7" t="s">
        <v>20</v>
      </c>
      <c r="C61" s="37" t="str">
        <f t="shared" si="1"/>
        <v>2018 Actuals R&amp;D Expense</v>
      </c>
      <c r="D61" s="18">
        <v>2018</v>
      </c>
      <c r="E61" s="18" t="s">
        <v>16</v>
      </c>
      <c r="F61" s="8">
        <v>-1046413</v>
      </c>
      <c r="G61" s="8">
        <v>-1064705</v>
      </c>
      <c r="H61" s="8">
        <v>-1317015</v>
      </c>
      <c r="I61" s="8">
        <v>-983951</v>
      </c>
      <c r="J61" s="8">
        <v>-1474255</v>
      </c>
      <c r="K61" s="8">
        <v>-1337033</v>
      </c>
      <c r="L61" s="8">
        <v>-1172106</v>
      </c>
      <c r="M61" s="8">
        <v>-1205747</v>
      </c>
      <c r="N61" s="8">
        <v>-1043533</v>
      </c>
      <c r="O61" s="8">
        <v>-1076071</v>
      </c>
      <c r="P61" s="8">
        <v>-1635486</v>
      </c>
      <c r="Q61" s="9">
        <v>-1206801</v>
      </c>
      <c r="R61" s="29">
        <f t="shared" si="2"/>
        <v>-14563116</v>
      </c>
      <c r="S61" s="29">
        <f t="shared" si="3"/>
        <v>-3428133</v>
      </c>
      <c r="T61" s="23">
        <f t="shared" si="4"/>
        <v>-3795239</v>
      </c>
      <c r="U61" s="23">
        <f t="shared" si="5"/>
        <v>-3421386</v>
      </c>
      <c r="V61" s="30">
        <f t="shared" si="6"/>
        <v>-3918358</v>
      </c>
    </row>
    <row r="62" spans="1:22" x14ac:dyDescent="0.25">
      <c r="A62" s="37" t="str">
        <f t="shared" si="0"/>
        <v>2018 Consulting Expense</v>
      </c>
      <c r="B62" s="7" t="s">
        <v>21</v>
      </c>
      <c r="C62" s="37" t="str">
        <f t="shared" si="1"/>
        <v>2018 Actuals Consulting Expense</v>
      </c>
      <c r="D62" s="18">
        <v>2018</v>
      </c>
      <c r="E62" s="18" t="s">
        <v>16</v>
      </c>
      <c r="F62" s="8">
        <v>-1137395</v>
      </c>
      <c r="G62" s="8">
        <v>-1145692</v>
      </c>
      <c r="H62" s="8">
        <v>-1437771</v>
      </c>
      <c r="I62" s="8">
        <v>-1170661</v>
      </c>
      <c r="J62" s="8">
        <v>-1752088</v>
      </c>
      <c r="K62" s="8">
        <v>-1811436</v>
      </c>
      <c r="L62" s="8">
        <v>-1373270</v>
      </c>
      <c r="M62" s="8">
        <v>-1462352</v>
      </c>
      <c r="N62" s="8">
        <v>-1439071</v>
      </c>
      <c r="O62" s="8">
        <v>-1542875</v>
      </c>
      <c r="P62" s="8">
        <v>-1812241</v>
      </c>
      <c r="Q62" s="9">
        <v>-1339934</v>
      </c>
      <c r="R62" s="29">
        <f t="shared" si="2"/>
        <v>-17424786</v>
      </c>
      <c r="S62" s="29">
        <f t="shared" si="3"/>
        <v>-3720858</v>
      </c>
      <c r="T62" s="23">
        <f t="shared" si="4"/>
        <v>-4734185</v>
      </c>
      <c r="U62" s="23">
        <f t="shared" si="5"/>
        <v>-4274693</v>
      </c>
      <c r="V62" s="30">
        <f t="shared" si="6"/>
        <v>-4695050</v>
      </c>
    </row>
    <row r="63" spans="1:22" x14ac:dyDescent="0.25">
      <c r="A63" s="37" t="str">
        <f t="shared" si="0"/>
        <v>2018 Software/Hardware Expense</v>
      </c>
      <c r="B63" s="7" t="s">
        <v>22</v>
      </c>
      <c r="C63" s="37" t="str">
        <f t="shared" si="1"/>
        <v>2018 Actuals Software/Hardware Expense</v>
      </c>
      <c r="D63" s="18">
        <v>2018</v>
      </c>
      <c r="E63" s="18" t="s">
        <v>16</v>
      </c>
      <c r="F63" s="8">
        <v>-1730428</v>
      </c>
      <c r="G63" s="8">
        <v>-1612677</v>
      </c>
      <c r="H63" s="8">
        <v>-2147516</v>
      </c>
      <c r="I63" s="8">
        <v>-1745476</v>
      </c>
      <c r="J63" s="8">
        <v>-2269548</v>
      </c>
      <c r="K63" s="8">
        <v>-2465032</v>
      </c>
      <c r="L63" s="8">
        <v>-1914360</v>
      </c>
      <c r="M63" s="8">
        <v>-2183078</v>
      </c>
      <c r="N63" s="8">
        <v>-1990329</v>
      </c>
      <c r="O63" s="8">
        <v>-1869047</v>
      </c>
      <c r="P63" s="8">
        <v>-2468988</v>
      </c>
      <c r="Q63" s="9">
        <v>-1921595</v>
      </c>
      <c r="R63" s="29">
        <f t="shared" si="2"/>
        <v>-24318074</v>
      </c>
      <c r="S63" s="29">
        <f t="shared" si="3"/>
        <v>-5490621</v>
      </c>
      <c r="T63" s="23">
        <f t="shared" si="4"/>
        <v>-6480056</v>
      </c>
      <c r="U63" s="23">
        <f t="shared" si="5"/>
        <v>-6087767</v>
      </c>
      <c r="V63" s="30">
        <f t="shared" si="6"/>
        <v>-6259630</v>
      </c>
    </row>
    <row r="64" spans="1:22" x14ac:dyDescent="0.25">
      <c r="A64" s="37" t="str">
        <f t="shared" si="0"/>
        <v>2018 Marketing Expense</v>
      </c>
      <c r="B64" s="7" t="s">
        <v>23</v>
      </c>
      <c r="C64" s="37" t="str">
        <f t="shared" si="1"/>
        <v>2018 Actuals Marketing Expense</v>
      </c>
      <c r="D64" s="18">
        <v>2018</v>
      </c>
      <c r="E64" s="18" t="s">
        <v>16</v>
      </c>
      <c r="F64" s="8">
        <v>-549275</v>
      </c>
      <c r="G64" s="8">
        <v>-522414</v>
      </c>
      <c r="H64" s="8">
        <v>-595592</v>
      </c>
      <c r="I64" s="8">
        <v>-499668</v>
      </c>
      <c r="J64" s="8">
        <v>-604911</v>
      </c>
      <c r="K64" s="8">
        <v>-719662</v>
      </c>
      <c r="L64" s="8">
        <v>-588651</v>
      </c>
      <c r="M64" s="8">
        <v>-600730</v>
      </c>
      <c r="N64" s="8">
        <v>-590466</v>
      </c>
      <c r="O64" s="8">
        <v>-576820</v>
      </c>
      <c r="P64" s="8">
        <v>-783592</v>
      </c>
      <c r="Q64" s="9">
        <v>-563187</v>
      </c>
      <c r="R64" s="29">
        <f t="shared" si="2"/>
        <v>-7194968</v>
      </c>
      <c r="S64" s="29">
        <f t="shared" si="3"/>
        <v>-1667281</v>
      </c>
      <c r="T64" s="23">
        <f t="shared" si="4"/>
        <v>-1824241</v>
      </c>
      <c r="U64" s="23">
        <f t="shared" si="5"/>
        <v>-1779847</v>
      </c>
      <c r="V64" s="30">
        <f t="shared" si="6"/>
        <v>-1923599</v>
      </c>
    </row>
    <row r="65" spans="1:22" x14ac:dyDescent="0.25">
      <c r="A65" s="37" t="str">
        <f t="shared" si="0"/>
        <v>2019 Sales</v>
      </c>
      <c r="B65" s="16" t="s">
        <v>15</v>
      </c>
      <c r="C65" s="132" t="str">
        <f t="shared" si="1"/>
        <v>2019 Actuals Sales</v>
      </c>
      <c r="D65" s="18">
        <v>2019</v>
      </c>
      <c r="E65" s="18" t="s">
        <v>16</v>
      </c>
      <c r="F65" s="8">
        <v>34752536.75</v>
      </c>
      <c r="G65" s="8">
        <v>24691154.399999999</v>
      </c>
      <c r="H65" s="8">
        <v>25680201.899999999</v>
      </c>
      <c r="I65" s="8">
        <v>26826254</v>
      </c>
      <c r="J65" s="8">
        <v>27952335.949999999</v>
      </c>
      <c r="K65" s="8">
        <v>21246662.600000001</v>
      </c>
      <c r="L65" s="8">
        <v>26296075.41</v>
      </c>
      <c r="M65" s="8">
        <v>23288063.039999999</v>
      </c>
      <c r="N65" s="8">
        <v>24843007.309999999</v>
      </c>
      <c r="O65" s="8">
        <v>31017550.32</v>
      </c>
      <c r="P65" s="8">
        <v>23090649.899999999</v>
      </c>
      <c r="Q65" s="9">
        <v>22389753.280000001</v>
      </c>
      <c r="R65" s="29">
        <f t="shared" si="2"/>
        <v>312074244.86000001</v>
      </c>
      <c r="S65" s="29">
        <f t="shared" si="3"/>
        <v>85123893.049999997</v>
      </c>
      <c r="T65" s="23">
        <f t="shared" si="4"/>
        <v>76025252.550000012</v>
      </c>
      <c r="U65" s="23">
        <f t="shared" si="5"/>
        <v>74427145.760000005</v>
      </c>
      <c r="V65" s="30">
        <f t="shared" si="6"/>
        <v>76497953.5</v>
      </c>
    </row>
    <row r="66" spans="1:22" x14ac:dyDescent="0.25">
      <c r="A66" s="37" t="str">
        <f t="shared" si="0"/>
        <v>2019 COGS</v>
      </c>
      <c r="B66" s="7" t="s">
        <v>34</v>
      </c>
      <c r="C66" s="37" t="str">
        <f t="shared" si="1"/>
        <v>2019 Actuals COGS</v>
      </c>
      <c r="D66" s="18">
        <v>2019</v>
      </c>
      <c r="E66" s="18" t="s">
        <v>16</v>
      </c>
      <c r="F66" s="8">
        <v>-14132859</v>
      </c>
      <c r="G66" s="8">
        <v>-11727435</v>
      </c>
      <c r="H66" s="8">
        <v>-12222578</v>
      </c>
      <c r="I66" s="8">
        <v>-13093645</v>
      </c>
      <c r="J66" s="8">
        <v>-11370112</v>
      </c>
      <c r="K66" s="8">
        <v>-9026733</v>
      </c>
      <c r="L66" s="8">
        <v>-12160565</v>
      </c>
      <c r="M66" s="8">
        <v>-10002285</v>
      </c>
      <c r="N66" s="8">
        <v>-11921132</v>
      </c>
      <c r="O66" s="8">
        <v>-14296442</v>
      </c>
      <c r="P66" s="8">
        <v>-9686848</v>
      </c>
      <c r="Q66" s="9">
        <v>-9711164</v>
      </c>
      <c r="R66" s="29">
        <f t="shared" si="2"/>
        <v>-139351798</v>
      </c>
      <c r="S66" s="29">
        <f t="shared" si="3"/>
        <v>-38082872</v>
      </c>
      <c r="T66" s="23">
        <f t="shared" si="4"/>
        <v>-33490490</v>
      </c>
      <c r="U66" s="23">
        <f t="shared" si="5"/>
        <v>-34083982</v>
      </c>
      <c r="V66" s="30">
        <f t="shared" si="6"/>
        <v>-33694454</v>
      </c>
    </row>
    <row r="67" spans="1:22" x14ac:dyDescent="0.25">
      <c r="A67" s="37" t="str">
        <f t="shared" ref="A67:A118" si="7">CONCATENATE(D67," ",B67)</f>
        <v>2019 Commissions Expense</v>
      </c>
      <c r="B67" s="7" t="s">
        <v>17</v>
      </c>
      <c r="C67" s="37" t="str">
        <f t="shared" ref="C67:C118" si="8">CONCATENATE(D67," ",E67," ",B67)</f>
        <v>2019 Actuals Commissions Expense</v>
      </c>
      <c r="D67" s="18">
        <v>2019</v>
      </c>
      <c r="E67" s="18" t="s">
        <v>16</v>
      </c>
      <c r="F67" s="8">
        <v>-1463871</v>
      </c>
      <c r="G67" s="8">
        <v>-1024242</v>
      </c>
      <c r="H67" s="8">
        <v>-1101040</v>
      </c>
      <c r="I67" s="8">
        <v>-1272176</v>
      </c>
      <c r="J67" s="8">
        <v>-1358858</v>
      </c>
      <c r="K67" s="8">
        <v>-1043087</v>
      </c>
      <c r="L67" s="8">
        <v>-1221437</v>
      </c>
      <c r="M67" s="8">
        <v>-1026974</v>
      </c>
      <c r="N67" s="8">
        <v>-1116490</v>
      </c>
      <c r="O67" s="8">
        <v>-1526346</v>
      </c>
      <c r="P67" s="8">
        <v>-982952</v>
      </c>
      <c r="Q67" s="9">
        <v>-906448</v>
      </c>
      <c r="R67" s="29">
        <f t="shared" ref="R67:R118" si="9">SUM(F67:Q67)</f>
        <v>-14043921</v>
      </c>
      <c r="S67" s="29">
        <f t="shared" ref="S67:S118" si="10">SUM(F67:H67)</f>
        <v>-3589153</v>
      </c>
      <c r="T67" s="23">
        <f t="shared" ref="T67:T118" si="11">SUM(I67:K67)</f>
        <v>-3674121</v>
      </c>
      <c r="U67" s="23">
        <f t="shared" ref="U67:U118" si="12">SUM(L67:N67)</f>
        <v>-3364901</v>
      </c>
      <c r="V67" s="30">
        <f t="shared" ref="V67:V118" si="13">SUM(O67:Q67)</f>
        <v>-3415746</v>
      </c>
    </row>
    <row r="68" spans="1:22" x14ac:dyDescent="0.25">
      <c r="A68" s="37" t="str">
        <f t="shared" si="7"/>
        <v>2019 Payroll Expense</v>
      </c>
      <c r="B68" s="7" t="s">
        <v>18</v>
      </c>
      <c r="C68" s="37" t="str">
        <f t="shared" si="8"/>
        <v>2019 Actuals Payroll Expense</v>
      </c>
      <c r="D68" s="18">
        <v>2019</v>
      </c>
      <c r="E68" s="18" t="s">
        <v>16</v>
      </c>
      <c r="F68" s="8">
        <v>-4043986</v>
      </c>
      <c r="G68" s="8">
        <v>-3022354</v>
      </c>
      <c r="H68" s="8">
        <v>-2798525</v>
      </c>
      <c r="I68" s="8">
        <v>-3154983</v>
      </c>
      <c r="J68" s="8">
        <v>-3444409</v>
      </c>
      <c r="K68" s="8">
        <v>-2213428</v>
      </c>
      <c r="L68" s="8">
        <v>-2708520</v>
      </c>
      <c r="M68" s="8">
        <v>-2339885</v>
      </c>
      <c r="N68" s="8">
        <v>-2643065</v>
      </c>
      <c r="O68" s="8">
        <v>-3522777</v>
      </c>
      <c r="P68" s="8">
        <v>-2616321</v>
      </c>
      <c r="Q68" s="9">
        <v>-2740005</v>
      </c>
      <c r="R68" s="29">
        <f t="shared" si="9"/>
        <v>-35248258</v>
      </c>
      <c r="S68" s="29">
        <f t="shared" si="10"/>
        <v>-9864865</v>
      </c>
      <c r="T68" s="23">
        <f t="shared" si="11"/>
        <v>-8812820</v>
      </c>
      <c r="U68" s="23">
        <f t="shared" si="12"/>
        <v>-7691470</v>
      </c>
      <c r="V68" s="30">
        <f t="shared" si="13"/>
        <v>-8879103</v>
      </c>
    </row>
    <row r="69" spans="1:22" x14ac:dyDescent="0.25">
      <c r="A69" s="37" t="str">
        <f t="shared" si="7"/>
        <v>2019 Travel &amp; Entertainment Expense</v>
      </c>
      <c r="B69" s="7" t="s">
        <v>19</v>
      </c>
      <c r="C69" s="37" t="str">
        <f t="shared" si="8"/>
        <v>2019 Actuals Travel &amp; Entertainment Expense</v>
      </c>
      <c r="D69" s="18">
        <v>2019</v>
      </c>
      <c r="E69" s="18" t="s">
        <v>16</v>
      </c>
      <c r="F69" s="8">
        <v>-381615</v>
      </c>
      <c r="G69" s="8">
        <v>-267722</v>
      </c>
      <c r="H69" s="8">
        <v>-278956</v>
      </c>
      <c r="I69" s="8">
        <v>-268977</v>
      </c>
      <c r="J69" s="8">
        <v>-338877</v>
      </c>
      <c r="K69" s="8">
        <v>-238395</v>
      </c>
      <c r="L69" s="8">
        <v>-279772</v>
      </c>
      <c r="M69" s="8">
        <v>-248213</v>
      </c>
      <c r="N69" s="8">
        <v>-268330</v>
      </c>
      <c r="O69" s="8">
        <v>-320068</v>
      </c>
      <c r="P69" s="8">
        <v>-282749</v>
      </c>
      <c r="Q69" s="9">
        <v>-231541</v>
      </c>
      <c r="R69" s="29">
        <f t="shared" si="9"/>
        <v>-3405215</v>
      </c>
      <c r="S69" s="29">
        <f t="shared" si="10"/>
        <v>-928293</v>
      </c>
      <c r="T69" s="23">
        <f t="shared" si="11"/>
        <v>-846249</v>
      </c>
      <c r="U69" s="23">
        <f t="shared" si="12"/>
        <v>-796315</v>
      </c>
      <c r="V69" s="30">
        <f t="shared" si="13"/>
        <v>-834358</v>
      </c>
    </row>
    <row r="70" spans="1:22" x14ac:dyDescent="0.25">
      <c r="A70" s="37" t="str">
        <f t="shared" si="7"/>
        <v>2019 R&amp;D Expense</v>
      </c>
      <c r="B70" s="7" t="s">
        <v>20</v>
      </c>
      <c r="C70" s="37" t="str">
        <f t="shared" si="8"/>
        <v>2019 Actuals R&amp;D Expense</v>
      </c>
      <c r="D70" s="18">
        <v>2019</v>
      </c>
      <c r="E70" s="18" t="s">
        <v>16</v>
      </c>
      <c r="F70" s="8">
        <v>-1674547</v>
      </c>
      <c r="G70" s="8">
        <v>-1147043</v>
      </c>
      <c r="H70" s="8">
        <v>-1157373</v>
      </c>
      <c r="I70" s="8">
        <v>-1173747</v>
      </c>
      <c r="J70" s="8">
        <v>-1210176</v>
      </c>
      <c r="K70" s="8">
        <v>-1017288</v>
      </c>
      <c r="L70" s="8">
        <v>-1201326</v>
      </c>
      <c r="M70" s="8">
        <v>-964366</v>
      </c>
      <c r="N70" s="8">
        <v>-1145590</v>
      </c>
      <c r="O70" s="8">
        <v>-1406101</v>
      </c>
      <c r="P70" s="8">
        <v>-1094642</v>
      </c>
      <c r="Q70" s="9">
        <v>-1115642</v>
      </c>
      <c r="R70" s="29">
        <f t="shared" si="9"/>
        <v>-14307841</v>
      </c>
      <c r="S70" s="29">
        <f t="shared" si="10"/>
        <v>-3978963</v>
      </c>
      <c r="T70" s="23">
        <f t="shared" si="11"/>
        <v>-3401211</v>
      </c>
      <c r="U70" s="23">
        <f t="shared" si="12"/>
        <v>-3311282</v>
      </c>
      <c r="V70" s="30">
        <f t="shared" si="13"/>
        <v>-3616385</v>
      </c>
    </row>
    <row r="71" spans="1:22" x14ac:dyDescent="0.25">
      <c r="A71" s="37" t="str">
        <f t="shared" si="7"/>
        <v>2019 Consulting Expense</v>
      </c>
      <c r="B71" s="7" t="s">
        <v>21</v>
      </c>
      <c r="C71" s="37" t="str">
        <f t="shared" si="8"/>
        <v>2019 Actuals Consulting Expense</v>
      </c>
      <c r="D71" s="18">
        <v>2019</v>
      </c>
      <c r="E71" s="18" t="s">
        <v>16</v>
      </c>
      <c r="F71" s="8">
        <v>-2111557</v>
      </c>
      <c r="G71" s="8">
        <v>-1412954</v>
      </c>
      <c r="H71" s="8">
        <v>-1291124</v>
      </c>
      <c r="I71" s="8">
        <v>-1397498</v>
      </c>
      <c r="J71" s="8">
        <v>-1565368</v>
      </c>
      <c r="K71" s="8">
        <v>-1326379</v>
      </c>
      <c r="L71" s="8">
        <v>-1622439</v>
      </c>
      <c r="M71" s="8">
        <v>-1226635</v>
      </c>
      <c r="N71" s="8">
        <v>-1262100</v>
      </c>
      <c r="O71" s="8">
        <v>-1748576</v>
      </c>
      <c r="P71" s="8">
        <v>-1384323</v>
      </c>
      <c r="Q71" s="9">
        <v>-1324557</v>
      </c>
      <c r="R71" s="29">
        <f t="shared" si="9"/>
        <v>-17673510</v>
      </c>
      <c r="S71" s="29">
        <f t="shared" si="10"/>
        <v>-4815635</v>
      </c>
      <c r="T71" s="23">
        <f t="shared" si="11"/>
        <v>-4289245</v>
      </c>
      <c r="U71" s="23">
        <f t="shared" si="12"/>
        <v>-4111174</v>
      </c>
      <c r="V71" s="30">
        <f t="shared" si="13"/>
        <v>-4457456</v>
      </c>
    </row>
    <row r="72" spans="1:22" x14ac:dyDescent="0.25">
      <c r="A72" s="37" t="str">
        <f t="shared" si="7"/>
        <v>2019 Software/Hardware Expense</v>
      </c>
      <c r="B72" s="7" t="s">
        <v>22</v>
      </c>
      <c r="C72" s="37" t="str">
        <f t="shared" si="8"/>
        <v>2019 Actuals Software/Hardware Expense</v>
      </c>
      <c r="D72" s="18">
        <v>2019</v>
      </c>
      <c r="E72" s="18" t="s">
        <v>16</v>
      </c>
      <c r="F72" s="8">
        <v>-2621552</v>
      </c>
      <c r="G72" s="8">
        <v>-2126728</v>
      </c>
      <c r="H72" s="8">
        <v>-2055611</v>
      </c>
      <c r="I72" s="8">
        <v>-2208062</v>
      </c>
      <c r="J72" s="8">
        <v>-2194136</v>
      </c>
      <c r="K72" s="8">
        <v>-1668825</v>
      </c>
      <c r="L72" s="8">
        <v>-2109233</v>
      </c>
      <c r="M72" s="8">
        <v>-1880439</v>
      </c>
      <c r="N72" s="8">
        <v>-1804729</v>
      </c>
      <c r="O72" s="8">
        <v>-2534420</v>
      </c>
      <c r="P72" s="8">
        <v>-1619891</v>
      </c>
      <c r="Q72" s="9">
        <v>-1722891</v>
      </c>
      <c r="R72" s="29">
        <f t="shared" si="9"/>
        <v>-24546517</v>
      </c>
      <c r="S72" s="29">
        <f t="shared" si="10"/>
        <v>-6803891</v>
      </c>
      <c r="T72" s="23">
        <f t="shared" si="11"/>
        <v>-6071023</v>
      </c>
      <c r="U72" s="23">
        <f t="shared" si="12"/>
        <v>-5794401</v>
      </c>
      <c r="V72" s="30">
        <f t="shared" si="13"/>
        <v>-5877202</v>
      </c>
    </row>
    <row r="73" spans="1:22" x14ac:dyDescent="0.25">
      <c r="A73" s="37" t="str">
        <f t="shared" si="7"/>
        <v>2019 Marketing Expense</v>
      </c>
      <c r="B73" s="7" t="s">
        <v>23</v>
      </c>
      <c r="C73" s="37" t="str">
        <f t="shared" si="8"/>
        <v>2019 Actuals Marketing Expense</v>
      </c>
      <c r="D73" s="18">
        <v>2019</v>
      </c>
      <c r="E73" s="18" t="s">
        <v>16</v>
      </c>
      <c r="F73" s="8">
        <v>-803681</v>
      </c>
      <c r="G73" s="8">
        <v>-503961</v>
      </c>
      <c r="H73" s="8">
        <v>-633831</v>
      </c>
      <c r="I73" s="8">
        <v>-642450</v>
      </c>
      <c r="J73" s="8">
        <v>-677962</v>
      </c>
      <c r="K73" s="8">
        <v>-500671</v>
      </c>
      <c r="L73" s="8">
        <v>-593208</v>
      </c>
      <c r="M73" s="8">
        <v>-566165</v>
      </c>
      <c r="N73" s="8">
        <v>-563553</v>
      </c>
      <c r="O73" s="8">
        <v>-626673</v>
      </c>
      <c r="P73" s="8">
        <v>-507695</v>
      </c>
      <c r="Q73" s="9">
        <v>-465617</v>
      </c>
      <c r="R73" s="29">
        <f t="shared" si="9"/>
        <v>-7085467</v>
      </c>
      <c r="S73" s="29">
        <f t="shared" si="10"/>
        <v>-1941473</v>
      </c>
      <c r="T73" s="23">
        <f t="shared" si="11"/>
        <v>-1821083</v>
      </c>
      <c r="U73" s="23">
        <f t="shared" si="12"/>
        <v>-1722926</v>
      </c>
      <c r="V73" s="30">
        <f t="shared" si="13"/>
        <v>-1599985</v>
      </c>
    </row>
    <row r="74" spans="1:22" x14ac:dyDescent="0.25">
      <c r="A74" s="37" t="str">
        <f t="shared" si="7"/>
        <v>2020 Sales</v>
      </c>
      <c r="B74" s="16" t="s">
        <v>15</v>
      </c>
      <c r="C74" s="132" t="str">
        <f t="shared" si="8"/>
        <v>2020 Actuals Sales</v>
      </c>
      <c r="D74" s="18">
        <v>2020</v>
      </c>
      <c r="E74" s="18" t="s">
        <v>16</v>
      </c>
      <c r="F74" s="8">
        <v>23460904.170000002</v>
      </c>
      <c r="G74" s="8">
        <v>23718890.620000001</v>
      </c>
      <c r="H74" s="8">
        <v>24389819.640000001</v>
      </c>
      <c r="I74" s="8">
        <v>26771011.52</v>
      </c>
      <c r="J74" s="8">
        <v>19268387.539999999</v>
      </c>
      <c r="K74" s="8">
        <v>25238331.239999998</v>
      </c>
      <c r="L74" s="8">
        <v>19195734.309999999</v>
      </c>
      <c r="M74" s="8">
        <v>20614489</v>
      </c>
      <c r="N74" s="8">
        <v>21083674.48</v>
      </c>
      <c r="O74" s="8">
        <v>24465875.039999999</v>
      </c>
      <c r="P74" s="8">
        <v>19398173.190000001</v>
      </c>
      <c r="Q74" s="9">
        <v>23434736.760000002</v>
      </c>
      <c r="R74" s="29">
        <f t="shared" si="9"/>
        <v>271040027.50999999</v>
      </c>
      <c r="S74" s="29">
        <f t="shared" si="10"/>
        <v>71569614.430000007</v>
      </c>
      <c r="T74" s="23">
        <f t="shared" si="11"/>
        <v>71277730.299999997</v>
      </c>
      <c r="U74" s="23">
        <f t="shared" si="12"/>
        <v>60893897.790000007</v>
      </c>
      <c r="V74" s="30">
        <f t="shared" si="13"/>
        <v>67298784.99000001</v>
      </c>
    </row>
    <row r="75" spans="1:22" x14ac:dyDescent="0.25">
      <c r="A75" s="37" t="str">
        <f t="shared" si="7"/>
        <v>2020 COGS</v>
      </c>
      <c r="B75" s="7" t="s">
        <v>34</v>
      </c>
      <c r="C75" s="37" t="str">
        <f t="shared" si="8"/>
        <v>2020 Actuals COGS</v>
      </c>
      <c r="D75" s="18">
        <v>2020</v>
      </c>
      <c r="E75" s="18" t="s">
        <v>16</v>
      </c>
      <c r="F75" s="8">
        <v>-11301138</v>
      </c>
      <c r="G75" s="8">
        <v>-11040566</v>
      </c>
      <c r="H75" s="8">
        <v>-11385210</v>
      </c>
      <c r="I75" s="8">
        <v>-12065519</v>
      </c>
      <c r="J75" s="8">
        <v>-8004994</v>
      </c>
      <c r="K75" s="8">
        <v>-11169399</v>
      </c>
      <c r="L75" s="8">
        <v>-8198056</v>
      </c>
      <c r="M75" s="8">
        <v>-9583888</v>
      </c>
      <c r="N75" s="8">
        <v>-8854962</v>
      </c>
      <c r="O75" s="8">
        <v>-10326236</v>
      </c>
      <c r="P75" s="8">
        <v>-8135464</v>
      </c>
      <c r="Q75" s="9">
        <v>-9435110</v>
      </c>
      <c r="R75" s="29">
        <f t="shared" si="9"/>
        <v>-119500542</v>
      </c>
      <c r="S75" s="29">
        <f t="shared" si="10"/>
        <v>-33726914</v>
      </c>
      <c r="T75" s="23">
        <f t="shared" si="11"/>
        <v>-31239912</v>
      </c>
      <c r="U75" s="23">
        <f t="shared" si="12"/>
        <v>-26636906</v>
      </c>
      <c r="V75" s="30">
        <f t="shared" si="13"/>
        <v>-27896810</v>
      </c>
    </row>
    <row r="76" spans="1:22" x14ac:dyDescent="0.25">
      <c r="A76" s="37" t="str">
        <f t="shared" si="7"/>
        <v>2020 Commissions Expense</v>
      </c>
      <c r="B76" s="7" t="s">
        <v>17</v>
      </c>
      <c r="C76" s="37" t="str">
        <f t="shared" si="8"/>
        <v>2020 Actuals Commissions Expense</v>
      </c>
      <c r="D76" s="18">
        <v>2020</v>
      </c>
      <c r="E76" s="18" t="s">
        <v>16</v>
      </c>
      <c r="F76" s="8">
        <v>-1040217</v>
      </c>
      <c r="G76" s="8">
        <v>-1037564</v>
      </c>
      <c r="H76" s="8">
        <v>-1012661</v>
      </c>
      <c r="I76" s="8">
        <v>-1187032</v>
      </c>
      <c r="J76" s="8">
        <v>-888831</v>
      </c>
      <c r="K76" s="8">
        <v>-1025650</v>
      </c>
      <c r="L76" s="8">
        <v>-897572</v>
      </c>
      <c r="M76" s="8">
        <v>-943461</v>
      </c>
      <c r="N76" s="8">
        <v>-945482</v>
      </c>
      <c r="O76" s="8">
        <v>-1126584</v>
      </c>
      <c r="P76" s="8">
        <v>-946140</v>
      </c>
      <c r="Q76" s="9">
        <v>-985301</v>
      </c>
      <c r="R76" s="29">
        <f t="shared" si="9"/>
        <v>-12036495</v>
      </c>
      <c r="S76" s="29">
        <f t="shared" si="10"/>
        <v>-3090442</v>
      </c>
      <c r="T76" s="23">
        <f t="shared" si="11"/>
        <v>-3101513</v>
      </c>
      <c r="U76" s="23">
        <f t="shared" si="12"/>
        <v>-2786515</v>
      </c>
      <c r="V76" s="30">
        <f t="shared" si="13"/>
        <v>-3058025</v>
      </c>
    </row>
    <row r="77" spans="1:22" x14ac:dyDescent="0.25">
      <c r="A77" s="37" t="str">
        <f t="shared" si="7"/>
        <v>2020 Payroll Expense</v>
      </c>
      <c r="B77" s="7" t="s">
        <v>18</v>
      </c>
      <c r="C77" s="37" t="str">
        <f t="shared" si="8"/>
        <v>2020 Actuals Payroll Expense</v>
      </c>
      <c r="D77" s="18">
        <v>2020</v>
      </c>
      <c r="E77" s="18" t="s">
        <v>16</v>
      </c>
      <c r="F77" s="8">
        <v>-2686116</v>
      </c>
      <c r="G77" s="8">
        <v>-2811436</v>
      </c>
      <c r="H77" s="8">
        <v>-2564638</v>
      </c>
      <c r="I77" s="8">
        <v>-3193324</v>
      </c>
      <c r="J77" s="8">
        <v>-2094388</v>
      </c>
      <c r="K77" s="8">
        <v>-2712239</v>
      </c>
      <c r="L77" s="8">
        <v>-2266614</v>
      </c>
      <c r="M77" s="8">
        <v>-2314678</v>
      </c>
      <c r="N77" s="8">
        <v>-2597975</v>
      </c>
      <c r="O77" s="8">
        <v>-3028352</v>
      </c>
      <c r="P77" s="8">
        <v>-2170564</v>
      </c>
      <c r="Q77" s="9">
        <v>-2619732</v>
      </c>
      <c r="R77" s="29">
        <f t="shared" si="9"/>
        <v>-31060056</v>
      </c>
      <c r="S77" s="29">
        <f t="shared" si="10"/>
        <v>-8062190</v>
      </c>
      <c r="T77" s="23">
        <f t="shared" si="11"/>
        <v>-7999951</v>
      </c>
      <c r="U77" s="23">
        <f t="shared" si="12"/>
        <v>-7179267</v>
      </c>
      <c r="V77" s="30">
        <f t="shared" si="13"/>
        <v>-7818648</v>
      </c>
    </row>
    <row r="78" spans="1:22" x14ac:dyDescent="0.25">
      <c r="A78" s="37" t="str">
        <f t="shared" si="7"/>
        <v>2020 Travel &amp; Entertainment Expense</v>
      </c>
      <c r="B78" s="7" t="s">
        <v>19</v>
      </c>
      <c r="C78" s="37" t="str">
        <f t="shared" si="8"/>
        <v>2020 Actuals Travel &amp; Entertainment Expense</v>
      </c>
      <c r="D78" s="18">
        <v>2020</v>
      </c>
      <c r="E78" s="18" t="s">
        <v>16</v>
      </c>
      <c r="F78" s="8">
        <v>-261109</v>
      </c>
      <c r="G78" s="8">
        <v>-251233</v>
      </c>
      <c r="H78" s="8">
        <v>-284032</v>
      </c>
      <c r="I78" s="8">
        <v>-274954</v>
      </c>
      <c r="J78" s="8">
        <v>-222389</v>
      </c>
      <c r="K78" s="8">
        <v>-302896</v>
      </c>
      <c r="L78" s="8">
        <v>-215682</v>
      </c>
      <c r="M78" s="8">
        <v>-212824</v>
      </c>
      <c r="N78" s="8">
        <v>-237617</v>
      </c>
      <c r="O78" s="8">
        <v>-281077</v>
      </c>
      <c r="P78" s="8">
        <v>-230799</v>
      </c>
      <c r="Q78" s="9">
        <v>-255866</v>
      </c>
      <c r="R78" s="29">
        <f t="shared" si="9"/>
        <v>-3030478</v>
      </c>
      <c r="S78" s="29">
        <f t="shared" si="10"/>
        <v>-796374</v>
      </c>
      <c r="T78" s="23">
        <f t="shared" si="11"/>
        <v>-800239</v>
      </c>
      <c r="U78" s="23">
        <f t="shared" si="12"/>
        <v>-666123</v>
      </c>
      <c r="V78" s="30">
        <f t="shared" si="13"/>
        <v>-767742</v>
      </c>
    </row>
    <row r="79" spans="1:22" x14ac:dyDescent="0.25">
      <c r="A79" s="37" t="str">
        <f t="shared" si="7"/>
        <v>2020 R&amp;D Expense</v>
      </c>
      <c r="B79" s="7" t="s">
        <v>20</v>
      </c>
      <c r="C79" s="37" t="str">
        <f t="shared" si="8"/>
        <v>2020 Actuals R&amp;D Expense</v>
      </c>
      <c r="D79" s="18">
        <v>2020</v>
      </c>
      <c r="E79" s="18" t="s">
        <v>16</v>
      </c>
      <c r="F79" s="8">
        <v>-1079788</v>
      </c>
      <c r="G79" s="8">
        <v>-967463</v>
      </c>
      <c r="H79" s="8">
        <v>-1074051</v>
      </c>
      <c r="I79" s="8">
        <v>-1258729</v>
      </c>
      <c r="J79" s="8">
        <v>-829188</v>
      </c>
      <c r="K79" s="8">
        <v>-1219308</v>
      </c>
      <c r="L79" s="8">
        <v>-868457</v>
      </c>
      <c r="M79" s="8">
        <v>-1002976</v>
      </c>
      <c r="N79" s="8">
        <v>-929444</v>
      </c>
      <c r="O79" s="8">
        <v>-984727</v>
      </c>
      <c r="P79" s="8">
        <v>-895091</v>
      </c>
      <c r="Q79" s="9">
        <v>-998052</v>
      </c>
      <c r="R79" s="29">
        <f t="shared" si="9"/>
        <v>-12107274</v>
      </c>
      <c r="S79" s="29">
        <f t="shared" si="10"/>
        <v>-3121302</v>
      </c>
      <c r="T79" s="23">
        <f t="shared" si="11"/>
        <v>-3307225</v>
      </c>
      <c r="U79" s="23">
        <f t="shared" si="12"/>
        <v>-2800877</v>
      </c>
      <c r="V79" s="30">
        <f t="shared" si="13"/>
        <v>-2877870</v>
      </c>
    </row>
    <row r="80" spans="1:22" x14ac:dyDescent="0.25">
      <c r="A80" s="37" t="str">
        <f t="shared" si="7"/>
        <v>2020 Consulting Expense</v>
      </c>
      <c r="B80" s="7" t="s">
        <v>21</v>
      </c>
      <c r="C80" s="37" t="str">
        <f t="shared" si="8"/>
        <v>2020 Actuals Consulting Expense</v>
      </c>
      <c r="D80" s="18">
        <v>2020</v>
      </c>
      <c r="E80" s="18" t="s">
        <v>16</v>
      </c>
      <c r="F80" s="8">
        <v>-1259836</v>
      </c>
      <c r="G80" s="8">
        <v>-1466091</v>
      </c>
      <c r="H80" s="8">
        <v>-1329954</v>
      </c>
      <c r="I80" s="8">
        <v>-1342208</v>
      </c>
      <c r="J80" s="8">
        <v>-968525</v>
      </c>
      <c r="K80" s="8">
        <v>-1551135</v>
      </c>
      <c r="L80" s="8">
        <v>-1060193</v>
      </c>
      <c r="M80" s="8">
        <v>-1219376</v>
      </c>
      <c r="N80" s="8">
        <v>-1176567</v>
      </c>
      <c r="O80" s="8">
        <v>-1460487</v>
      </c>
      <c r="P80" s="8">
        <v>-1009016</v>
      </c>
      <c r="Q80" s="9">
        <v>-1300408</v>
      </c>
      <c r="R80" s="29">
        <f t="shared" si="9"/>
        <v>-15143796</v>
      </c>
      <c r="S80" s="29">
        <f t="shared" si="10"/>
        <v>-4055881</v>
      </c>
      <c r="T80" s="23">
        <f t="shared" si="11"/>
        <v>-3861868</v>
      </c>
      <c r="U80" s="23">
        <f t="shared" si="12"/>
        <v>-3456136</v>
      </c>
      <c r="V80" s="30">
        <f t="shared" si="13"/>
        <v>-3769911</v>
      </c>
    </row>
    <row r="81" spans="1:22" x14ac:dyDescent="0.25">
      <c r="A81" s="37" t="str">
        <f t="shared" si="7"/>
        <v>2020 Software/Hardware Expense</v>
      </c>
      <c r="B81" s="7" t="s">
        <v>22</v>
      </c>
      <c r="C81" s="37" t="str">
        <f t="shared" si="8"/>
        <v>2020 Actuals Software/Hardware Expense</v>
      </c>
      <c r="D81" s="18">
        <v>2020</v>
      </c>
      <c r="E81" s="18" t="s">
        <v>16</v>
      </c>
      <c r="F81" s="8">
        <v>-1761633</v>
      </c>
      <c r="G81" s="8">
        <v>-2015134</v>
      </c>
      <c r="H81" s="8">
        <v>-1826370</v>
      </c>
      <c r="I81" s="8">
        <v>-1914691</v>
      </c>
      <c r="J81" s="8">
        <v>-1446972</v>
      </c>
      <c r="K81" s="8">
        <v>-1896300</v>
      </c>
      <c r="L81" s="8">
        <v>-1597721</v>
      </c>
      <c r="M81" s="8">
        <v>-1538757</v>
      </c>
      <c r="N81" s="8">
        <v>-1704116</v>
      </c>
      <c r="O81" s="8">
        <v>-1897036</v>
      </c>
      <c r="P81" s="8">
        <v>-1495845</v>
      </c>
      <c r="Q81" s="9">
        <v>-1910300</v>
      </c>
      <c r="R81" s="29">
        <f t="shared" si="9"/>
        <v>-21004875</v>
      </c>
      <c r="S81" s="29">
        <f t="shared" si="10"/>
        <v>-5603137</v>
      </c>
      <c r="T81" s="23">
        <f t="shared" si="11"/>
        <v>-5257963</v>
      </c>
      <c r="U81" s="23">
        <f t="shared" si="12"/>
        <v>-4840594</v>
      </c>
      <c r="V81" s="30">
        <f t="shared" si="13"/>
        <v>-5303181</v>
      </c>
    </row>
    <row r="82" spans="1:22" x14ac:dyDescent="0.25">
      <c r="A82" s="37" t="str">
        <f t="shared" si="7"/>
        <v>2020 Marketing Expense</v>
      </c>
      <c r="B82" s="7" t="s">
        <v>23</v>
      </c>
      <c r="C82" s="37" t="str">
        <f t="shared" si="8"/>
        <v>2020 Actuals Marketing Expense</v>
      </c>
      <c r="D82" s="18">
        <v>2020</v>
      </c>
      <c r="E82" s="18" t="s">
        <v>16</v>
      </c>
      <c r="F82" s="8">
        <v>-565050</v>
      </c>
      <c r="G82" s="8">
        <v>-523149</v>
      </c>
      <c r="H82" s="8">
        <v>-596925</v>
      </c>
      <c r="I82" s="8">
        <v>-643179</v>
      </c>
      <c r="J82" s="8">
        <v>-442670</v>
      </c>
      <c r="K82" s="8">
        <v>-528793</v>
      </c>
      <c r="L82" s="8">
        <v>-428292</v>
      </c>
      <c r="M82" s="8">
        <v>-448126</v>
      </c>
      <c r="N82" s="8">
        <v>-442125</v>
      </c>
      <c r="O82" s="8">
        <v>-526927</v>
      </c>
      <c r="P82" s="8">
        <v>-439699</v>
      </c>
      <c r="Q82" s="9">
        <v>-491968</v>
      </c>
      <c r="R82" s="29">
        <f t="shared" si="9"/>
        <v>-6076903</v>
      </c>
      <c r="S82" s="29">
        <f t="shared" si="10"/>
        <v>-1685124</v>
      </c>
      <c r="T82" s="23">
        <f t="shared" si="11"/>
        <v>-1614642</v>
      </c>
      <c r="U82" s="23">
        <f t="shared" si="12"/>
        <v>-1318543</v>
      </c>
      <c r="V82" s="30">
        <f t="shared" si="13"/>
        <v>-1458594</v>
      </c>
    </row>
    <row r="83" spans="1:22" x14ac:dyDescent="0.25">
      <c r="A83" s="37" t="str">
        <f t="shared" si="7"/>
        <v>2021 Sales</v>
      </c>
      <c r="B83" s="16" t="s">
        <v>15</v>
      </c>
      <c r="C83" s="132" t="str">
        <f t="shared" si="8"/>
        <v>2021 Actuals Sales</v>
      </c>
      <c r="D83" s="18">
        <v>2021</v>
      </c>
      <c r="E83" s="18" t="s">
        <v>16</v>
      </c>
      <c r="F83" s="8">
        <v>22066453.309999999</v>
      </c>
      <c r="G83" s="8">
        <v>20860714.379999999</v>
      </c>
      <c r="H83" s="8">
        <v>25495501.57</v>
      </c>
      <c r="I83" s="8">
        <v>35932223.600000001</v>
      </c>
      <c r="J83" s="8">
        <v>22760868.239999998</v>
      </c>
      <c r="K83" s="8">
        <v>22774556.719999999</v>
      </c>
      <c r="L83" s="8">
        <v>23278059.84</v>
      </c>
      <c r="M83" s="8">
        <v>32627432.129999999</v>
      </c>
      <c r="N83" s="8">
        <v>29677832.420000002</v>
      </c>
      <c r="O83" s="8">
        <v>15990927.6</v>
      </c>
      <c r="P83" s="8">
        <v>32021775.059999999</v>
      </c>
      <c r="Q83" s="9">
        <v>23578145.91</v>
      </c>
      <c r="R83" s="29">
        <f t="shared" si="9"/>
        <v>307064490.77999997</v>
      </c>
      <c r="S83" s="29">
        <f t="shared" si="10"/>
        <v>68422669.25999999</v>
      </c>
      <c r="T83" s="23">
        <f t="shared" si="11"/>
        <v>81467648.560000002</v>
      </c>
      <c r="U83" s="23">
        <f t="shared" si="12"/>
        <v>85583324.390000001</v>
      </c>
      <c r="V83" s="30">
        <f t="shared" si="13"/>
        <v>71590848.569999993</v>
      </c>
    </row>
    <row r="84" spans="1:22" x14ac:dyDescent="0.25">
      <c r="A84" s="37" t="str">
        <f t="shared" si="7"/>
        <v>2021 COGS</v>
      </c>
      <c r="B84" s="7" t="s">
        <v>34</v>
      </c>
      <c r="C84" s="37" t="str">
        <f t="shared" si="8"/>
        <v>2021 Actuals COGS</v>
      </c>
      <c r="D84" s="18">
        <v>2021</v>
      </c>
      <c r="E84" s="18" t="s">
        <v>16</v>
      </c>
      <c r="F84" s="8">
        <v>-10194386</v>
      </c>
      <c r="G84" s="8">
        <v>-8775712</v>
      </c>
      <c r="H84" s="8">
        <v>-11649875</v>
      </c>
      <c r="I84" s="8">
        <v>-16904734</v>
      </c>
      <c r="J84" s="8">
        <v>-10156730</v>
      </c>
      <c r="K84" s="8">
        <v>-9308845</v>
      </c>
      <c r="L84" s="8">
        <v>-11485654</v>
      </c>
      <c r="M84" s="8">
        <v>-13335082</v>
      </c>
      <c r="N84" s="8">
        <v>-13144907</v>
      </c>
      <c r="O84" s="8">
        <v>-7121589</v>
      </c>
      <c r="P84" s="8">
        <v>-14605277</v>
      </c>
      <c r="Q84" s="9">
        <v>-10457408</v>
      </c>
      <c r="R84" s="29">
        <f t="shared" si="9"/>
        <v>-137140199</v>
      </c>
      <c r="S84" s="29">
        <f t="shared" si="10"/>
        <v>-30619973</v>
      </c>
      <c r="T84" s="23">
        <f t="shared" si="11"/>
        <v>-36370309</v>
      </c>
      <c r="U84" s="23">
        <f t="shared" si="12"/>
        <v>-37965643</v>
      </c>
      <c r="V84" s="30">
        <f t="shared" si="13"/>
        <v>-32184274</v>
      </c>
    </row>
    <row r="85" spans="1:22" x14ac:dyDescent="0.25">
      <c r="A85" s="37" t="str">
        <f t="shared" si="7"/>
        <v>2021 Commissions Expense</v>
      </c>
      <c r="B85" s="7" t="s">
        <v>17</v>
      </c>
      <c r="C85" s="37" t="str">
        <f t="shared" si="8"/>
        <v>2021 Actuals Commissions Expense</v>
      </c>
      <c r="D85" s="18">
        <v>2021</v>
      </c>
      <c r="E85" s="18" t="s">
        <v>16</v>
      </c>
      <c r="F85" s="8">
        <v>-1020928</v>
      </c>
      <c r="G85" s="8">
        <v>-962457</v>
      </c>
      <c r="H85" s="8">
        <v>-1256682</v>
      </c>
      <c r="I85" s="8">
        <v>-1466447</v>
      </c>
      <c r="J85" s="8">
        <v>-1128295</v>
      </c>
      <c r="K85" s="8">
        <v>-1097226</v>
      </c>
      <c r="L85" s="8">
        <v>-991610</v>
      </c>
      <c r="M85" s="8">
        <v>-1523961</v>
      </c>
      <c r="N85" s="8">
        <v>-1263413</v>
      </c>
      <c r="O85" s="8">
        <v>-756846</v>
      </c>
      <c r="P85" s="8">
        <v>-1410397</v>
      </c>
      <c r="Q85" s="9">
        <v>-1032096</v>
      </c>
      <c r="R85" s="29">
        <f t="shared" si="9"/>
        <v>-13910358</v>
      </c>
      <c r="S85" s="29">
        <f t="shared" si="10"/>
        <v>-3240067</v>
      </c>
      <c r="T85" s="23">
        <f t="shared" si="11"/>
        <v>-3691968</v>
      </c>
      <c r="U85" s="23">
        <f t="shared" si="12"/>
        <v>-3778984</v>
      </c>
      <c r="V85" s="30">
        <f t="shared" si="13"/>
        <v>-3199339</v>
      </c>
    </row>
    <row r="86" spans="1:22" x14ac:dyDescent="0.25">
      <c r="A86" s="37" t="str">
        <f t="shared" si="7"/>
        <v>2021 Payroll Expense</v>
      </c>
      <c r="B86" s="7" t="s">
        <v>18</v>
      </c>
      <c r="C86" s="37" t="str">
        <f t="shared" si="8"/>
        <v>2021 Actuals Payroll Expense</v>
      </c>
      <c r="D86" s="18">
        <v>2021</v>
      </c>
      <c r="E86" s="18" t="s">
        <v>16</v>
      </c>
      <c r="F86" s="8">
        <v>-2444611</v>
      </c>
      <c r="G86" s="8">
        <v>-2272245</v>
      </c>
      <c r="H86" s="8">
        <v>-2641782</v>
      </c>
      <c r="I86" s="8">
        <v>-4039512</v>
      </c>
      <c r="J86" s="8">
        <v>-2624973</v>
      </c>
      <c r="K86" s="8">
        <v>-2743062</v>
      </c>
      <c r="L86" s="8">
        <v>-2434704</v>
      </c>
      <c r="M86" s="8">
        <v>-4055672</v>
      </c>
      <c r="N86" s="8">
        <v>-3164216</v>
      </c>
      <c r="O86" s="8">
        <v>-1753146</v>
      </c>
      <c r="P86" s="8">
        <v>-3557338</v>
      </c>
      <c r="Q86" s="9">
        <v>-2534072</v>
      </c>
      <c r="R86" s="29">
        <f t="shared" si="9"/>
        <v>-34265333</v>
      </c>
      <c r="S86" s="29">
        <f t="shared" si="10"/>
        <v>-7358638</v>
      </c>
      <c r="T86" s="23">
        <f t="shared" si="11"/>
        <v>-9407547</v>
      </c>
      <c r="U86" s="23">
        <f t="shared" si="12"/>
        <v>-9654592</v>
      </c>
      <c r="V86" s="30">
        <f t="shared" si="13"/>
        <v>-7844556</v>
      </c>
    </row>
    <row r="87" spans="1:22" x14ac:dyDescent="0.25">
      <c r="A87" s="37" t="str">
        <f t="shared" si="7"/>
        <v>2021 Travel &amp; Entertainment Expense</v>
      </c>
      <c r="B87" s="7" t="s">
        <v>19</v>
      </c>
      <c r="C87" s="37" t="str">
        <f t="shared" si="8"/>
        <v>2021 Actuals Travel &amp; Entertainment Expense</v>
      </c>
      <c r="D87" s="18">
        <v>2021</v>
      </c>
      <c r="E87" s="18" t="s">
        <v>16</v>
      </c>
      <c r="F87" s="8">
        <v>-275381</v>
      </c>
      <c r="G87" s="8">
        <v>-210026</v>
      </c>
      <c r="H87" s="8">
        <v>-317279</v>
      </c>
      <c r="I87" s="8">
        <v>-388332</v>
      </c>
      <c r="J87" s="8">
        <v>-242804</v>
      </c>
      <c r="K87" s="8">
        <v>-235914</v>
      </c>
      <c r="L87" s="8">
        <v>-250881</v>
      </c>
      <c r="M87" s="8">
        <v>-404914</v>
      </c>
      <c r="N87" s="8">
        <v>-314764</v>
      </c>
      <c r="O87" s="8">
        <v>-162558</v>
      </c>
      <c r="P87" s="8">
        <v>-362132</v>
      </c>
      <c r="Q87" s="9">
        <v>-245425</v>
      </c>
      <c r="R87" s="29">
        <f t="shared" si="9"/>
        <v>-3410410</v>
      </c>
      <c r="S87" s="29">
        <f t="shared" si="10"/>
        <v>-802686</v>
      </c>
      <c r="T87" s="23">
        <f t="shared" si="11"/>
        <v>-867050</v>
      </c>
      <c r="U87" s="23">
        <f t="shared" si="12"/>
        <v>-970559</v>
      </c>
      <c r="V87" s="30">
        <f t="shared" si="13"/>
        <v>-770115</v>
      </c>
    </row>
    <row r="88" spans="1:22" x14ac:dyDescent="0.25">
      <c r="A88" s="37" t="str">
        <f t="shared" si="7"/>
        <v>2021 R&amp;D Expense</v>
      </c>
      <c r="B88" s="7" t="s">
        <v>20</v>
      </c>
      <c r="C88" s="37" t="str">
        <f t="shared" si="8"/>
        <v>2021 Actuals R&amp;D Expense</v>
      </c>
      <c r="D88" s="18">
        <v>2021</v>
      </c>
      <c r="E88" s="18" t="s">
        <v>16</v>
      </c>
      <c r="F88" s="8">
        <v>-982133</v>
      </c>
      <c r="G88" s="8">
        <v>-1031282</v>
      </c>
      <c r="H88" s="8">
        <v>-1031427</v>
      </c>
      <c r="I88" s="8">
        <v>-1571161</v>
      </c>
      <c r="J88" s="8">
        <v>-1047047</v>
      </c>
      <c r="K88" s="8">
        <v>-915792</v>
      </c>
      <c r="L88" s="8">
        <v>-1130410</v>
      </c>
      <c r="M88" s="8">
        <v>-1332285</v>
      </c>
      <c r="N88" s="8">
        <v>-1469427</v>
      </c>
      <c r="O88" s="8">
        <v>-750448</v>
      </c>
      <c r="P88" s="8">
        <v>-1514250</v>
      </c>
      <c r="Q88" s="9">
        <v>-1098678</v>
      </c>
      <c r="R88" s="29">
        <f t="shared" si="9"/>
        <v>-13874340</v>
      </c>
      <c r="S88" s="29">
        <f t="shared" si="10"/>
        <v>-3044842</v>
      </c>
      <c r="T88" s="23">
        <f t="shared" si="11"/>
        <v>-3534000</v>
      </c>
      <c r="U88" s="23">
        <f t="shared" si="12"/>
        <v>-3932122</v>
      </c>
      <c r="V88" s="30">
        <f t="shared" si="13"/>
        <v>-3363376</v>
      </c>
    </row>
    <row r="89" spans="1:22" x14ac:dyDescent="0.25">
      <c r="A89" s="37" t="str">
        <f t="shared" si="7"/>
        <v>2021 Consulting Expense</v>
      </c>
      <c r="B89" s="7" t="s">
        <v>21</v>
      </c>
      <c r="C89" s="37" t="str">
        <f t="shared" si="8"/>
        <v>2021 Actuals Consulting Expense</v>
      </c>
      <c r="D89" s="18">
        <v>2021</v>
      </c>
      <c r="E89" s="18" t="s">
        <v>16</v>
      </c>
      <c r="F89" s="8">
        <v>-1125007</v>
      </c>
      <c r="G89" s="8">
        <v>-1299618</v>
      </c>
      <c r="H89" s="8">
        <v>-1392648</v>
      </c>
      <c r="I89" s="8">
        <v>-2179140</v>
      </c>
      <c r="J89" s="8">
        <v>-1402417</v>
      </c>
      <c r="K89" s="8">
        <v>-1417237</v>
      </c>
      <c r="L89" s="8">
        <v>-1366474</v>
      </c>
      <c r="M89" s="8">
        <v>-1706626</v>
      </c>
      <c r="N89" s="8">
        <v>-1557322</v>
      </c>
      <c r="O89" s="8">
        <v>-802577</v>
      </c>
      <c r="P89" s="8">
        <v>-1970207</v>
      </c>
      <c r="Q89" s="9">
        <v>-1423960</v>
      </c>
      <c r="R89" s="29">
        <f t="shared" si="9"/>
        <v>-17643233</v>
      </c>
      <c r="S89" s="29">
        <f t="shared" si="10"/>
        <v>-3817273</v>
      </c>
      <c r="T89" s="23">
        <f t="shared" si="11"/>
        <v>-4998794</v>
      </c>
      <c r="U89" s="23">
        <f t="shared" si="12"/>
        <v>-4630422</v>
      </c>
      <c r="V89" s="30">
        <f t="shared" si="13"/>
        <v>-4196744</v>
      </c>
    </row>
    <row r="90" spans="1:22" x14ac:dyDescent="0.25">
      <c r="A90" s="37" t="str">
        <f t="shared" si="7"/>
        <v>2021 Software/Hardware Expense</v>
      </c>
      <c r="B90" s="7" t="s">
        <v>22</v>
      </c>
      <c r="C90" s="37" t="str">
        <f t="shared" si="8"/>
        <v>2021 Actuals Software/Hardware Expense</v>
      </c>
      <c r="D90" s="18">
        <v>2021</v>
      </c>
      <c r="E90" s="18" t="s">
        <v>16</v>
      </c>
      <c r="F90" s="8">
        <v>-1892953</v>
      </c>
      <c r="G90" s="8">
        <v>-1758305</v>
      </c>
      <c r="H90" s="8">
        <v>-2114471</v>
      </c>
      <c r="I90" s="8">
        <v>-2948387</v>
      </c>
      <c r="J90" s="8">
        <v>-1767142</v>
      </c>
      <c r="K90" s="8">
        <v>-1705036</v>
      </c>
      <c r="L90" s="8">
        <v>-2010684</v>
      </c>
      <c r="M90" s="8">
        <v>-2567132</v>
      </c>
      <c r="N90" s="8">
        <v>-2136189</v>
      </c>
      <c r="O90" s="8">
        <v>-1232918</v>
      </c>
      <c r="P90" s="8">
        <v>-2637095</v>
      </c>
      <c r="Q90" s="9">
        <v>-2009167</v>
      </c>
      <c r="R90" s="29">
        <f t="shared" si="9"/>
        <v>-24779479</v>
      </c>
      <c r="S90" s="29">
        <f t="shared" si="10"/>
        <v>-5765729</v>
      </c>
      <c r="T90" s="23">
        <f t="shared" si="11"/>
        <v>-6420565</v>
      </c>
      <c r="U90" s="23">
        <f t="shared" si="12"/>
        <v>-6714005</v>
      </c>
      <c r="V90" s="30">
        <f t="shared" si="13"/>
        <v>-5879180</v>
      </c>
    </row>
    <row r="91" spans="1:22" x14ac:dyDescent="0.25">
      <c r="A91" s="37" t="str">
        <f t="shared" si="7"/>
        <v>2021 Marketing Expense</v>
      </c>
      <c r="B91" s="7" t="s">
        <v>23</v>
      </c>
      <c r="C91" s="37" t="str">
        <f t="shared" si="8"/>
        <v>2021 Actuals Marketing Expense</v>
      </c>
      <c r="D91" s="18">
        <v>2021</v>
      </c>
      <c r="E91" s="18" t="s">
        <v>16</v>
      </c>
      <c r="F91" s="8">
        <v>-535336</v>
      </c>
      <c r="G91" s="8">
        <v>-469896</v>
      </c>
      <c r="H91" s="8">
        <v>-589539</v>
      </c>
      <c r="I91" s="8">
        <v>-871134</v>
      </c>
      <c r="J91" s="8">
        <v>-466384</v>
      </c>
      <c r="K91" s="8">
        <v>-548868</v>
      </c>
      <c r="L91" s="8">
        <v>-518774</v>
      </c>
      <c r="M91" s="8">
        <v>-742349</v>
      </c>
      <c r="N91" s="8">
        <v>-717617</v>
      </c>
      <c r="O91" s="8">
        <v>-394682</v>
      </c>
      <c r="P91" s="8">
        <v>-746161</v>
      </c>
      <c r="Q91" s="9">
        <v>-544340</v>
      </c>
      <c r="R91" s="29">
        <f t="shared" si="9"/>
        <v>-7145080</v>
      </c>
      <c r="S91" s="29">
        <f t="shared" si="10"/>
        <v>-1594771</v>
      </c>
      <c r="T91" s="23">
        <f t="shared" si="11"/>
        <v>-1886386</v>
      </c>
      <c r="U91" s="23">
        <f t="shared" si="12"/>
        <v>-1978740</v>
      </c>
      <c r="V91" s="30">
        <f t="shared" si="13"/>
        <v>-1685183</v>
      </c>
    </row>
    <row r="92" spans="1:22" x14ac:dyDescent="0.25">
      <c r="A92" s="37" t="str">
        <f t="shared" si="7"/>
        <v>2022 Sales</v>
      </c>
      <c r="B92" s="16" t="s">
        <v>15</v>
      </c>
      <c r="C92" s="132" t="str">
        <f t="shared" si="8"/>
        <v>2022 Actuals Sales</v>
      </c>
      <c r="D92" s="18">
        <v>2022</v>
      </c>
      <c r="E92" s="18" t="s">
        <v>16</v>
      </c>
      <c r="F92" s="8">
        <v>30551931.539999999</v>
      </c>
      <c r="G92" s="8">
        <v>19731611.34</v>
      </c>
      <c r="H92" s="8">
        <v>24279792.32</v>
      </c>
      <c r="I92" s="8">
        <v>35090166.799999997</v>
      </c>
      <c r="J92" s="8">
        <v>26312395.760000002</v>
      </c>
      <c r="K92" s="8">
        <v>25896509.449999999</v>
      </c>
      <c r="L92" s="8">
        <v>31473041.16</v>
      </c>
      <c r="M92" s="8">
        <v>27424404.48</v>
      </c>
      <c r="N92" s="8">
        <v>21153260.399999999</v>
      </c>
      <c r="O92" s="8">
        <v>24611380.399999999</v>
      </c>
      <c r="P92" s="8">
        <v>30059518.829999998</v>
      </c>
      <c r="Q92" s="9">
        <v>30711420.600000001</v>
      </c>
      <c r="R92" s="29">
        <f t="shared" si="9"/>
        <v>327295433.07999998</v>
      </c>
      <c r="S92" s="29">
        <f t="shared" si="10"/>
        <v>74563335.199999988</v>
      </c>
      <c r="T92" s="23">
        <f t="shared" si="11"/>
        <v>87299072.010000005</v>
      </c>
      <c r="U92" s="23">
        <f t="shared" si="12"/>
        <v>80050706.039999992</v>
      </c>
      <c r="V92" s="30">
        <f t="shared" si="13"/>
        <v>85382319.829999998</v>
      </c>
    </row>
    <row r="93" spans="1:22" x14ac:dyDescent="0.25">
      <c r="A93" s="37" t="str">
        <f t="shared" si="7"/>
        <v>2022 COGS</v>
      </c>
      <c r="B93" s="7" t="s">
        <v>34</v>
      </c>
      <c r="C93" s="37" t="str">
        <f t="shared" si="8"/>
        <v>2022 Actuals COGS</v>
      </c>
      <c r="D93" s="18">
        <v>2022</v>
      </c>
      <c r="E93" s="18" t="s">
        <v>16</v>
      </c>
      <c r="F93" s="8">
        <v>-13819091</v>
      </c>
      <c r="G93" s="8">
        <v>-9286529</v>
      </c>
      <c r="H93" s="8">
        <v>-10933750</v>
      </c>
      <c r="I93" s="8">
        <v>-15827962</v>
      </c>
      <c r="J93" s="8">
        <v>-12543885</v>
      </c>
      <c r="K93" s="8">
        <v>-11801803</v>
      </c>
      <c r="L93" s="8">
        <v>-15410493</v>
      </c>
      <c r="M93" s="8">
        <v>-12281930</v>
      </c>
      <c r="N93" s="8">
        <v>-8667400</v>
      </c>
      <c r="O93" s="8">
        <v>-10416735</v>
      </c>
      <c r="P93" s="8">
        <v>-12874137</v>
      </c>
      <c r="Q93" s="9">
        <v>-15312570</v>
      </c>
      <c r="R93" s="29">
        <f t="shared" si="9"/>
        <v>-149176285</v>
      </c>
      <c r="S93" s="29">
        <f t="shared" si="10"/>
        <v>-34039370</v>
      </c>
      <c r="T93" s="23">
        <f t="shared" si="11"/>
        <v>-40173650</v>
      </c>
      <c r="U93" s="23">
        <f t="shared" si="12"/>
        <v>-36359823</v>
      </c>
      <c r="V93" s="30">
        <f t="shared" si="13"/>
        <v>-38603442</v>
      </c>
    </row>
    <row r="94" spans="1:22" x14ac:dyDescent="0.25">
      <c r="A94" s="37" t="str">
        <f t="shared" si="7"/>
        <v>2022 Commissions Expense</v>
      </c>
      <c r="B94" s="7" t="s">
        <v>17</v>
      </c>
      <c r="C94" s="37" t="str">
        <f t="shared" si="8"/>
        <v>2022 Actuals Commissions Expense</v>
      </c>
      <c r="D94" s="18">
        <v>2022</v>
      </c>
      <c r="E94" s="18" t="s">
        <v>16</v>
      </c>
      <c r="F94" s="8">
        <v>-1369961</v>
      </c>
      <c r="G94" s="8">
        <v>-942250</v>
      </c>
      <c r="H94" s="8">
        <v>-1067439</v>
      </c>
      <c r="I94" s="8">
        <v>-1630125</v>
      </c>
      <c r="J94" s="8">
        <v>-1266063</v>
      </c>
      <c r="K94" s="8">
        <v>-1202899</v>
      </c>
      <c r="L94" s="8">
        <v>-1418412</v>
      </c>
      <c r="M94" s="8">
        <v>-1366956</v>
      </c>
      <c r="N94" s="8">
        <v>-922278</v>
      </c>
      <c r="O94" s="8">
        <v>-1025165</v>
      </c>
      <c r="P94" s="8">
        <v>-1394203</v>
      </c>
      <c r="Q94" s="9">
        <v>-1252426</v>
      </c>
      <c r="R94" s="29">
        <f t="shared" si="9"/>
        <v>-14858177</v>
      </c>
      <c r="S94" s="29">
        <f t="shared" si="10"/>
        <v>-3379650</v>
      </c>
      <c r="T94" s="23">
        <f t="shared" si="11"/>
        <v>-4099087</v>
      </c>
      <c r="U94" s="23">
        <f t="shared" si="12"/>
        <v>-3707646</v>
      </c>
      <c r="V94" s="30">
        <f t="shared" si="13"/>
        <v>-3671794</v>
      </c>
    </row>
    <row r="95" spans="1:22" x14ac:dyDescent="0.25">
      <c r="A95" s="37" t="str">
        <f t="shared" si="7"/>
        <v>2022 Payroll Expense</v>
      </c>
      <c r="B95" s="7" t="s">
        <v>18</v>
      </c>
      <c r="C95" s="37" t="str">
        <f t="shared" si="8"/>
        <v>2022 Actuals Payroll Expense</v>
      </c>
      <c r="D95" s="18">
        <v>2022</v>
      </c>
      <c r="E95" s="18" t="s">
        <v>16</v>
      </c>
      <c r="F95" s="8">
        <v>-3344503</v>
      </c>
      <c r="G95" s="8">
        <v>-2300612</v>
      </c>
      <c r="H95" s="8">
        <v>-2595976</v>
      </c>
      <c r="I95" s="8">
        <v>-3778056</v>
      </c>
      <c r="J95" s="8">
        <v>-3167287</v>
      </c>
      <c r="K95" s="8">
        <v>-2947517</v>
      </c>
      <c r="L95" s="8">
        <v>-3546969</v>
      </c>
      <c r="M95" s="8">
        <v>-2816091</v>
      </c>
      <c r="N95" s="8">
        <v>-2552955</v>
      </c>
      <c r="O95" s="8">
        <v>-2506235</v>
      </c>
      <c r="P95" s="8">
        <v>-3473277</v>
      </c>
      <c r="Q95" s="9">
        <v>-3338330</v>
      </c>
      <c r="R95" s="29">
        <f t="shared" si="9"/>
        <v>-36367808</v>
      </c>
      <c r="S95" s="29">
        <f t="shared" si="10"/>
        <v>-8241091</v>
      </c>
      <c r="T95" s="23">
        <f t="shared" si="11"/>
        <v>-9892860</v>
      </c>
      <c r="U95" s="23">
        <f t="shared" si="12"/>
        <v>-8916015</v>
      </c>
      <c r="V95" s="30">
        <f t="shared" si="13"/>
        <v>-9317842</v>
      </c>
    </row>
    <row r="96" spans="1:22" x14ac:dyDescent="0.25">
      <c r="A96" s="37" t="str">
        <f t="shared" si="7"/>
        <v>2022 Travel &amp; Entertainment Expense</v>
      </c>
      <c r="B96" s="7" t="s">
        <v>19</v>
      </c>
      <c r="C96" s="37" t="str">
        <f t="shared" si="8"/>
        <v>2022 Actuals Travel &amp; Entertainment Expense</v>
      </c>
      <c r="D96" s="18">
        <v>2022</v>
      </c>
      <c r="E96" s="18" t="s">
        <v>16</v>
      </c>
      <c r="F96" s="8">
        <v>-338744</v>
      </c>
      <c r="G96" s="8">
        <v>-244628</v>
      </c>
      <c r="H96" s="8">
        <v>-271723</v>
      </c>
      <c r="I96" s="8">
        <v>-354541</v>
      </c>
      <c r="J96" s="8">
        <v>-300962</v>
      </c>
      <c r="K96" s="8">
        <v>-260911</v>
      </c>
      <c r="L96" s="8">
        <v>-327018</v>
      </c>
      <c r="M96" s="8">
        <v>-336207</v>
      </c>
      <c r="N96" s="8">
        <v>-259047</v>
      </c>
      <c r="O96" s="8">
        <v>-300466</v>
      </c>
      <c r="P96" s="8">
        <v>-322986</v>
      </c>
      <c r="Q96" s="9">
        <v>-313283</v>
      </c>
      <c r="R96" s="29">
        <f t="shared" si="9"/>
        <v>-3630516</v>
      </c>
      <c r="S96" s="29">
        <f t="shared" si="10"/>
        <v>-855095</v>
      </c>
      <c r="T96" s="23">
        <f t="shared" si="11"/>
        <v>-916414</v>
      </c>
      <c r="U96" s="23">
        <f t="shared" si="12"/>
        <v>-922272</v>
      </c>
      <c r="V96" s="30">
        <f t="shared" si="13"/>
        <v>-936735</v>
      </c>
    </row>
    <row r="97" spans="1:22" x14ac:dyDescent="0.25">
      <c r="A97" s="37" t="str">
        <f t="shared" si="7"/>
        <v>2022 R&amp;D Expense</v>
      </c>
      <c r="B97" s="7" t="s">
        <v>20</v>
      </c>
      <c r="C97" s="37" t="str">
        <f t="shared" si="8"/>
        <v>2022 Actuals R&amp;D Expense</v>
      </c>
      <c r="D97" s="18">
        <v>2022</v>
      </c>
      <c r="E97" s="18" t="s">
        <v>16</v>
      </c>
      <c r="F97" s="8">
        <v>-1468744</v>
      </c>
      <c r="G97" s="8">
        <v>-973887</v>
      </c>
      <c r="H97" s="8">
        <v>-1032242</v>
      </c>
      <c r="I97" s="8">
        <v>-1717271</v>
      </c>
      <c r="J97" s="8">
        <v>-1287760</v>
      </c>
      <c r="K97" s="8">
        <v>-1206283</v>
      </c>
      <c r="L97" s="8">
        <v>-1470777</v>
      </c>
      <c r="M97" s="8">
        <v>-1246641</v>
      </c>
      <c r="N97" s="8">
        <v>-1025992</v>
      </c>
      <c r="O97" s="8">
        <v>-1104742</v>
      </c>
      <c r="P97" s="8">
        <v>-1379202</v>
      </c>
      <c r="Q97" s="9">
        <v>-1486638</v>
      </c>
      <c r="R97" s="29">
        <f t="shared" si="9"/>
        <v>-15400179</v>
      </c>
      <c r="S97" s="29">
        <f t="shared" si="10"/>
        <v>-3474873</v>
      </c>
      <c r="T97" s="23">
        <f t="shared" si="11"/>
        <v>-4211314</v>
      </c>
      <c r="U97" s="23">
        <f t="shared" si="12"/>
        <v>-3743410</v>
      </c>
      <c r="V97" s="30">
        <f t="shared" si="13"/>
        <v>-3970582</v>
      </c>
    </row>
    <row r="98" spans="1:22" x14ac:dyDescent="0.25">
      <c r="A98" s="37" t="str">
        <f t="shared" si="7"/>
        <v>2022 Consulting Expense</v>
      </c>
      <c r="B98" s="7" t="s">
        <v>21</v>
      </c>
      <c r="C98" s="37" t="str">
        <f t="shared" si="8"/>
        <v>2022 Actuals Consulting Expense</v>
      </c>
      <c r="D98" s="18">
        <v>2022</v>
      </c>
      <c r="E98" s="18" t="s">
        <v>16</v>
      </c>
      <c r="F98" s="8">
        <v>-1633292</v>
      </c>
      <c r="G98" s="8">
        <v>-1089178</v>
      </c>
      <c r="H98" s="8">
        <v>-1472323</v>
      </c>
      <c r="I98" s="8">
        <v>-2057777</v>
      </c>
      <c r="J98" s="8">
        <v>-1473412</v>
      </c>
      <c r="K98" s="8">
        <v>-1538962</v>
      </c>
      <c r="L98" s="8">
        <v>-1683014</v>
      </c>
      <c r="M98" s="8">
        <v>-1385482</v>
      </c>
      <c r="N98" s="8">
        <v>-1129867</v>
      </c>
      <c r="O98" s="8">
        <v>-1300291</v>
      </c>
      <c r="P98" s="8">
        <v>-1689964</v>
      </c>
      <c r="Q98" s="9">
        <v>-1833600</v>
      </c>
      <c r="R98" s="29">
        <f t="shared" si="9"/>
        <v>-18287162</v>
      </c>
      <c r="S98" s="29">
        <f t="shared" si="10"/>
        <v>-4194793</v>
      </c>
      <c r="T98" s="23">
        <f t="shared" si="11"/>
        <v>-5070151</v>
      </c>
      <c r="U98" s="23">
        <f t="shared" si="12"/>
        <v>-4198363</v>
      </c>
      <c r="V98" s="30">
        <f t="shared" si="13"/>
        <v>-4823855</v>
      </c>
    </row>
    <row r="99" spans="1:22" x14ac:dyDescent="0.25">
      <c r="A99" s="37" t="str">
        <f t="shared" si="7"/>
        <v>2022 Software/Hardware Expense</v>
      </c>
      <c r="B99" s="7" t="s">
        <v>22</v>
      </c>
      <c r="C99" s="37" t="str">
        <f t="shared" si="8"/>
        <v>2022 Actuals Software/Hardware Expense</v>
      </c>
      <c r="D99" s="18">
        <v>2022</v>
      </c>
      <c r="E99" s="18" t="s">
        <v>16</v>
      </c>
      <c r="F99" s="8">
        <v>-2276556</v>
      </c>
      <c r="G99" s="8">
        <v>-1464050</v>
      </c>
      <c r="H99" s="8">
        <v>-2030413</v>
      </c>
      <c r="I99" s="8">
        <v>-2759580</v>
      </c>
      <c r="J99" s="8">
        <v>-2279559</v>
      </c>
      <c r="K99" s="8">
        <v>-2087858</v>
      </c>
      <c r="L99" s="8">
        <v>-2509070</v>
      </c>
      <c r="M99" s="8">
        <v>-2137231</v>
      </c>
      <c r="N99" s="8">
        <v>-1498973</v>
      </c>
      <c r="O99" s="8">
        <v>-2006400</v>
      </c>
      <c r="P99" s="8">
        <v>-2628526</v>
      </c>
      <c r="Q99" s="9">
        <v>-2421145</v>
      </c>
      <c r="R99" s="29">
        <f t="shared" si="9"/>
        <v>-26099361</v>
      </c>
      <c r="S99" s="29">
        <f t="shared" si="10"/>
        <v>-5771019</v>
      </c>
      <c r="T99" s="23">
        <f t="shared" si="11"/>
        <v>-7126997</v>
      </c>
      <c r="U99" s="23">
        <f t="shared" si="12"/>
        <v>-6145274</v>
      </c>
      <c r="V99" s="30">
        <f t="shared" si="13"/>
        <v>-7056071</v>
      </c>
    </row>
    <row r="100" spans="1:22" x14ac:dyDescent="0.25">
      <c r="A100" s="37" t="str">
        <f t="shared" si="7"/>
        <v>2022 Marketing Expense</v>
      </c>
      <c r="B100" s="7" t="s">
        <v>23</v>
      </c>
      <c r="C100" s="37" t="str">
        <f t="shared" si="8"/>
        <v>2022 Actuals Marketing Expense</v>
      </c>
      <c r="D100" s="18">
        <v>2022</v>
      </c>
      <c r="E100" s="18" t="s">
        <v>16</v>
      </c>
      <c r="F100" s="8">
        <v>-661654</v>
      </c>
      <c r="G100" s="8">
        <v>-401978</v>
      </c>
      <c r="H100" s="8">
        <v>-494551</v>
      </c>
      <c r="I100" s="8">
        <v>-729508</v>
      </c>
      <c r="J100" s="8">
        <v>-547250</v>
      </c>
      <c r="K100" s="8">
        <v>-536085</v>
      </c>
      <c r="L100" s="8">
        <v>-699474</v>
      </c>
      <c r="M100" s="8">
        <v>-582080</v>
      </c>
      <c r="N100" s="8">
        <v>-490459</v>
      </c>
      <c r="O100" s="8">
        <v>-554075</v>
      </c>
      <c r="P100" s="8">
        <v>-629658</v>
      </c>
      <c r="Q100" s="9">
        <v>-720295</v>
      </c>
      <c r="R100" s="29">
        <f t="shared" si="9"/>
        <v>-7047067</v>
      </c>
      <c r="S100" s="29">
        <f t="shared" si="10"/>
        <v>-1558183</v>
      </c>
      <c r="T100" s="23">
        <f t="shared" si="11"/>
        <v>-1812843</v>
      </c>
      <c r="U100" s="23">
        <f t="shared" si="12"/>
        <v>-1772013</v>
      </c>
      <c r="V100" s="30">
        <f t="shared" si="13"/>
        <v>-1904028</v>
      </c>
    </row>
    <row r="101" spans="1:22" x14ac:dyDescent="0.25">
      <c r="A101" s="37" t="str">
        <f t="shared" si="7"/>
        <v>2023 Sales</v>
      </c>
      <c r="B101" s="16" t="s">
        <v>15</v>
      </c>
      <c r="C101" s="132" t="str">
        <f t="shared" si="8"/>
        <v>2023 Budget Sales</v>
      </c>
      <c r="D101" s="18">
        <v>2023</v>
      </c>
      <c r="E101" s="18" t="s">
        <v>24</v>
      </c>
      <c r="F101" s="8">
        <v>33249208.989999998</v>
      </c>
      <c r="G101" s="8">
        <v>35887610.520000003</v>
      </c>
      <c r="H101" s="8">
        <v>29813571</v>
      </c>
      <c r="I101" s="8">
        <v>16581573</v>
      </c>
      <c r="J101" s="8">
        <v>25127529.300000001</v>
      </c>
      <c r="K101" s="8">
        <v>18073007.050000001</v>
      </c>
      <c r="L101" s="8">
        <v>25958480.48</v>
      </c>
      <c r="M101" s="8">
        <v>24451923.969999999</v>
      </c>
      <c r="N101" s="8">
        <v>24024399.300000001</v>
      </c>
      <c r="O101" s="8">
        <v>26843786.239999998</v>
      </c>
      <c r="P101" s="8">
        <v>31597699.98</v>
      </c>
      <c r="Q101" s="9">
        <v>34814653.200000003</v>
      </c>
      <c r="R101" s="29">
        <f t="shared" si="9"/>
        <v>326423443.03000003</v>
      </c>
      <c r="S101" s="29">
        <f t="shared" si="10"/>
        <v>98950390.510000005</v>
      </c>
      <c r="T101" s="23">
        <f t="shared" si="11"/>
        <v>59782109.349999994</v>
      </c>
      <c r="U101" s="23">
        <f t="shared" si="12"/>
        <v>74434803.75</v>
      </c>
      <c r="V101" s="30">
        <f t="shared" si="13"/>
        <v>93256139.420000002</v>
      </c>
    </row>
    <row r="102" spans="1:22" x14ac:dyDescent="0.25">
      <c r="A102" s="37" t="str">
        <f t="shared" si="7"/>
        <v>2023 COGS</v>
      </c>
      <c r="B102" s="7" t="s">
        <v>34</v>
      </c>
      <c r="C102" s="37" t="str">
        <f t="shared" si="8"/>
        <v>2023 Budget COGS</v>
      </c>
      <c r="D102" s="18">
        <v>2023</v>
      </c>
      <c r="E102" s="18" t="s">
        <v>24</v>
      </c>
      <c r="F102" s="8">
        <v>-14119263</v>
      </c>
      <c r="G102" s="8">
        <v>-17879670</v>
      </c>
      <c r="H102" s="8">
        <v>-14358261</v>
      </c>
      <c r="I102" s="8">
        <v>-7982038</v>
      </c>
      <c r="J102" s="8">
        <v>-12177131</v>
      </c>
      <c r="K102" s="8">
        <v>-8747974</v>
      </c>
      <c r="L102" s="8">
        <v>-11295692</v>
      </c>
      <c r="M102" s="8">
        <v>-10246934</v>
      </c>
      <c r="N102" s="8">
        <v>-10460207</v>
      </c>
      <c r="O102" s="8">
        <v>-11993641</v>
      </c>
      <c r="P102" s="8">
        <v>-13770029</v>
      </c>
      <c r="Q102" s="9">
        <v>-14012331</v>
      </c>
      <c r="R102" s="29">
        <f t="shared" si="9"/>
        <v>-147043171</v>
      </c>
      <c r="S102" s="29">
        <f t="shared" si="10"/>
        <v>-46357194</v>
      </c>
      <c r="T102" s="23">
        <f t="shared" si="11"/>
        <v>-28907143</v>
      </c>
      <c r="U102" s="23">
        <f t="shared" si="12"/>
        <v>-32002833</v>
      </c>
      <c r="V102" s="30">
        <f t="shared" si="13"/>
        <v>-39776001</v>
      </c>
    </row>
    <row r="103" spans="1:22" x14ac:dyDescent="0.25">
      <c r="A103" s="37" t="str">
        <f t="shared" si="7"/>
        <v>2023 Commissions Expense</v>
      </c>
      <c r="B103" s="7" t="s">
        <v>17</v>
      </c>
      <c r="C103" s="37" t="str">
        <f t="shared" si="8"/>
        <v>2023 Budget Commissions Expense</v>
      </c>
      <c r="D103" s="18">
        <v>2023</v>
      </c>
      <c r="E103" s="18" t="s">
        <v>24</v>
      </c>
      <c r="F103" s="8">
        <v>-1467109</v>
      </c>
      <c r="G103" s="8">
        <v>-1677945</v>
      </c>
      <c r="H103" s="8">
        <v>-1447729</v>
      </c>
      <c r="I103" s="8">
        <v>-812834</v>
      </c>
      <c r="J103" s="8">
        <v>-1060983</v>
      </c>
      <c r="K103" s="8">
        <v>-816607</v>
      </c>
      <c r="L103" s="8">
        <v>-1241153</v>
      </c>
      <c r="M103" s="8">
        <v>-1024413</v>
      </c>
      <c r="N103" s="8">
        <v>-1198716</v>
      </c>
      <c r="O103" s="8">
        <v>-1237038</v>
      </c>
      <c r="P103" s="8">
        <v>-1557750</v>
      </c>
      <c r="Q103" s="9">
        <v>-1483854</v>
      </c>
      <c r="R103" s="29">
        <f t="shared" si="9"/>
        <v>-15026131</v>
      </c>
      <c r="S103" s="29">
        <f t="shared" si="10"/>
        <v>-4592783</v>
      </c>
      <c r="T103" s="23">
        <f t="shared" si="11"/>
        <v>-2690424</v>
      </c>
      <c r="U103" s="23">
        <f t="shared" si="12"/>
        <v>-3464282</v>
      </c>
      <c r="V103" s="30">
        <f t="shared" si="13"/>
        <v>-4278642</v>
      </c>
    </row>
    <row r="104" spans="1:22" x14ac:dyDescent="0.25">
      <c r="A104" s="37" t="str">
        <f t="shared" si="7"/>
        <v>2023 Payroll Expense</v>
      </c>
      <c r="B104" s="7" t="s">
        <v>18</v>
      </c>
      <c r="C104" s="37" t="str">
        <f t="shared" si="8"/>
        <v>2023 Budget Payroll Expense</v>
      </c>
      <c r="D104" s="18">
        <v>2023</v>
      </c>
      <c r="E104" s="18" t="s">
        <v>24</v>
      </c>
      <c r="F104" s="8">
        <v>-3338737</v>
      </c>
      <c r="G104" s="8">
        <v>-4402775</v>
      </c>
      <c r="H104" s="8">
        <v>-3287314</v>
      </c>
      <c r="I104" s="8">
        <v>-1955247</v>
      </c>
      <c r="J104" s="8">
        <v>-2711290</v>
      </c>
      <c r="K104" s="8">
        <v>-1836954</v>
      </c>
      <c r="L104" s="8">
        <v>-2798464</v>
      </c>
      <c r="M104" s="8">
        <v>-2507986</v>
      </c>
      <c r="N104" s="8">
        <v>-2646561</v>
      </c>
      <c r="O104" s="8">
        <v>-2872300</v>
      </c>
      <c r="P104" s="8">
        <v>-3683032</v>
      </c>
      <c r="Q104" s="9">
        <v>-3775393</v>
      </c>
      <c r="R104" s="29">
        <f t="shared" si="9"/>
        <v>-35816053</v>
      </c>
      <c r="S104" s="29">
        <f t="shared" si="10"/>
        <v>-11028826</v>
      </c>
      <c r="T104" s="23">
        <f t="shared" si="11"/>
        <v>-6503491</v>
      </c>
      <c r="U104" s="23">
        <f t="shared" si="12"/>
        <v>-7953011</v>
      </c>
      <c r="V104" s="30">
        <f t="shared" si="13"/>
        <v>-10330725</v>
      </c>
    </row>
    <row r="105" spans="1:22" x14ac:dyDescent="0.25">
      <c r="A105" s="37" t="str">
        <f t="shared" si="7"/>
        <v>2023 Travel &amp; Entertainment Expense</v>
      </c>
      <c r="B105" s="7" t="s">
        <v>19</v>
      </c>
      <c r="C105" s="37" t="str">
        <f t="shared" si="8"/>
        <v>2023 Budget Travel &amp; Entertainment Expense</v>
      </c>
      <c r="D105" s="18">
        <v>2023</v>
      </c>
      <c r="E105" s="18" t="s">
        <v>24</v>
      </c>
      <c r="F105" s="8">
        <v>-411779</v>
      </c>
      <c r="G105" s="8">
        <v>-419320</v>
      </c>
      <c r="H105" s="8">
        <v>-343566</v>
      </c>
      <c r="I105" s="8">
        <v>-188670</v>
      </c>
      <c r="J105" s="8">
        <v>-300697</v>
      </c>
      <c r="K105" s="8">
        <v>-184661</v>
      </c>
      <c r="L105" s="8">
        <v>-260440</v>
      </c>
      <c r="M105" s="8">
        <v>-303559</v>
      </c>
      <c r="N105" s="8">
        <v>-264242</v>
      </c>
      <c r="O105" s="8">
        <v>-289776</v>
      </c>
      <c r="P105" s="8">
        <v>-330529</v>
      </c>
      <c r="Q105" s="9">
        <v>-371367</v>
      </c>
      <c r="R105" s="29">
        <f t="shared" si="9"/>
        <v>-3668606</v>
      </c>
      <c r="S105" s="29">
        <f t="shared" si="10"/>
        <v>-1174665</v>
      </c>
      <c r="T105" s="23">
        <f t="shared" si="11"/>
        <v>-674028</v>
      </c>
      <c r="U105" s="23">
        <f t="shared" si="12"/>
        <v>-828241</v>
      </c>
      <c r="V105" s="30">
        <f t="shared" si="13"/>
        <v>-991672</v>
      </c>
    </row>
    <row r="106" spans="1:22" x14ac:dyDescent="0.25">
      <c r="A106" s="37" t="str">
        <f t="shared" si="7"/>
        <v>2023 R&amp;D Expense</v>
      </c>
      <c r="B106" s="7" t="s">
        <v>20</v>
      </c>
      <c r="C106" s="37" t="str">
        <f t="shared" si="8"/>
        <v>2023 Budget R&amp;D Expense</v>
      </c>
      <c r="D106" s="18">
        <v>2023</v>
      </c>
      <c r="E106" s="18" t="s">
        <v>24</v>
      </c>
      <c r="F106" s="8">
        <v>-1532046</v>
      </c>
      <c r="G106" s="8">
        <v>-1660857</v>
      </c>
      <c r="H106" s="8">
        <v>-1397352</v>
      </c>
      <c r="I106" s="8">
        <v>-803884</v>
      </c>
      <c r="J106" s="8">
        <v>-1095237</v>
      </c>
      <c r="K106" s="8">
        <v>-873288</v>
      </c>
      <c r="L106" s="8">
        <v>-1260882</v>
      </c>
      <c r="M106" s="8">
        <v>-1018393</v>
      </c>
      <c r="N106" s="8">
        <v>-1131941</v>
      </c>
      <c r="O106" s="8">
        <v>-1242629</v>
      </c>
      <c r="P106" s="8">
        <v>-1414584</v>
      </c>
      <c r="Q106" s="9">
        <v>-1678509</v>
      </c>
      <c r="R106" s="29">
        <f t="shared" si="9"/>
        <v>-15109602</v>
      </c>
      <c r="S106" s="29">
        <f t="shared" si="10"/>
        <v>-4590255</v>
      </c>
      <c r="T106" s="23">
        <f t="shared" si="11"/>
        <v>-2772409</v>
      </c>
      <c r="U106" s="23">
        <f t="shared" si="12"/>
        <v>-3411216</v>
      </c>
      <c r="V106" s="30">
        <f t="shared" si="13"/>
        <v>-4335722</v>
      </c>
    </row>
    <row r="107" spans="1:22" x14ac:dyDescent="0.25">
      <c r="A107" s="37" t="str">
        <f t="shared" si="7"/>
        <v>2023 Consulting Expense</v>
      </c>
      <c r="B107" s="7" t="s">
        <v>21</v>
      </c>
      <c r="C107" s="37" t="str">
        <f t="shared" si="8"/>
        <v>2023 Budget Consulting Expense</v>
      </c>
      <c r="D107" s="18">
        <v>2023</v>
      </c>
      <c r="E107" s="18" t="s">
        <v>24</v>
      </c>
      <c r="F107" s="8">
        <v>-1990196</v>
      </c>
      <c r="G107" s="8">
        <v>-1966905</v>
      </c>
      <c r="H107" s="8">
        <v>-1708842</v>
      </c>
      <c r="I107" s="8">
        <v>-925380</v>
      </c>
      <c r="J107" s="8">
        <v>-1432833</v>
      </c>
      <c r="K107" s="8">
        <v>-927012</v>
      </c>
      <c r="L107" s="8">
        <v>-1405783</v>
      </c>
      <c r="M107" s="8">
        <v>-1281770</v>
      </c>
      <c r="N107" s="8">
        <v>-1499076</v>
      </c>
      <c r="O107" s="8">
        <v>-1485770</v>
      </c>
      <c r="P107" s="8">
        <v>-1836741</v>
      </c>
      <c r="Q107" s="9">
        <v>-2063376</v>
      </c>
      <c r="R107" s="29">
        <f t="shared" si="9"/>
        <v>-18523684</v>
      </c>
      <c r="S107" s="29">
        <f t="shared" si="10"/>
        <v>-5665943</v>
      </c>
      <c r="T107" s="23">
        <f t="shared" si="11"/>
        <v>-3285225</v>
      </c>
      <c r="U107" s="23">
        <f t="shared" si="12"/>
        <v>-4186629</v>
      </c>
      <c r="V107" s="30">
        <f t="shared" si="13"/>
        <v>-5385887</v>
      </c>
    </row>
    <row r="108" spans="1:22" x14ac:dyDescent="0.25">
      <c r="A108" s="37" t="str">
        <f t="shared" si="7"/>
        <v>2023 Software/Hardware Expense</v>
      </c>
      <c r="B108" s="7" t="s">
        <v>22</v>
      </c>
      <c r="C108" s="37" t="str">
        <f t="shared" si="8"/>
        <v>2023 Budget Software/Hardware Expense</v>
      </c>
      <c r="D108" s="18">
        <v>2023</v>
      </c>
      <c r="E108" s="18" t="s">
        <v>24</v>
      </c>
      <c r="F108" s="8">
        <v>-2556106</v>
      </c>
      <c r="G108" s="8">
        <v>-2734053</v>
      </c>
      <c r="H108" s="8">
        <v>-2473118</v>
      </c>
      <c r="I108" s="8">
        <v>-1174103</v>
      </c>
      <c r="J108" s="8">
        <v>-1830494</v>
      </c>
      <c r="K108" s="8">
        <v>-1286762</v>
      </c>
      <c r="L108" s="8">
        <v>-2130211</v>
      </c>
      <c r="M108" s="8">
        <v>-1845120</v>
      </c>
      <c r="N108" s="8">
        <v>-1889246</v>
      </c>
      <c r="O108" s="8">
        <v>-1995506</v>
      </c>
      <c r="P108" s="8">
        <v>-2490074</v>
      </c>
      <c r="Q108" s="9">
        <v>-3039992</v>
      </c>
      <c r="R108" s="29">
        <f t="shared" si="9"/>
        <v>-25444785</v>
      </c>
      <c r="S108" s="29">
        <f t="shared" si="10"/>
        <v>-7763277</v>
      </c>
      <c r="T108" s="23">
        <f t="shared" si="11"/>
        <v>-4291359</v>
      </c>
      <c r="U108" s="23">
        <f t="shared" si="12"/>
        <v>-5864577</v>
      </c>
      <c r="V108" s="30">
        <f t="shared" si="13"/>
        <v>-7525572</v>
      </c>
    </row>
    <row r="109" spans="1:22" x14ac:dyDescent="0.25">
      <c r="A109" s="37" t="str">
        <f t="shared" si="7"/>
        <v>2023 Marketing Expense</v>
      </c>
      <c r="B109" s="7" t="s">
        <v>23</v>
      </c>
      <c r="C109" s="37" t="str">
        <f t="shared" si="8"/>
        <v>2023 Budget Marketing Expense</v>
      </c>
      <c r="D109" s="18">
        <v>2023</v>
      </c>
      <c r="E109" s="18" t="s">
        <v>24</v>
      </c>
      <c r="F109" s="8">
        <v>-750337</v>
      </c>
      <c r="G109" s="8">
        <v>-885959</v>
      </c>
      <c r="H109" s="8">
        <v>-692240</v>
      </c>
      <c r="I109" s="8">
        <v>-347870</v>
      </c>
      <c r="J109" s="8">
        <v>-614839</v>
      </c>
      <c r="K109" s="8">
        <v>-391158</v>
      </c>
      <c r="L109" s="8">
        <v>-556893</v>
      </c>
      <c r="M109" s="8">
        <v>-578359</v>
      </c>
      <c r="N109" s="8">
        <v>-537761</v>
      </c>
      <c r="O109" s="8">
        <v>-570088</v>
      </c>
      <c r="P109" s="8">
        <v>-781567</v>
      </c>
      <c r="Q109" s="9">
        <v>-696480</v>
      </c>
      <c r="R109" s="29">
        <f t="shared" si="9"/>
        <v>-7403551</v>
      </c>
      <c r="S109" s="29">
        <f t="shared" si="10"/>
        <v>-2328536</v>
      </c>
      <c r="T109" s="23">
        <f t="shared" si="11"/>
        <v>-1353867</v>
      </c>
      <c r="U109" s="23">
        <f t="shared" si="12"/>
        <v>-1673013</v>
      </c>
      <c r="V109" s="30">
        <f t="shared" si="13"/>
        <v>-2048135</v>
      </c>
    </row>
    <row r="110" spans="1:22" x14ac:dyDescent="0.25">
      <c r="A110" s="37" t="str">
        <f t="shared" si="7"/>
        <v>2023 Sales</v>
      </c>
      <c r="B110" s="16" t="s">
        <v>15</v>
      </c>
      <c r="C110" s="132" t="str">
        <f t="shared" si="8"/>
        <v>2023 Forecast Sales</v>
      </c>
      <c r="D110" s="18">
        <v>2023</v>
      </c>
      <c r="E110" s="18" t="s">
        <v>25</v>
      </c>
      <c r="F110" s="8">
        <v>25509583.440000001</v>
      </c>
      <c r="G110" s="8">
        <v>27692738.640000001</v>
      </c>
      <c r="H110" s="8">
        <v>21799050.390000001</v>
      </c>
      <c r="I110" s="8">
        <v>27708636.690000001</v>
      </c>
      <c r="J110" s="8">
        <v>22822242.879999999</v>
      </c>
      <c r="K110" s="8">
        <v>24792396.940000001</v>
      </c>
      <c r="L110" s="8">
        <v>24952983.120000001</v>
      </c>
      <c r="M110" s="8">
        <v>32232166.75</v>
      </c>
      <c r="N110" s="8">
        <v>30895284.530000001</v>
      </c>
      <c r="O110" s="8">
        <v>20190995.199999999</v>
      </c>
      <c r="P110" s="8">
        <v>19692482.699999999</v>
      </c>
      <c r="Q110" s="9">
        <v>26430935.940000001</v>
      </c>
      <c r="R110" s="29">
        <f t="shared" si="9"/>
        <v>304719497.21999997</v>
      </c>
      <c r="S110" s="29">
        <f t="shared" si="10"/>
        <v>75001372.469999999</v>
      </c>
      <c r="T110" s="23">
        <f t="shared" si="11"/>
        <v>75323276.510000005</v>
      </c>
      <c r="U110" s="23">
        <f t="shared" si="12"/>
        <v>88080434.400000006</v>
      </c>
      <c r="V110" s="30">
        <f t="shared" si="13"/>
        <v>66314413.840000004</v>
      </c>
    </row>
    <row r="111" spans="1:22" x14ac:dyDescent="0.25">
      <c r="A111" s="37" t="str">
        <f t="shared" si="7"/>
        <v>2023 COGS</v>
      </c>
      <c r="B111" s="7" t="s">
        <v>34</v>
      </c>
      <c r="C111" s="37" t="str">
        <f t="shared" si="8"/>
        <v>2023 Forecast COGS</v>
      </c>
      <c r="D111" s="18">
        <v>2023</v>
      </c>
      <c r="E111" s="18" t="s">
        <v>25</v>
      </c>
      <c r="F111" s="8">
        <v>-11578936</v>
      </c>
      <c r="G111" s="8">
        <v>-13283266</v>
      </c>
      <c r="H111" s="8">
        <v>-10760123</v>
      </c>
      <c r="I111" s="8">
        <v>-12031880</v>
      </c>
      <c r="J111" s="8">
        <v>-9652620</v>
      </c>
      <c r="K111" s="8">
        <v>-10584647</v>
      </c>
      <c r="L111" s="8">
        <v>-12326877</v>
      </c>
      <c r="M111" s="8">
        <v>-14959934</v>
      </c>
      <c r="N111" s="8">
        <v>-13028093</v>
      </c>
      <c r="O111" s="8">
        <v>-8308173</v>
      </c>
      <c r="P111" s="8">
        <v>-7944445</v>
      </c>
      <c r="Q111" s="9">
        <v>-11049601</v>
      </c>
      <c r="R111" s="29">
        <f t="shared" si="9"/>
        <v>-135508595</v>
      </c>
      <c r="S111" s="29">
        <f t="shared" si="10"/>
        <v>-35622325</v>
      </c>
      <c r="T111" s="23">
        <f t="shared" si="11"/>
        <v>-32269147</v>
      </c>
      <c r="U111" s="23">
        <f t="shared" si="12"/>
        <v>-40314904</v>
      </c>
      <c r="V111" s="30">
        <f t="shared" si="13"/>
        <v>-27302219</v>
      </c>
    </row>
    <row r="112" spans="1:22" x14ac:dyDescent="0.25">
      <c r="A112" s="37" t="str">
        <f t="shared" si="7"/>
        <v>2023 Commissions Expense</v>
      </c>
      <c r="B112" s="7" t="s">
        <v>17</v>
      </c>
      <c r="C112" s="37" t="str">
        <f t="shared" si="8"/>
        <v>2023 Forecast Commissions Expense</v>
      </c>
      <c r="D112" s="18">
        <v>2023</v>
      </c>
      <c r="E112" s="18" t="s">
        <v>25</v>
      </c>
      <c r="F112" s="8">
        <v>-1275330</v>
      </c>
      <c r="G112" s="8">
        <v>-1342502</v>
      </c>
      <c r="H112" s="8">
        <v>-1005300</v>
      </c>
      <c r="I112" s="8">
        <v>-1113375</v>
      </c>
      <c r="J112" s="8">
        <v>-1053372</v>
      </c>
      <c r="K112" s="8">
        <v>-1175475</v>
      </c>
      <c r="L112" s="8">
        <v>-1199747</v>
      </c>
      <c r="M112" s="8">
        <v>-1548433</v>
      </c>
      <c r="N112" s="8">
        <v>-1366025</v>
      </c>
      <c r="O112" s="8">
        <v>-817271</v>
      </c>
      <c r="P112" s="8">
        <v>-858372</v>
      </c>
      <c r="Q112" s="9">
        <v>-1083636</v>
      </c>
      <c r="R112" s="29">
        <f t="shared" si="9"/>
        <v>-13838838</v>
      </c>
      <c r="S112" s="29">
        <f t="shared" si="10"/>
        <v>-3623132</v>
      </c>
      <c r="T112" s="23">
        <f t="shared" si="11"/>
        <v>-3342222</v>
      </c>
      <c r="U112" s="23">
        <f t="shared" si="12"/>
        <v>-4114205</v>
      </c>
      <c r="V112" s="30">
        <f t="shared" si="13"/>
        <v>-2759279</v>
      </c>
    </row>
    <row r="113" spans="1:22" x14ac:dyDescent="0.25">
      <c r="A113" s="37" t="str">
        <f t="shared" si="7"/>
        <v>2023 Payroll Expense</v>
      </c>
      <c r="B113" s="7" t="s">
        <v>18</v>
      </c>
      <c r="C113" s="37" t="str">
        <f t="shared" si="8"/>
        <v>2023 Forecast Payroll Expense</v>
      </c>
      <c r="D113" s="18">
        <v>2023</v>
      </c>
      <c r="E113" s="18" t="s">
        <v>25</v>
      </c>
      <c r="F113" s="8">
        <v>-3063156</v>
      </c>
      <c r="G113" s="8">
        <v>-2978709</v>
      </c>
      <c r="H113" s="8">
        <v>-2456071</v>
      </c>
      <c r="I113" s="8">
        <v>-2810593</v>
      </c>
      <c r="J113" s="8">
        <v>-2589351</v>
      </c>
      <c r="K113" s="8">
        <v>-2491701</v>
      </c>
      <c r="L113" s="8">
        <v>-3020040</v>
      </c>
      <c r="M113" s="8">
        <v>-3652709</v>
      </c>
      <c r="N113" s="8">
        <v>-3270893</v>
      </c>
      <c r="O113" s="8">
        <v>-2030059</v>
      </c>
      <c r="P113" s="8">
        <v>-2371946</v>
      </c>
      <c r="Q113" s="9">
        <v>-3263794</v>
      </c>
      <c r="R113" s="29">
        <f t="shared" si="9"/>
        <v>-33999022</v>
      </c>
      <c r="S113" s="29">
        <f t="shared" si="10"/>
        <v>-8497936</v>
      </c>
      <c r="T113" s="23">
        <f t="shared" si="11"/>
        <v>-7891645</v>
      </c>
      <c r="U113" s="23">
        <f t="shared" si="12"/>
        <v>-9943642</v>
      </c>
      <c r="V113" s="30">
        <f t="shared" si="13"/>
        <v>-7665799</v>
      </c>
    </row>
    <row r="114" spans="1:22" x14ac:dyDescent="0.25">
      <c r="A114" s="37" t="str">
        <f t="shared" si="7"/>
        <v>2023 Travel &amp; Entertainment Expense</v>
      </c>
      <c r="B114" s="7" t="s">
        <v>19</v>
      </c>
      <c r="C114" s="37" t="str">
        <f t="shared" si="8"/>
        <v>2023 Forecast Travel &amp; Entertainment Expense</v>
      </c>
      <c r="D114" s="18">
        <v>2023</v>
      </c>
      <c r="E114" s="18" t="s">
        <v>25</v>
      </c>
      <c r="F114" s="8">
        <v>-295046</v>
      </c>
      <c r="G114" s="8">
        <v>-288819</v>
      </c>
      <c r="H114" s="8">
        <v>-270521</v>
      </c>
      <c r="I114" s="8">
        <v>-299399</v>
      </c>
      <c r="J114" s="8">
        <v>-259557</v>
      </c>
      <c r="K114" s="8">
        <v>-306337</v>
      </c>
      <c r="L114" s="8">
        <v>-302042</v>
      </c>
      <c r="M114" s="8">
        <v>-335932</v>
      </c>
      <c r="N114" s="8">
        <v>-352326</v>
      </c>
      <c r="O114" s="8">
        <v>-202497</v>
      </c>
      <c r="P114" s="8">
        <v>-209741</v>
      </c>
      <c r="Q114" s="9">
        <v>-306375</v>
      </c>
      <c r="R114" s="29">
        <f t="shared" si="9"/>
        <v>-3428592</v>
      </c>
      <c r="S114" s="29">
        <f t="shared" si="10"/>
        <v>-854386</v>
      </c>
      <c r="T114" s="23">
        <f t="shared" si="11"/>
        <v>-865293</v>
      </c>
      <c r="U114" s="23">
        <f t="shared" si="12"/>
        <v>-990300</v>
      </c>
      <c r="V114" s="30">
        <f t="shared" si="13"/>
        <v>-718613</v>
      </c>
    </row>
    <row r="115" spans="1:22" x14ac:dyDescent="0.25">
      <c r="A115" s="37" t="str">
        <f t="shared" si="7"/>
        <v>2023 R&amp;D Expense</v>
      </c>
      <c r="B115" s="7" t="s">
        <v>20</v>
      </c>
      <c r="C115" s="37" t="str">
        <f t="shared" si="8"/>
        <v>2023 Forecast R&amp;D Expense</v>
      </c>
      <c r="D115" s="18">
        <v>2023</v>
      </c>
      <c r="E115" s="18" t="s">
        <v>25</v>
      </c>
      <c r="F115" s="8">
        <v>-1063042</v>
      </c>
      <c r="G115" s="8">
        <v>-1383994</v>
      </c>
      <c r="H115" s="8">
        <v>-1005520</v>
      </c>
      <c r="I115" s="8">
        <v>-1122436</v>
      </c>
      <c r="J115" s="8">
        <v>-1105967</v>
      </c>
      <c r="K115" s="8">
        <v>-1152280</v>
      </c>
      <c r="L115" s="8">
        <v>-1172596</v>
      </c>
      <c r="M115" s="8">
        <v>-1435420</v>
      </c>
      <c r="N115" s="8">
        <v>-1381456</v>
      </c>
      <c r="O115" s="8">
        <v>-865769</v>
      </c>
      <c r="P115" s="8">
        <v>-855963</v>
      </c>
      <c r="Q115" s="9">
        <v>-1188799</v>
      </c>
      <c r="R115" s="29">
        <f t="shared" si="9"/>
        <v>-13733242</v>
      </c>
      <c r="S115" s="29">
        <f t="shared" si="10"/>
        <v>-3452556</v>
      </c>
      <c r="T115" s="23">
        <f t="shared" si="11"/>
        <v>-3380683</v>
      </c>
      <c r="U115" s="23">
        <f t="shared" si="12"/>
        <v>-3989472</v>
      </c>
      <c r="V115" s="30">
        <f t="shared" si="13"/>
        <v>-2910531</v>
      </c>
    </row>
    <row r="116" spans="1:22" x14ac:dyDescent="0.25">
      <c r="A116" s="37" t="str">
        <f t="shared" si="7"/>
        <v>2023 Consulting Expense</v>
      </c>
      <c r="B116" s="7" t="s">
        <v>21</v>
      </c>
      <c r="C116" s="37" t="str">
        <f t="shared" si="8"/>
        <v>2023 Forecast Consulting Expense</v>
      </c>
      <c r="D116" s="18">
        <v>2023</v>
      </c>
      <c r="E116" s="18" t="s">
        <v>25</v>
      </c>
      <c r="F116" s="8">
        <v>-1440304</v>
      </c>
      <c r="G116" s="8">
        <v>-1476449</v>
      </c>
      <c r="H116" s="8">
        <v>-1202261</v>
      </c>
      <c r="I116" s="8">
        <v>-1447697</v>
      </c>
      <c r="J116" s="8">
        <v>-1227951</v>
      </c>
      <c r="K116" s="8">
        <v>-1255275</v>
      </c>
      <c r="L116" s="8">
        <v>-1424563</v>
      </c>
      <c r="M116" s="8">
        <v>-1942571</v>
      </c>
      <c r="N116" s="8">
        <v>-1593839</v>
      </c>
      <c r="O116" s="8">
        <v>-1037651</v>
      </c>
      <c r="P116" s="8">
        <v>-1097675</v>
      </c>
      <c r="Q116" s="9">
        <v>-1397647</v>
      </c>
      <c r="R116" s="29">
        <f t="shared" si="9"/>
        <v>-16543883</v>
      </c>
      <c r="S116" s="29">
        <f t="shared" si="10"/>
        <v>-4119014</v>
      </c>
      <c r="T116" s="23">
        <f t="shared" si="11"/>
        <v>-3930923</v>
      </c>
      <c r="U116" s="23">
        <f t="shared" si="12"/>
        <v>-4960973</v>
      </c>
      <c r="V116" s="30">
        <f t="shared" si="13"/>
        <v>-3532973</v>
      </c>
    </row>
    <row r="117" spans="1:22" x14ac:dyDescent="0.25">
      <c r="A117" s="37" t="str">
        <f t="shared" si="7"/>
        <v>2023 Software/Hardware Expense</v>
      </c>
      <c r="B117" s="7" t="s">
        <v>22</v>
      </c>
      <c r="C117" s="37" t="str">
        <f t="shared" si="8"/>
        <v>2023 Forecast Software/Hardware Expense</v>
      </c>
      <c r="D117" s="18">
        <v>2023</v>
      </c>
      <c r="E117" s="18" t="s">
        <v>25</v>
      </c>
      <c r="F117" s="8">
        <v>-1825596</v>
      </c>
      <c r="G117" s="8">
        <v>-1941785</v>
      </c>
      <c r="H117" s="8">
        <v>-1833335</v>
      </c>
      <c r="I117" s="8">
        <v>-2389482</v>
      </c>
      <c r="J117" s="8">
        <v>-1906406</v>
      </c>
      <c r="K117" s="8">
        <v>-1777976</v>
      </c>
      <c r="L117" s="8">
        <v>-2005933</v>
      </c>
      <c r="M117" s="8">
        <v>-2661184</v>
      </c>
      <c r="N117" s="8">
        <v>-2463031</v>
      </c>
      <c r="O117" s="8">
        <v>-1455030</v>
      </c>
      <c r="P117" s="8">
        <v>-1398480</v>
      </c>
      <c r="Q117" s="9">
        <v>-1954771</v>
      </c>
      <c r="R117" s="29">
        <f t="shared" si="9"/>
        <v>-23613009</v>
      </c>
      <c r="S117" s="29">
        <f t="shared" si="10"/>
        <v>-5600716</v>
      </c>
      <c r="T117" s="23">
        <f t="shared" si="11"/>
        <v>-6073864</v>
      </c>
      <c r="U117" s="23">
        <f t="shared" si="12"/>
        <v>-7130148</v>
      </c>
      <c r="V117" s="30">
        <f t="shared" si="13"/>
        <v>-4808281</v>
      </c>
    </row>
    <row r="118" spans="1:22" ht="14.4" thickBot="1" x14ac:dyDescent="0.3">
      <c r="A118" s="38" t="str">
        <f t="shared" si="7"/>
        <v>2023 Marketing Expense</v>
      </c>
      <c r="B118" s="10" t="s">
        <v>23</v>
      </c>
      <c r="C118" s="38" t="str">
        <f t="shared" si="8"/>
        <v>2023 Forecast Marketing Expense</v>
      </c>
      <c r="D118" s="19">
        <v>2023</v>
      </c>
      <c r="E118" s="19" t="s">
        <v>25</v>
      </c>
      <c r="F118" s="11">
        <v>-545525</v>
      </c>
      <c r="G118" s="11">
        <v>-576243</v>
      </c>
      <c r="H118" s="11">
        <v>-534567</v>
      </c>
      <c r="I118" s="11">
        <v>-678191</v>
      </c>
      <c r="J118" s="11">
        <v>-461374</v>
      </c>
      <c r="K118" s="11">
        <v>-509712</v>
      </c>
      <c r="L118" s="11">
        <v>-576349</v>
      </c>
      <c r="M118" s="11">
        <v>-660401</v>
      </c>
      <c r="N118" s="11">
        <v>-684878</v>
      </c>
      <c r="O118" s="11">
        <v>-460793</v>
      </c>
      <c r="P118" s="11">
        <v>-480324</v>
      </c>
      <c r="Q118" s="12">
        <v>-657505</v>
      </c>
      <c r="R118" s="31">
        <f t="shared" si="9"/>
        <v>-6825862</v>
      </c>
      <c r="S118" s="31">
        <f t="shared" si="10"/>
        <v>-1656335</v>
      </c>
      <c r="T118" s="32">
        <f t="shared" si="11"/>
        <v>-1649277</v>
      </c>
      <c r="U118" s="32">
        <f t="shared" si="12"/>
        <v>-1921628</v>
      </c>
      <c r="V118" s="33">
        <f t="shared" si="13"/>
        <v>-1598622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V118"/>
  <sheetViews>
    <sheetView zoomScale="86" workbookViewId="0">
      <selection activeCell="G27" sqref="G27"/>
    </sheetView>
  </sheetViews>
  <sheetFormatPr defaultRowHeight="13.8" x14ac:dyDescent="0.25"/>
  <cols>
    <col min="1" max="1" width="19.33203125" style="1" customWidth="1"/>
    <col min="2" max="2" width="29.109375" style="1" hidden="1" customWidth="1"/>
    <col min="3" max="3" width="29.109375" style="1" customWidth="1"/>
    <col min="4" max="4" width="5" style="1" hidden="1" customWidth="1"/>
    <col min="5" max="5" width="8.44140625" style="18" hidden="1" customWidth="1"/>
    <col min="6" max="6" width="15.109375" style="1" bestFit="1" customWidth="1"/>
    <col min="7" max="17" width="15.77734375" style="1" bestFit="1" customWidth="1"/>
    <col min="18" max="18" width="14.88671875" style="1" bestFit="1" customWidth="1"/>
    <col min="19" max="22" width="13.77734375" style="1" bestFit="1" customWidth="1"/>
    <col min="23" max="16384" width="8.88671875" style="1"/>
  </cols>
  <sheetData>
    <row r="1" spans="1:22" ht="14.4" thickBot="1" x14ac:dyDescent="0.3">
      <c r="A1" s="36" t="s">
        <v>35</v>
      </c>
      <c r="B1" s="3" t="s">
        <v>0</v>
      </c>
      <c r="C1" s="24" t="s">
        <v>64</v>
      </c>
      <c r="D1" s="130" t="s">
        <v>1</v>
      </c>
      <c r="E1" s="4" t="s">
        <v>2</v>
      </c>
      <c r="F1" s="4" t="s">
        <v>3</v>
      </c>
      <c r="G1" s="4" t="s">
        <v>4</v>
      </c>
      <c r="H1" s="4" t="s">
        <v>5</v>
      </c>
      <c r="I1" s="4" t="s">
        <v>6</v>
      </c>
      <c r="J1" s="4" t="s">
        <v>7</v>
      </c>
      <c r="K1" s="4" t="s">
        <v>8</v>
      </c>
      <c r="L1" s="4" t="s">
        <v>9</v>
      </c>
      <c r="M1" s="4" t="s">
        <v>10</v>
      </c>
      <c r="N1" s="4" t="s">
        <v>11</v>
      </c>
      <c r="O1" s="4" t="s">
        <v>12</v>
      </c>
      <c r="P1" s="4" t="s">
        <v>13</v>
      </c>
      <c r="Q1" s="4" t="s">
        <v>14</v>
      </c>
      <c r="R1" s="25" t="s">
        <v>29</v>
      </c>
      <c r="S1" s="24" t="s">
        <v>30</v>
      </c>
      <c r="T1" s="24" t="s">
        <v>31</v>
      </c>
      <c r="U1" s="24" t="s">
        <v>33</v>
      </c>
      <c r="V1" s="24" t="s">
        <v>32</v>
      </c>
    </row>
    <row r="2" spans="1:22" x14ac:dyDescent="0.25">
      <c r="A2" s="37" t="str">
        <f>CONCATENATE(D2," ",B2)</f>
        <v>2012 Sales</v>
      </c>
      <c r="B2" s="15" t="s">
        <v>15</v>
      </c>
      <c r="C2" s="131" t="str">
        <f>CONCATENATE(D2," ",E2," ",B2)</f>
        <v>2012 Actuals Sales</v>
      </c>
      <c r="D2" s="17">
        <v>2012</v>
      </c>
      <c r="E2" s="17" t="s">
        <v>16</v>
      </c>
      <c r="F2" s="5">
        <v>20003280.440000001</v>
      </c>
      <c r="G2" s="5">
        <v>24781840.199999999</v>
      </c>
      <c r="H2" s="5">
        <v>15283846.199999999</v>
      </c>
      <c r="I2" s="5">
        <v>15883110.300000001</v>
      </c>
      <c r="J2" s="5">
        <v>19382027.25</v>
      </c>
      <c r="K2" s="5">
        <v>22168440.52</v>
      </c>
      <c r="L2" s="5">
        <v>18562814.640000001</v>
      </c>
      <c r="M2" s="5">
        <v>29487261.899999999</v>
      </c>
      <c r="N2" s="5">
        <v>23164946.829999998</v>
      </c>
      <c r="O2" s="5">
        <v>27658286.870000001</v>
      </c>
      <c r="P2" s="5">
        <v>14819735.16</v>
      </c>
      <c r="Q2" s="6">
        <v>18194791.34</v>
      </c>
      <c r="R2" s="29">
        <f>SUM(F2:Q2)</f>
        <v>249390381.65000004</v>
      </c>
      <c r="S2" s="26">
        <f>SUM(F2:H2)</f>
        <v>60068966.840000004</v>
      </c>
      <c r="T2" s="27">
        <f>SUM(I2:K2)</f>
        <v>57433578.069999993</v>
      </c>
      <c r="U2" s="27">
        <f>SUM(L2:N2)</f>
        <v>71215023.370000005</v>
      </c>
      <c r="V2" s="28">
        <f>SUM(O2:Q2)</f>
        <v>60672813.370000005</v>
      </c>
    </row>
    <row r="3" spans="1:22" x14ac:dyDescent="0.25">
      <c r="A3" s="37" t="str">
        <f t="shared" ref="A3:A66" si="0">CONCATENATE(D3," ",B3)</f>
        <v>2012 COGS</v>
      </c>
      <c r="B3" s="7" t="s">
        <v>34</v>
      </c>
      <c r="C3" s="37" t="str">
        <f t="shared" ref="C3:C66" si="1">CONCATENATE(D3," ",E3," ",B3)</f>
        <v>2012 Actuals COGS</v>
      </c>
      <c r="D3" s="18">
        <v>2012</v>
      </c>
      <c r="E3" s="18" t="s">
        <v>16</v>
      </c>
      <c r="F3" s="8">
        <v>-9353324</v>
      </c>
      <c r="G3" s="8">
        <v>-11513937</v>
      </c>
      <c r="H3" s="8">
        <v>-6166965</v>
      </c>
      <c r="I3" s="8">
        <v>-7501106</v>
      </c>
      <c r="J3" s="8">
        <v>-8496461</v>
      </c>
      <c r="K3" s="8">
        <v>-9798685</v>
      </c>
      <c r="L3" s="8">
        <v>-8555070</v>
      </c>
      <c r="M3" s="8">
        <v>-14039373</v>
      </c>
      <c r="N3" s="8">
        <v>-11551839</v>
      </c>
      <c r="O3" s="8">
        <v>-13628227</v>
      </c>
      <c r="P3" s="8">
        <v>-7257645</v>
      </c>
      <c r="Q3" s="9">
        <v>-9083320</v>
      </c>
      <c r="R3" s="29">
        <f t="shared" ref="R3:R66" si="2">SUM(F3:Q3)</f>
        <v>-116945952</v>
      </c>
      <c r="S3" s="29">
        <f t="shared" ref="S3:S66" si="3">SUM(F3:H3)</f>
        <v>-27034226</v>
      </c>
      <c r="T3" s="23">
        <f t="shared" ref="T3:T66" si="4">SUM(I3:K3)</f>
        <v>-25796252</v>
      </c>
      <c r="U3" s="23">
        <f t="shared" ref="U3:U66" si="5">SUM(L3:N3)</f>
        <v>-34146282</v>
      </c>
      <c r="V3" s="30">
        <f t="shared" ref="V3:V66" si="6">SUM(O3:Q3)</f>
        <v>-29969192</v>
      </c>
    </row>
    <row r="4" spans="1:22" x14ac:dyDescent="0.25">
      <c r="A4" s="37" t="str">
        <f t="shared" si="0"/>
        <v>2012 Commissions Expense</v>
      </c>
      <c r="B4" s="7" t="s">
        <v>17</v>
      </c>
      <c r="C4" s="37" t="str">
        <f t="shared" si="1"/>
        <v>2012 Actuals Commissions Expense</v>
      </c>
      <c r="D4" s="18">
        <v>2012</v>
      </c>
      <c r="E4" s="18" t="s">
        <v>16</v>
      </c>
      <c r="F4" s="8">
        <v>-941821</v>
      </c>
      <c r="G4" s="8">
        <v>-1002323</v>
      </c>
      <c r="H4" s="8">
        <v>-746736</v>
      </c>
      <c r="I4" s="8">
        <v>-764074</v>
      </c>
      <c r="J4" s="8">
        <v>-808144</v>
      </c>
      <c r="K4" s="8">
        <v>-1061422</v>
      </c>
      <c r="L4" s="8">
        <v>-808354</v>
      </c>
      <c r="M4" s="8">
        <v>-1421840</v>
      </c>
      <c r="N4" s="8">
        <v>-950267</v>
      </c>
      <c r="O4" s="8">
        <v>-1278394</v>
      </c>
      <c r="P4" s="8">
        <v>-675574</v>
      </c>
      <c r="Q4" s="9">
        <v>-772637</v>
      </c>
      <c r="R4" s="29">
        <f t="shared" si="2"/>
        <v>-11231586</v>
      </c>
      <c r="S4" s="29">
        <f t="shared" si="3"/>
        <v>-2690880</v>
      </c>
      <c r="T4" s="23">
        <f t="shared" si="4"/>
        <v>-2633640</v>
      </c>
      <c r="U4" s="23">
        <f t="shared" si="5"/>
        <v>-3180461</v>
      </c>
      <c r="V4" s="30">
        <f t="shared" si="6"/>
        <v>-2726605</v>
      </c>
    </row>
    <row r="5" spans="1:22" x14ac:dyDescent="0.25">
      <c r="A5" s="37" t="str">
        <f t="shared" si="0"/>
        <v>2012 Payroll Expense</v>
      </c>
      <c r="B5" s="7" t="s">
        <v>18</v>
      </c>
      <c r="C5" s="37" t="str">
        <f t="shared" si="1"/>
        <v>2012 Actuals Payroll Expense</v>
      </c>
      <c r="D5" s="18">
        <v>2012</v>
      </c>
      <c r="E5" s="18" t="s">
        <v>16</v>
      </c>
      <c r="F5" s="8">
        <v>-2496366</v>
      </c>
      <c r="G5" s="8">
        <v>-2697904</v>
      </c>
      <c r="H5" s="8">
        <v>-1679239</v>
      </c>
      <c r="I5" s="8">
        <v>-1918713</v>
      </c>
      <c r="J5" s="8">
        <v>-2215557</v>
      </c>
      <c r="K5" s="8">
        <v>-2480892</v>
      </c>
      <c r="L5" s="8">
        <v>-2182363</v>
      </c>
      <c r="M5" s="8">
        <v>-3410389</v>
      </c>
      <c r="N5" s="8">
        <v>-2427536</v>
      </c>
      <c r="O5" s="8">
        <v>-3305300</v>
      </c>
      <c r="P5" s="8">
        <v>-1808374</v>
      </c>
      <c r="Q5" s="9">
        <v>-2032444</v>
      </c>
      <c r="R5" s="29">
        <f t="shared" si="2"/>
        <v>-28655077</v>
      </c>
      <c r="S5" s="29">
        <f t="shared" si="3"/>
        <v>-6873509</v>
      </c>
      <c r="T5" s="23">
        <f t="shared" si="4"/>
        <v>-6615162</v>
      </c>
      <c r="U5" s="23">
        <f t="shared" si="5"/>
        <v>-8020288</v>
      </c>
      <c r="V5" s="30">
        <f t="shared" si="6"/>
        <v>-7146118</v>
      </c>
    </row>
    <row r="6" spans="1:22" x14ac:dyDescent="0.25">
      <c r="A6" s="37" t="str">
        <f t="shared" si="0"/>
        <v>2012 Travel &amp; Entertainment Expense</v>
      </c>
      <c r="B6" s="7" t="s">
        <v>19</v>
      </c>
      <c r="C6" s="37" t="str">
        <f t="shared" si="1"/>
        <v>2012 Actuals Travel &amp; Entertainment Expense</v>
      </c>
      <c r="D6" s="18">
        <v>2012</v>
      </c>
      <c r="E6" s="18" t="s">
        <v>16</v>
      </c>
      <c r="F6" s="8">
        <v>-212638</v>
      </c>
      <c r="G6" s="8">
        <v>-297458</v>
      </c>
      <c r="H6" s="8">
        <v>-167930</v>
      </c>
      <c r="I6" s="8">
        <v>-194736</v>
      </c>
      <c r="J6" s="8">
        <v>-235827</v>
      </c>
      <c r="K6" s="8">
        <v>-260283</v>
      </c>
      <c r="L6" s="8">
        <v>-221103</v>
      </c>
      <c r="M6" s="8">
        <v>-348081</v>
      </c>
      <c r="N6" s="8">
        <v>-260895</v>
      </c>
      <c r="O6" s="8">
        <v>-321588</v>
      </c>
      <c r="P6" s="8">
        <v>-172652</v>
      </c>
      <c r="Q6" s="9">
        <v>-185865</v>
      </c>
      <c r="R6" s="29">
        <f t="shared" si="2"/>
        <v>-2879056</v>
      </c>
      <c r="S6" s="29">
        <f t="shared" si="3"/>
        <v>-678026</v>
      </c>
      <c r="T6" s="23">
        <f t="shared" si="4"/>
        <v>-690846</v>
      </c>
      <c r="U6" s="23">
        <f t="shared" si="5"/>
        <v>-830079</v>
      </c>
      <c r="V6" s="30">
        <f t="shared" si="6"/>
        <v>-680105</v>
      </c>
    </row>
    <row r="7" spans="1:22" x14ac:dyDescent="0.25">
      <c r="A7" s="37" t="str">
        <f t="shared" si="0"/>
        <v>2012 R&amp;D Expense</v>
      </c>
      <c r="B7" s="7" t="s">
        <v>20</v>
      </c>
      <c r="C7" s="37" t="str">
        <f t="shared" si="1"/>
        <v>2012 Actuals R&amp;D Expense</v>
      </c>
      <c r="D7" s="18">
        <v>2012</v>
      </c>
      <c r="E7" s="18" t="s">
        <v>16</v>
      </c>
      <c r="F7" s="8">
        <v>-977169</v>
      </c>
      <c r="G7" s="8">
        <v>-1029549</v>
      </c>
      <c r="H7" s="8">
        <v>-674412</v>
      </c>
      <c r="I7" s="8">
        <v>-792920</v>
      </c>
      <c r="J7" s="8">
        <v>-900465</v>
      </c>
      <c r="K7" s="8">
        <v>-993534</v>
      </c>
      <c r="L7" s="8">
        <v>-884213</v>
      </c>
      <c r="M7" s="8">
        <v>-1430413</v>
      </c>
      <c r="N7" s="8">
        <v>-1146956</v>
      </c>
      <c r="O7" s="8">
        <v>-1115640</v>
      </c>
      <c r="P7" s="8">
        <v>-638663</v>
      </c>
      <c r="Q7" s="9">
        <v>-822644</v>
      </c>
      <c r="R7" s="29">
        <f t="shared" si="2"/>
        <v>-11406578</v>
      </c>
      <c r="S7" s="29">
        <f t="shared" si="3"/>
        <v>-2681130</v>
      </c>
      <c r="T7" s="23">
        <f t="shared" si="4"/>
        <v>-2686919</v>
      </c>
      <c r="U7" s="23">
        <f t="shared" si="5"/>
        <v>-3461582</v>
      </c>
      <c r="V7" s="30">
        <f t="shared" si="6"/>
        <v>-2576947</v>
      </c>
    </row>
    <row r="8" spans="1:22" x14ac:dyDescent="0.25">
      <c r="A8" s="37" t="str">
        <f t="shared" si="0"/>
        <v>2012 Consulting Expense</v>
      </c>
      <c r="B8" s="7" t="s">
        <v>21</v>
      </c>
      <c r="C8" s="37" t="str">
        <f t="shared" si="1"/>
        <v>2012 Actuals Consulting Expense</v>
      </c>
      <c r="D8" s="18">
        <v>2012</v>
      </c>
      <c r="E8" s="18" t="s">
        <v>16</v>
      </c>
      <c r="F8" s="8">
        <v>-1176605</v>
      </c>
      <c r="G8" s="8">
        <v>-1291439</v>
      </c>
      <c r="H8" s="8">
        <v>-934063</v>
      </c>
      <c r="I8" s="8">
        <v>-937518</v>
      </c>
      <c r="J8" s="8">
        <v>-1139418</v>
      </c>
      <c r="K8" s="8">
        <v>-1356373</v>
      </c>
      <c r="L8" s="8">
        <v>-1140096</v>
      </c>
      <c r="M8" s="8">
        <v>-1606577</v>
      </c>
      <c r="N8" s="8">
        <v>-1429418</v>
      </c>
      <c r="O8" s="8">
        <v>-1399794</v>
      </c>
      <c r="P8" s="8">
        <v>-752770</v>
      </c>
      <c r="Q8" s="9">
        <v>-1078181</v>
      </c>
      <c r="R8" s="29">
        <f t="shared" si="2"/>
        <v>-14242252</v>
      </c>
      <c r="S8" s="29">
        <f t="shared" si="3"/>
        <v>-3402107</v>
      </c>
      <c r="T8" s="23">
        <f t="shared" si="4"/>
        <v>-3433309</v>
      </c>
      <c r="U8" s="23">
        <f t="shared" si="5"/>
        <v>-4176091</v>
      </c>
      <c r="V8" s="30">
        <f t="shared" si="6"/>
        <v>-3230745</v>
      </c>
    </row>
    <row r="9" spans="1:22" x14ac:dyDescent="0.25">
      <c r="A9" s="37" t="str">
        <f t="shared" si="0"/>
        <v>2012 Software/Hardware Expense</v>
      </c>
      <c r="B9" s="7" t="s">
        <v>22</v>
      </c>
      <c r="C9" s="37" t="str">
        <f t="shared" si="1"/>
        <v>2012 Actuals Software/Hardware Expense</v>
      </c>
      <c r="D9" s="18">
        <v>2012</v>
      </c>
      <c r="E9" s="18" t="s">
        <v>16</v>
      </c>
      <c r="F9" s="8">
        <v>-1729022</v>
      </c>
      <c r="G9" s="8">
        <v>-2125980</v>
      </c>
      <c r="H9" s="8">
        <v>-1266805</v>
      </c>
      <c r="I9" s="8">
        <v>-1181160</v>
      </c>
      <c r="J9" s="8">
        <v>-1678429</v>
      </c>
      <c r="K9" s="8">
        <v>-1922968</v>
      </c>
      <c r="L9" s="8">
        <v>-1563338</v>
      </c>
      <c r="M9" s="8">
        <v>-2266251</v>
      </c>
      <c r="N9" s="8">
        <v>-1651944</v>
      </c>
      <c r="O9" s="8">
        <v>-2138006</v>
      </c>
      <c r="P9" s="8">
        <v>-1069556</v>
      </c>
      <c r="Q9" s="9">
        <v>-1550361</v>
      </c>
      <c r="R9" s="29">
        <f t="shared" si="2"/>
        <v>-20143820</v>
      </c>
      <c r="S9" s="29">
        <f t="shared" si="3"/>
        <v>-5121807</v>
      </c>
      <c r="T9" s="23">
        <f t="shared" si="4"/>
        <v>-4782557</v>
      </c>
      <c r="U9" s="23">
        <f t="shared" si="5"/>
        <v>-5481533</v>
      </c>
      <c r="V9" s="30">
        <f t="shared" si="6"/>
        <v>-4757923</v>
      </c>
    </row>
    <row r="10" spans="1:22" x14ac:dyDescent="0.25">
      <c r="A10" s="37" t="str">
        <f t="shared" si="0"/>
        <v>2012 Marketing Expense</v>
      </c>
      <c r="B10" s="7" t="s">
        <v>23</v>
      </c>
      <c r="C10" s="37" t="str">
        <f t="shared" si="1"/>
        <v>2012 Actuals Marketing Expense</v>
      </c>
      <c r="D10" s="18">
        <v>2012</v>
      </c>
      <c r="E10" s="18" t="s">
        <v>16</v>
      </c>
      <c r="F10" s="8">
        <v>-477650</v>
      </c>
      <c r="G10" s="8">
        <v>-500810</v>
      </c>
      <c r="H10" s="8">
        <v>-350137</v>
      </c>
      <c r="I10" s="8">
        <v>-390161</v>
      </c>
      <c r="J10" s="8">
        <v>-444748</v>
      </c>
      <c r="K10" s="8">
        <v>-502205</v>
      </c>
      <c r="L10" s="8">
        <v>-401191</v>
      </c>
      <c r="M10" s="8">
        <v>-701616</v>
      </c>
      <c r="N10" s="8">
        <v>-517674</v>
      </c>
      <c r="O10" s="8">
        <v>-616922</v>
      </c>
      <c r="P10" s="8">
        <v>-308776</v>
      </c>
      <c r="Q10" s="9">
        <v>-393674</v>
      </c>
      <c r="R10" s="29">
        <f t="shared" si="2"/>
        <v>-5605564</v>
      </c>
      <c r="S10" s="29">
        <f t="shared" si="3"/>
        <v>-1328597</v>
      </c>
      <c r="T10" s="23">
        <f t="shared" si="4"/>
        <v>-1337114</v>
      </c>
      <c r="U10" s="23">
        <f t="shared" si="5"/>
        <v>-1620481</v>
      </c>
      <c r="V10" s="30">
        <f t="shared" si="6"/>
        <v>-1319372</v>
      </c>
    </row>
    <row r="11" spans="1:22" x14ac:dyDescent="0.25">
      <c r="A11" s="37" t="str">
        <f t="shared" si="0"/>
        <v>2013 Sales</v>
      </c>
      <c r="B11" s="16" t="s">
        <v>15</v>
      </c>
      <c r="C11" s="132" t="str">
        <f t="shared" si="1"/>
        <v>2013 Actuals Sales</v>
      </c>
      <c r="D11" s="18">
        <v>2013</v>
      </c>
      <c r="E11" s="18" t="s">
        <v>16</v>
      </c>
      <c r="F11" s="8">
        <v>15104495.279999999</v>
      </c>
      <c r="G11" s="8">
        <v>15638304.810000001</v>
      </c>
      <c r="H11" s="8">
        <v>26940229.5</v>
      </c>
      <c r="I11" s="8">
        <v>18295591</v>
      </c>
      <c r="J11" s="8">
        <v>24002645.489999998</v>
      </c>
      <c r="K11" s="8">
        <v>11871647.76</v>
      </c>
      <c r="L11" s="8">
        <v>23759367.370000001</v>
      </c>
      <c r="M11" s="8">
        <v>23487433.760000002</v>
      </c>
      <c r="N11" s="8">
        <v>20892167.989999998</v>
      </c>
      <c r="O11" s="8">
        <v>25408971.300000001</v>
      </c>
      <c r="P11" s="8">
        <v>17004981.199999999</v>
      </c>
      <c r="Q11" s="9">
        <v>10657679.800000001</v>
      </c>
      <c r="R11" s="29">
        <f t="shared" si="2"/>
        <v>233063515.26000002</v>
      </c>
      <c r="S11" s="29">
        <f t="shared" si="3"/>
        <v>57683029.590000004</v>
      </c>
      <c r="T11" s="23">
        <f t="shared" si="4"/>
        <v>54169884.249999993</v>
      </c>
      <c r="U11" s="23">
        <f t="shared" si="5"/>
        <v>68138969.120000005</v>
      </c>
      <c r="V11" s="30">
        <f t="shared" si="6"/>
        <v>53071632.299999997</v>
      </c>
    </row>
    <row r="12" spans="1:22" x14ac:dyDescent="0.25">
      <c r="A12" s="37" t="str">
        <f t="shared" si="0"/>
        <v>2013 COGS</v>
      </c>
      <c r="B12" s="7" t="s">
        <v>34</v>
      </c>
      <c r="C12" s="37" t="str">
        <f t="shared" si="1"/>
        <v>2013 Actuals COGS</v>
      </c>
      <c r="D12" s="18">
        <v>2013</v>
      </c>
      <c r="E12" s="18" t="s">
        <v>16</v>
      </c>
      <c r="F12" s="8">
        <v>-6922154</v>
      </c>
      <c r="G12" s="8">
        <v>-6719996</v>
      </c>
      <c r="H12" s="8">
        <v>-11251219</v>
      </c>
      <c r="I12" s="8">
        <v>-8188535</v>
      </c>
      <c r="J12" s="8">
        <v>-10753091</v>
      </c>
      <c r="K12" s="8">
        <v>-5620387</v>
      </c>
      <c r="L12" s="8">
        <v>-11674472</v>
      </c>
      <c r="M12" s="8">
        <v>-9402231</v>
      </c>
      <c r="N12" s="8">
        <v>-9847130</v>
      </c>
      <c r="O12" s="8">
        <v>-10592169</v>
      </c>
      <c r="P12" s="8">
        <v>-8170720</v>
      </c>
      <c r="Q12" s="9">
        <v>-4761146</v>
      </c>
      <c r="R12" s="29">
        <f t="shared" si="2"/>
        <v>-103903250</v>
      </c>
      <c r="S12" s="29">
        <f t="shared" si="3"/>
        <v>-24893369</v>
      </c>
      <c r="T12" s="23">
        <f t="shared" si="4"/>
        <v>-24562013</v>
      </c>
      <c r="U12" s="23">
        <f t="shared" si="5"/>
        <v>-30923833</v>
      </c>
      <c r="V12" s="30">
        <f t="shared" si="6"/>
        <v>-23524035</v>
      </c>
    </row>
    <row r="13" spans="1:22" x14ac:dyDescent="0.25">
      <c r="A13" s="37" t="str">
        <f t="shared" si="0"/>
        <v>2013 Commissions Expense</v>
      </c>
      <c r="B13" s="7" t="s">
        <v>17</v>
      </c>
      <c r="C13" s="37" t="str">
        <f t="shared" si="1"/>
        <v>2013 Actuals Commissions Expense</v>
      </c>
      <c r="D13" s="18">
        <v>2013</v>
      </c>
      <c r="E13" s="18" t="s">
        <v>16</v>
      </c>
      <c r="F13" s="8">
        <v>-744189</v>
      </c>
      <c r="G13" s="8">
        <v>-684446</v>
      </c>
      <c r="H13" s="8">
        <v>-1135391</v>
      </c>
      <c r="I13" s="8">
        <v>-740206</v>
      </c>
      <c r="J13" s="8">
        <v>-1056537</v>
      </c>
      <c r="K13" s="8">
        <v>-587577</v>
      </c>
      <c r="L13" s="8">
        <v>-1154625</v>
      </c>
      <c r="M13" s="8">
        <v>-1015469</v>
      </c>
      <c r="N13" s="8">
        <v>-919043</v>
      </c>
      <c r="O13" s="8">
        <v>-1130498</v>
      </c>
      <c r="P13" s="8">
        <v>-705547</v>
      </c>
      <c r="Q13" s="9">
        <v>-447074</v>
      </c>
      <c r="R13" s="29">
        <f t="shared" si="2"/>
        <v>-10320602</v>
      </c>
      <c r="S13" s="29">
        <f t="shared" si="3"/>
        <v>-2564026</v>
      </c>
      <c r="T13" s="23">
        <f t="shared" si="4"/>
        <v>-2384320</v>
      </c>
      <c r="U13" s="23">
        <f t="shared" si="5"/>
        <v>-3089137</v>
      </c>
      <c r="V13" s="30">
        <f t="shared" si="6"/>
        <v>-2283119</v>
      </c>
    </row>
    <row r="14" spans="1:22" x14ac:dyDescent="0.25">
      <c r="A14" s="37" t="str">
        <f t="shared" si="0"/>
        <v>2013 Payroll Expense</v>
      </c>
      <c r="B14" s="7" t="s">
        <v>18</v>
      </c>
      <c r="C14" s="37" t="str">
        <f t="shared" si="1"/>
        <v>2013 Actuals Payroll Expense</v>
      </c>
      <c r="D14" s="18">
        <v>2013</v>
      </c>
      <c r="E14" s="18" t="s">
        <v>16</v>
      </c>
      <c r="F14" s="8">
        <v>-1820008</v>
      </c>
      <c r="G14" s="8">
        <v>-1643381</v>
      </c>
      <c r="H14" s="8">
        <v>-3339938</v>
      </c>
      <c r="I14" s="8">
        <v>-2236128</v>
      </c>
      <c r="J14" s="8">
        <v>-2909989</v>
      </c>
      <c r="K14" s="8">
        <v>-1461544</v>
      </c>
      <c r="L14" s="8">
        <v>-2630917</v>
      </c>
      <c r="M14" s="8">
        <v>-2736210</v>
      </c>
      <c r="N14" s="8">
        <v>-2555554</v>
      </c>
      <c r="O14" s="8">
        <v>-2554023</v>
      </c>
      <c r="P14" s="8">
        <v>-1729230</v>
      </c>
      <c r="Q14" s="9">
        <v>-1183866</v>
      </c>
      <c r="R14" s="29">
        <f t="shared" si="2"/>
        <v>-26800788</v>
      </c>
      <c r="S14" s="29">
        <f t="shared" si="3"/>
        <v>-6803327</v>
      </c>
      <c r="T14" s="23">
        <f t="shared" si="4"/>
        <v>-6607661</v>
      </c>
      <c r="U14" s="23">
        <f t="shared" si="5"/>
        <v>-7922681</v>
      </c>
      <c r="V14" s="30">
        <f t="shared" si="6"/>
        <v>-5467119</v>
      </c>
    </row>
    <row r="15" spans="1:22" x14ac:dyDescent="0.25">
      <c r="A15" s="37" t="str">
        <f t="shared" si="0"/>
        <v>2013 Travel &amp; Entertainment Expense</v>
      </c>
      <c r="B15" s="7" t="s">
        <v>19</v>
      </c>
      <c r="C15" s="37" t="str">
        <f t="shared" si="1"/>
        <v>2013 Actuals Travel &amp; Entertainment Expense</v>
      </c>
      <c r="D15" s="18">
        <v>2013</v>
      </c>
      <c r="E15" s="18" t="s">
        <v>16</v>
      </c>
      <c r="F15" s="8">
        <v>-161575</v>
      </c>
      <c r="G15" s="8">
        <v>-187636</v>
      </c>
      <c r="H15" s="8">
        <v>-282811</v>
      </c>
      <c r="I15" s="8">
        <v>-221047</v>
      </c>
      <c r="J15" s="8">
        <v>-254049</v>
      </c>
      <c r="K15" s="8">
        <v>-144005</v>
      </c>
      <c r="L15" s="8">
        <v>-246538</v>
      </c>
      <c r="M15" s="8">
        <v>-255904</v>
      </c>
      <c r="N15" s="8">
        <v>-221757</v>
      </c>
      <c r="O15" s="8">
        <v>-282216</v>
      </c>
      <c r="P15" s="8">
        <v>-207965</v>
      </c>
      <c r="Q15" s="9">
        <v>-107626</v>
      </c>
      <c r="R15" s="29">
        <f t="shared" si="2"/>
        <v>-2573129</v>
      </c>
      <c r="S15" s="29">
        <f t="shared" si="3"/>
        <v>-632022</v>
      </c>
      <c r="T15" s="23">
        <f t="shared" si="4"/>
        <v>-619101</v>
      </c>
      <c r="U15" s="23">
        <f t="shared" si="5"/>
        <v>-724199</v>
      </c>
      <c r="V15" s="30">
        <f t="shared" si="6"/>
        <v>-597807</v>
      </c>
    </row>
    <row r="16" spans="1:22" x14ac:dyDescent="0.25">
      <c r="A16" s="37" t="str">
        <f t="shared" si="0"/>
        <v>2013 R&amp;D Expense</v>
      </c>
      <c r="B16" s="7" t="s">
        <v>20</v>
      </c>
      <c r="C16" s="37" t="str">
        <f t="shared" si="1"/>
        <v>2013 Actuals R&amp;D Expense</v>
      </c>
      <c r="D16" s="18">
        <v>2013</v>
      </c>
      <c r="E16" s="18" t="s">
        <v>16</v>
      </c>
      <c r="F16" s="8">
        <v>-741256</v>
      </c>
      <c r="G16" s="8">
        <v>-734801</v>
      </c>
      <c r="H16" s="8">
        <v>-1121189</v>
      </c>
      <c r="I16" s="8">
        <v>-847064</v>
      </c>
      <c r="J16" s="8">
        <v>-1076637</v>
      </c>
      <c r="K16" s="8">
        <v>-581037</v>
      </c>
      <c r="L16" s="8">
        <v>-1155733</v>
      </c>
      <c r="M16" s="8">
        <v>-1140205</v>
      </c>
      <c r="N16" s="8">
        <v>-928524</v>
      </c>
      <c r="O16" s="8">
        <v>-1022458</v>
      </c>
      <c r="P16" s="8">
        <v>-732828</v>
      </c>
      <c r="Q16" s="9">
        <v>-507909</v>
      </c>
      <c r="R16" s="29">
        <f t="shared" si="2"/>
        <v>-10589641</v>
      </c>
      <c r="S16" s="29">
        <f t="shared" si="3"/>
        <v>-2597246</v>
      </c>
      <c r="T16" s="23">
        <f t="shared" si="4"/>
        <v>-2504738</v>
      </c>
      <c r="U16" s="23">
        <f t="shared" si="5"/>
        <v>-3224462</v>
      </c>
      <c r="V16" s="30">
        <f t="shared" si="6"/>
        <v>-2263195</v>
      </c>
    </row>
    <row r="17" spans="1:22" x14ac:dyDescent="0.25">
      <c r="A17" s="37" t="str">
        <f t="shared" si="0"/>
        <v>2013 Consulting Expense</v>
      </c>
      <c r="B17" s="7" t="s">
        <v>21</v>
      </c>
      <c r="C17" s="37" t="str">
        <f t="shared" si="1"/>
        <v>2013 Actuals Consulting Expense</v>
      </c>
      <c r="D17" s="18">
        <v>2013</v>
      </c>
      <c r="E17" s="18" t="s">
        <v>16</v>
      </c>
      <c r="F17" s="8">
        <v>-938436</v>
      </c>
      <c r="G17" s="8">
        <v>-936828</v>
      </c>
      <c r="H17" s="8">
        <v>-1631024</v>
      </c>
      <c r="I17" s="8">
        <v>-1004574</v>
      </c>
      <c r="J17" s="8">
        <v>-1256873</v>
      </c>
      <c r="K17" s="8">
        <v>-602967</v>
      </c>
      <c r="L17" s="8">
        <v>-1434455</v>
      </c>
      <c r="M17" s="8">
        <v>-1308212</v>
      </c>
      <c r="N17" s="8">
        <v>-1228204</v>
      </c>
      <c r="O17" s="8">
        <v>-1541439</v>
      </c>
      <c r="P17" s="8">
        <v>-1029014</v>
      </c>
      <c r="Q17" s="9">
        <v>-547052</v>
      </c>
      <c r="R17" s="29">
        <f t="shared" si="2"/>
        <v>-13459078</v>
      </c>
      <c r="S17" s="29">
        <f t="shared" si="3"/>
        <v>-3506288</v>
      </c>
      <c r="T17" s="23">
        <f t="shared" si="4"/>
        <v>-2864414</v>
      </c>
      <c r="U17" s="23">
        <f t="shared" si="5"/>
        <v>-3970871</v>
      </c>
      <c r="V17" s="30">
        <f t="shared" si="6"/>
        <v>-3117505</v>
      </c>
    </row>
    <row r="18" spans="1:22" x14ac:dyDescent="0.25">
      <c r="A18" s="37" t="str">
        <f t="shared" si="0"/>
        <v>2013 Software/Hardware Expense</v>
      </c>
      <c r="B18" s="7" t="s">
        <v>22</v>
      </c>
      <c r="C18" s="37" t="str">
        <f t="shared" si="1"/>
        <v>2013 Actuals Software/Hardware Expense</v>
      </c>
      <c r="D18" s="18">
        <v>2013</v>
      </c>
      <c r="E18" s="18" t="s">
        <v>16</v>
      </c>
      <c r="F18" s="8">
        <v>-1135946</v>
      </c>
      <c r="G18" s="8">
        <v>-1337432</v>
      </c>
      <c r="H18" s="8">
        <v>-2176367</v>
      </c>
      <c r="I18" s="8">
        <v>-1388676</v>
      </c>
      <c r="J18" s="8">
        <v>-1972095</v>
      </c>
      <c r="K18" s="8">
        <v>-935781</v>
      </c>
      <c r="L18" s="8">
        <v>-1810962</v>
      </c>
      <c r="M18" s="8">
        <v>-1913852</v>
      </c>
      <c r="N18" s="8">
        <v>-1681821</v>
      </c>
      <c r="O18" s="8">
        <v>-1985257</v>
      </c>
      <c r="P18" s="8">
        <v>-1268727</v>
      </c>
      <c r="Q18" s="9">
        <v>-853915</v>
      </c>
      <c r="R18" s="29">
        <f t="shared" si="2"/>
        <v>-18460831</v>
      </c>
      <c r="S18" s="29">
        <f t="shared" si="3"/>
        <v>-4649745</v>
      </c>
      <c r="T18" s="23">
        <f t="shared" si="4"/>
        <v>-4296552</v>
      </c>
      <c r="U18" s="23">
        <f t="shared" si="5"/>
        <v>-5406635</v>
      </c>
      <c r="V18" s="30">
        <f t="shared" si="6"/>
        <v>-4107899</v>
      </c>
    </row>
    <row r="19" spans="1:22" x14ac:dyDescent="0.25">
      <c r="A19" s="37" t="str">
        <f t="shared" si="0"/>
        <v>2013 Marketing Expense</v>
      </c>
      <c r="B19" s="7" t="s">
        <v>23</v>
      </c>
      <c r="C19" s="37" t="str">
        <f t="shared" si="1"/>
        <v>2013 Actuals Marketing Expense</v>
      </c>
      <c r="D19" s="18">
        <v>2013</v>
      </c>
      <c r="E19" s="18" t="s">
        <v>16</v>
      </c>
      <c r="F19" s="8">
        <v>-323989</v>
      </c>
      <c r="G19" s="8">
        <v>-329938</v>
      </c>
      <c r="H19" s="8">
        <v>-540940</v>
      </c>
      <c r="I19" s="8">
        <v>-428900</v>
      </c>
      <c r="J19" s="8">
        <v>-480921</v>
      </c>
      <c r="K19" s="8">
        <v>-296470</v>
      </c>
      <c r="L19" s="8">
        <v>-569490</v>
      </c>
      <c r="M19" s="8">
        <v>-545708</v>
      </c>
      <c r="N19" s="8">
        <v>-522167</v>
      </c>
      <c r="O19" s="8">
        <v>-517041</v>
      </c>
      <c r="P19" s="8">
        <v>-375439</v>
      </c>
      <c r="Q19" s="9">
        <v>-255120</v>
      </c>
      <c r="R19" s="29">
        <f t="shared" si="2"/>
        <v>-5186123</v>
      </c>
      <c r="S19" s="29">
        <f t="shared" si="3"/>
        <v>-1194867</v>
      </c>
      <c r="T19" s="23">
        <f t="shared" si="4"/>
        <v>-1206291</v>
      </c>
      <c r="U19" s="23">
        <f t="shared" si="5"/>
        <v>-1637365</v>
      </c>
      <c r="V19" s="30">
        <f t="shared" si="6"/>
        <v>-1147600</v>
      </c>
    </row>
    <row r="20" spans="1:22" x14ac:dyDescent="0.25">
      <c r="A20" s="37" t="str">
        <f t="shared" si="0"/>
        <v>2014 Sales</v>
      </c>
      <c r="B20" s="16" t="s">
        <v>15</v>
      </c>
      <c r="C20" s="132" t="str">
        <f t="shared" si="1"/>
        <v>2014 Actuals Sales</v>
      </c>
      <c r="D20" s="18">
        <v>2014</v>
      </c>
      <c r="E20" s="18" t="s">
        <v>16</v>
      </c>
      <c r="F20" s="8">
        <v>18250804</v>
      </c>
      <c r="G20" s="8">
        <v>14868472.08</v>
      </c>
      <c r="H20" s="8">
        <v>28056752.379999999</v>
      </c>
      <c r="I20" s="8">
        <v>14223849.9</v>
      </c>
      <c r="J20" s="8">
        <v>13323771.5</v>
      </c>
      <c r="K20" s="8">
        <v>14766253</v>
      </c>
      <c r="L20" s="8">
        <v>16977276.120000001</v>
      </c>
      <c r="M20" s="8">
        <v>16188776.880000001</v>
      </c>
      <c r="N20" s="8">
        <v>29634268.199999999</v>
      </c>
      <c r="O20" s="8">
        <v>11064288.9</v>
      </c>
      <c r="P20" s="8">
        <v>19952311.399999999</v>
      </c>
      <c r="Q20" s="9">
        <v>20041776</v>
      </c>
      <c r="R20" s="29">
        <f t="shared" si="2"/>
        <v>217348600.36000001</v>
      </c>
      <c r="S20" s="29">
        <f t="shared" si="3"/>
        <v>61176028.459999993</v>
      </c>
      <c r="T20" s="23">
        <f t="shared" si="4"/>
        <v>42313874.399999999</v>
      </c>
      <c r="U20" s="23">
        <f t="shared" si="5"/>
        <v>62800321.200000003</v>
      </c>
      <c r="V20" s="30">
        <f t="shared" si="6"/>
        <v>51058376.299999997</v>
      </c>
    </row>
    <row r="21" spans="1:22" x14ac:dyDescent="0.25">
      <c r="A21" s="37" t="str">
        <f t="shared" si="0"/>
        <v>2014 COGS</v>
      </c>
      <c r="B21" s="7" t="s">
        <v>34</v>
      </c>
      <c r="C21" s="37" t="str">
        <f t="shared" si="1"/>
        <v>2014 Actuals COGS</v>
      </c>
      <c r="D21" s="18">
        <v>2014</v>
      </c>
      <c r="E21" s="18" t="s">
        <v>16</v>
      </c>
      <c r="F21" s="8">
        <v>-7843283</v>
      </c>
      <c r="G21" s="8">
        <v>-6796938</v>
      </c>
      <c r="H21" s="8">
        <v>-12240526</v>
      </c>
      <c r="I21" s="8">
        <v>-6869228</v>
      </c>
      <c r="J21" s="8">
        <v>-5372673</v>
      </c>
      <c r="K21" s="8">
        <v>-6236231</v>
      </c>
      <c r="L21" s="8">
        <v>-7200608</v>
      </c>
      <c r="M21" s="8">
        <v>-6556026</v>
      </c>
      <c r="N21" s="8">
        <v>-13129869</v>
      </c>
      <c r="O21" s="8">
        <v>-4676077</v>
      </c>
      <c r="P21" s="8">
        <v>-9364018</v>
      </c>
      <c r="Q21" s="9">
        <v>-9803799</v>
      </c>
      <c r="R21" s="29">
        <f t="shared" si="2"/>
        <v>-96089276</v>
      </c>
      <c r="S21" s="29">
        <f t="shared" si="3"/>
        <v>-26880747</v>
      </c>
      <c r="T21" s="23">
        <f t="shared" si="4"/>
        <v>-18478132</v>
      </c>
      <c r="U21" s="23">
        <f t="shared" si="5"/>
        <v>-26886503</v>
      </c>
      <c r="V21" s="30">
        <f t="shared" si="6"/>
        <v>-23843894</v>
      </c>
    </row>
    <row r="22" spans="1:22" x14ac:dyDescent="0.25">
      <c r="A22" s="37" t="str">
        <f t="shared" si="0"/>
        <v>2014 Commissions Expense</v>
      </c>
      <c r="B22" s="7" t="s">
        <v>17</v>
      </c>
      <c r="C22" s="37" t="str">
        <f t="shared" si="1"/>
        <v>2014 Actuals Commissions Expense</v>
      </c>
      <c r="D22" s="18">
        <v>2014</v>
      </c>
      <c r="E22" s="18" t="s">
        <v>16</v>
      </c>
      <c r="F22" s="8">
        <v>-883645</v>
      </c>
      <c r="G22" s="8">
        <v>-676768</v>
      </c>
      <c r="H22" s="8">
        <v>-1122338</v>
      </c>
      <c r="I22" s="8">
        <v>-683326</v>
      </c>
      <c r="J22" s="8">
        <v>-609325</v>
      </c>
      <c r="K22" s="8">
        <v>-684846</v>
      </c>
      <c r="L22" s="8">
        <v>-753131</v>
      </c>
      <c r="M22" s="8">
        <v>-685580</v>
      </c>
      <c r="N22" s="8">
        <v>-1414587</v>
      </c>
      <c r="O22" s="8">
        <v>-442590</v>
      </c>
      <c r="P22" s="8">
        <v>-979960</v>
      </c>
      <c r="Q22" s="9">
        <v>-943903</v>
      </c>
      <c r="R22" s="29">
        <f t="shared" si="2"/>
        <v>-9879999</v>
      </c>
      <c r="S22" s="29">
        <f t="shared" si="3"/>
        <v>-2682751</v>
      </c>
      <c r="T22" s="23">
        <f t="shared" si="4"/>
        <v>-1977497</v>
      </c>
      <c r="U22" s="23">
        <f t="shared" si="5"/>
        <v>-2853298</v>
      </c>
      <c r="V22" s="30">
        <f t="shared" si="6"/>
        <v>-2366453</v>
      </c>
    </row>
    <row r="23" spans="1:22" x14ac:dyDescent="0.25">
      <c r="A23" s="37" t="str">
        <f t="shared" si="0"/>
        <v>2014 Payroll Expense</v>
      </c>
      <c r="B23" s="7" t="s">
        <v>18</v>
      </c>
      <c r="C23" s="37" t="str">
        <f t="shared" si="1"/>
        <v>2014 Actuals Payroll Expense</v>
      </c>
      <c r="D23" s="18">
        <v>2014</v>
      </c>
      <c r="E23" s="18" t="s">
        <v>16</v>
      </c>
      <c r="F23" s="8">
        <v>-2008709</v>
      </c>
      <c r="G23" s="8">
        <v>-1487720</v>
      </c>
      <c r="H23" s="8">
        <v>-3285627</v>
      </c>
      <c r="I23" s="8">
        <v>-1508088</v>
      </c>
      <c r="J23" s="8">
        <v>-1391093</v>
      </c>
      <c r="K23" s="8">
        <v>-1775032</v>
      </c>
      <c r="L23" s="8">
        <v>-2004898</v>
      </c>
      <c r="M23" s="8">
        <v>-1838656</v>
      </c>
      <c r="N23" s="8">
        <v>-3448390</v>
      </c>
      <c r="O23" s="8">
        <v>-1361565</v>
      </c>
      <c r="P23" s="8">
        <v>-2442401</v>
      </c>
      <c r="Q23" s="9">
        <v>-2495975</v>
      </c>
      <c r="R23" s="29">
        <f t="shared" si="2"/>
        <v>-25048154</v>
      </c>
      <c r="S23" s="29">
        <f t="shared" si="3"/>
        <v>-6782056</v>
      </c>
      <c r="T23" s="23">
        <f t="shared" si="4"/>
        <v>-4674213</v>
      </c>
      <c r="U23" s="23">
        <f t="shared" si="5"/>
        <v>-7291944</v>
      </c>
      <c r="V23" s="30">
        <f t="shared" si="6"/>
        <v>-6299941</v>
      </c>
    </row>
    <row r="24" spans="1:22" x14ac:dyDescent="0.25">
      <c r="A24" s="37" t="str">
        <f t="shared" si="0"/>
        <v>2014 Travel &amp; Entertainment Expense</v>
      </c>
      <c r="B24" s="7" t="s">
        <v>19</v>
      </c>
      <c r="C24" s="37" t="str">
        <f t="shared" si="1"/>
        <v>2014 Actuals Travel &amp; Entertainment Expense</v>
      </c>
      <c r="D24" s="18">
        <v>2014</v>
      </c>
      <c r="E24" s="18" t="s">
        <v>16</v>
      </c>
      <c r="F24" s="8">
        <v>-219648</v>
      </c>
      <c r="G24" s="8">
        <v>-183425</v>
      </c>
      <c r="H24" s="8">
        <v>-341821</v>
      </c>
      <c r="I24" s="8">
        <v>-173916</v>
      </c>
      <c r="J24" s="8">
        <v>-154994</v>
      </c>
      <c r="K24" s="8">
        <v>-154234</v>
      </c>
      <c r="L24" s="8">
        <v>-197334</v>
      </c>
      <c r="M24" s="8">
        <v>-175394</v>
      </c>
      <c r="N24" s="8">
        <v>-313187</v>
      </c>
      <c r="O24" s="8">
        <v>-112737</v>
      </c>
      <c r="P24" s="8">
        <v>-237479</v>
      </c>
      <c r="Q24" s="9">
        <v>-203441</v>
      </c>
      <c r="R24" s="29">
        <f t="shared" si="2"/>
        <v>-2467610</v>
      </c>
      <c r="S24" s="29">
        <f t="shared" si="3"/>
        <v>-744894</v>
      </c>
      <c r="T24" s="23">
        <f t="shared" si="4"/>
        <v>-483144</v>
      </c>
      <c r="U24" s="23">
        <f t="shared" si="5"/>
        <v>-685915</v>
      </c>
      <c r="V24" s="30">
        <f t="shared" si="6"/>
        <v>-553657</v>
      </c>
    </row>
    <row r="25" spans="1:22" x14ac:dyDescent="0.25">
      <c r="A25" s="37" t="str">
        <f t="shared" si="0"/>
        <v>2014 R&amp;D Expense</v>
      </c>
      <c r="B25" s="7" t="s">
        <v>20</v>
      </c>
      <c r="C25" s="37" t="str">
        <f t="shared" si="1"/>
        <v>2014 Actuals R&amp;D Expense</v>
      </c>
      <c r="D25" s="18">
        <v>2014</v>
      </c>
      <c r="E25" s="18" t="s">
        <v>16</v>
      </c>
      <c r="F25" s="8">
        <v>-878705</v>
      </c>
      <c r="G25" s="8">
        <v>-691557</v>
      </c>
      <c r="H25" s="8">
        <v>-1382445</v>
      </c>
      <c r="I25" s="8">
        <v>-644432</v>
      </c>
      <c r="J25" s="8">
        <v>-585524</v>
      </c>
      <c r="K25" s="8">
        <v>-704915</v>
      </c>
      <c r="L25" s="8">
        <v>-777313</v>
      </c>
      <c r="M25" s="8">
        <v>-745066</v>
      </c>
      <c r="N25" s="8">
        <v>-1466348</v>
      </c>
      <c r="O25" s="8">
        <v>-520870</v>
      </c>
      <c r="P25" s="8">
        <v>-799241</v>
      </c>
      <c r="Q25" s="9">
        <v>-926859</v>
      </c>
      <c r="R25" s="29">
        <f t="shared" si="2"/>
        <v>-10123275</v>
      </c>
      <c r="S25" s="29">
        <f t="shared" si="3"/>
        <v>-2952707</v>
      </c>
      <c r="T25" s="23">
        <f t="shared" si="4"/>
        <v>-1934871</v>
      </c>
      <c r="U25" s="23">
        <f t="shared" si="5"/>
        <v>-2988727</v>
      </c>
      <c r="V25" s="30">
        <f t="shared" si="6"/>
        <v>-2246970</v>
      </c>
    </row>
    <row r="26" spans="1:22" x14ac:dyDescent="0.25">
      <c r="A26" s="37" t="str">
        <f t="shared" si="0"/>
        <v>2014 Consulting Expense</v>
      </c>
      <c r="B26" s="7" t="s">
        <v>21</v>
      </c>
      <c r="C26" s="37" t="str">
        <f t="shared" si="1"/>
        <v>2014 Actuals Consulting Expense</v>
      </c>
      <c r="D26" s="18">
        <v>2014</v>
      </c>
      <c r="E26" s="18" t="s">
        <v>16</v>
      </c>
      <c r="F26" s="8">
        <v>-1101772</v>
      </c>
      <c r="G26" s="8">
        <v>-896778</v>
      </c>
      <c r="H26" s="8">
        <v>-1443616</v>
      </c>
      <c r="I26" s="8">
        <v>-741177</v>
      </c>
      <c r="J26" s="8">
        <v>-698199</v>
      </c>
      <c r="K26" s="8">
        <v>-899590</v>
      </c>
      <c r="L26" s="8">
        <v>-965921</v>
      </c>
      <c r="M26" s="8">
        <v>-952907</v>
      </c>
      <c r="N26" s="8">
        <v>-1522010</v>
      </c>
      <c r="O26" s="8">
        <v>-581521</v>
      </c>
      <c r="P26" s="8">
        <v>-1167492</v>
      </c>
      <c r="Q26" s="9">
        <v>-1042503</v>
      </c>
      <c r="R26" s="29">
        <f t="shared" si="2"/>
        <v>-12013486</v>
      </c>
      <c r="S26" s="29">
        <f t="shared" si="3"/>
        <v>-3442166</v>
      </c>
      <c r="T26" s="23">
        <f t="shared" si="4"/>
        <v>-2338966</v>
      </c>
      <c r="U26" s="23">
        <f t="shared" si="5"/>
        <v>-3440838</v>
      </c>
      <c r="V26" s="30">
        <f t="shared" si="6"/>
        <v>-2791516</v>
      </c>
    </row>
    <row r="27" spans="1:22" x14ac:dyDescent="0.25">
      <c r="A27" s="37" t="str">
        <f t="shared" si="0"/>
        <v>2014 Software/Hardware Expense</v>
      </c>
      <c r="B27" s="7" t="s">
        <v>22</v>
      </c>
      <c r="C27" s="37" t="str">
        <f t="shared" si="1"/>
        <v>2014 Actuals Software/Hardware Expense</v>
      </c>
      <c r="D27" s="18">
        <v>2014</v>
      </c>
      <c r="E27" s="18" t="s">
        <v>16</v>
      </c>
      <c r="F27" s="8">
        <v>-1592251</v>
      </c>
      <c r="G27" s="8">
        <v>-1260716</v>
      </c>
      <c r="H27" s="8">
        <v>-2347593</v>
      </c>
      <c r="I27" s="8">
        <v>-1012501</v>
      </c>
      <c r="J27" s="8">
        <v>-1124904</v>
      </c>
      <c r="K27" s="8">
        <v>-1261974</v>
      </c>
      <c r="L27" s="8">
        <v>-1354606</v>
      </c>
      <c r="M27" s="8">
        <v>-1335325</v>
      </c>
      <c r="N27" s="8">
        <v>-2087610</v>
      </c>
      <c r="O27" s="8">
        <v>-780627</v>
      </c>
      <c r="P27" s="8">
        <v>-1615540</v>
      </c>
      <c r="Q27" s="9">
        <v>-1677444</v>
      </c>
      <c r="R27" s="29">
        <f t="shared" si="2"/>
        <v>-17451091</v>
      </c>
      <c r="S27" s="29">
        <f t="shared" si="3"/>
        <v>-5200560</v>
      </c>
      <c r="T27" s="23">
        <f t="shared" si="4"/>
        <v>-3399379</v>
      </c>
      <c r="U27" s="23">
        <f t="shared" si="5"/>
        <v>-4777541</v>
      </c>
      <c r="V27" s="30">
        <f t="shared" si="6"/>
        <v>-4073611</v>
      </c>
    </row>
    <row r="28" spans="1:22" x14ac:dyDescent="0.25">
      <c r="A28" s="37" t="str">
        <f t="shared" si="0"/>
        <v>2014 Marketing Expense</v>
      </c>
      <c r="B28" s="7" t="s">
        <v>23</v>
      </c>
      <c r="C28" s="37" t="str">
        <f t="shared" si="1"/>
        <v>2014 Actuals Marketing Expense</v>
      </c>
      <c r="D28" s="18">
        <v>2014</v>
      </c>
      <c r="E28" s="18" t="s">
        <v>16</v>
      </c>
      <c r="F28" s="8">
        <v>-451604</v>
      </c>
      <c r="G28" s="8">
        <v>-299487</v>
      </c>
      <c r="H28" s="8">
        <v>-598692</v>
      </c>
      <c r="I28" s="8">
        <v>-290908</v>
      </c>
      <c r="J28" s="8">
        <v>-275494</v>
      </c>
      <c r="K28" s="8">
        <v>-315325</v>
      </c>
      <c r="L28" s="8">
        <v>-362086</v>
      </c>
      <c r="M28" s="8">
        <v>-403555</v>
      </c>
      <c r="N28" s="8">
        <v>-723809</v>
      </c>
      <c r="O28" s="8">
        <v>-246577</v>
      </c>
      <c r="P28" s="8">
        <v>-423325</v>
      </c>
      <c r="Q28" s="9">
        <v>-404866</v>
      </c>
      <c r="R28" s="29">
        <f t="shared" si="2"/>
        <v>-4795728</v>
      </c>
      <c r="S28" s="29">
        <f t="shared" si="3"/>
        <v>-1349783</v>
      </c>
      <c r="T28" s="23">
        <f t="shared" si="4"/>
        <v>-881727</v>
      </c>
      <c r="U28" s="23">
        <f t="shared" si="5"/>
        <v>-1489450</v>
      </c>
      <c r="V28" s="30">
        <f t="shared" si="6"/>
        <v>-1074768</v>
      </c>
    </row>
    <row r="29" spans="1:22" x14ac:dyDescent="0.25">
      <c r="A29" s="37" t="str">
        <f t="shared" si="0"/>
        <v>2015 Sales</v>
      </c>
      <c r="B29" s="16" t="s">
        <v>15</v>
      </c>
      <c r="C29" s="132" t="str">
        <f t="shared" si="1"/>
        <v>2015 Actuals Sales</v>
      </c>
      <c r="D29" s="18">
        <v>2015</v>
      </c>
      <c r="E29" s="18" t="s">
        <v>16</v>
      </c>
      <c r="F29" s="8">
        <v>13575527.039999999</v>
      </c>
      <c r="G29" s="8">
        <v>13250875</v>
      </c>
      <c r="H29" s="8">
        <v>12567203.880000001</v>
      </c>
      <c r="I29" s="8">
        <v>11849113.32</v>
      </c>
      <c r="J29" s="8">
        <v>17248073</v>
      </c>
      <c r="K29" s="8">
        <v>22632099.030000001</v>
      </c>
      <c r="L29" s="8">
        <v>29860497</v>
      </c>
      <c r="M29" s="8">
        <v>11875911.390000001</v>
      </c>
      <c r="N29" s="8">
        <v>21166698.280000001</v>
      </c>
      <c r="O29" s="8">
        <v>21110411.039999999</v>
      </c>
      <c r="P29" s="8">
        <v>18998108</v>
      </c>
      <c r="Q29" s="9">
        <v>20183317.190000001</v>
      </c>
      <c r="R29" s="29">
        <f t="shared" si="2"/>
        <v>214317834.16999999</v>
      </c>
      <c r="S29" s="29">
        <f t="shared" si="3"/>
        <v>39393605.920000002</v>
      </c>
      <c r="T29" s="23">
        <f t="shared" si="4"/>
        <v>51729285.350000001</v>
      </c>
      <c r="U29" s="23">
        <f t="shared" si="5"/>
        <v>62903106.670000002</v>
      </c>
      <c r="V29" s="30">
        <f t="shared" si="6"/>
        <v>60291836.230000004</v>
      </c>
    </row>
    <row r="30" spans="1:22" x14ac:dyDescent="0.25">
      <c r="A30" s="37" t="str">
        <f t="shared" si="0"/>
        <v>2015 COGS</v>
      </c>
      <c r="B30" s="7" t="s">
        <v>34</v>
      </c>
      <c r="C30" s="37" t="str">
        <f t="shared" si="1"/>
        <v>2015 Actuals COGS</v>
      </c>
      <c r="D30" s="18">
        <v>2015</v>
      </c>
      <c r="E30" s="18" t="s">
        <v>16</v>
      </c>
      <c r="F30" s="8">
        <v>-6729976</v>
      </c>
      <c r="G30" s="8">
        <v>-6401417</v>
      </c>
      <c r="H30" s="8">
        <v>-5214635</v>
      </c>
      <c r="I30" s="8">
        <v>-5538678</v>
      </c>
      <c r="J30" s="8">
        <v>-8186261</v>
      </c>
      <c r="K30" s="8">
        <v>-10063433</v>
      </c>
      <c r="L30" s="8">
        <v>-14362489</v>
      </c>
      <c r="M30" s="8">
        <v>-5530666</v>
      </c>
      <c r="N30" s="8">
        <v>-10502083</v>
      </c>
      <c r="O30" s="8">
        <v>-10387292</v>
      </c>
      <c r="P30" s="8">
        <v>-7767663</v>
      </c>
      <c r="Q30" s="9">
        <v>-9444026</v>
      </c>
      <c r="R30" s="29">
        <f t="shared" si="2"/>
        <v>-100128619</v>
      </c>
      <c r="S30" s="29">
        <f t="shared" si="3"/>
        <v>-18346028</v>
      </c>
      <c r="T30" s="23">
        <f t="shared" si="4"/>
        <v>-23788372</v>
      </c>
      <c r="U30" s="23">
        <f t="shared" si="5"/>
        <v>-30395238</v>
      </c>
      <c r="V30" s="30">
        <f t="shared" si="6"/>
        <v>-27598981</v>
      </c>
    </row>
    <row r="31" spans="1:22" x14ac:dyDescent="0.25">
      <c r="A31" s="37" t="str">
        <f t="shared" si="0"/>
        <v>2015 Commissions Expense</v>
      </c>
      <c r="B31" s="7" t="s">
        <v>17</v>
      </c>
      <c r="C31" s="37" t="str">
        <f t="shared" si="1"/>
        <v>2015 Actuals Commissions Expense</v>
      </c>
      <c r="D31" s="18">
        <v>2015</v>
      </c>
      <c r="E31" s="18" t="s">
        <v>16</v>
      </c>
      <c r="F31" s="8">
        <v>-573757</v>
      </c>
      <c r="G31" s="8">
        <v>-581423</v>
      </c>
      <c r="H31" s="8">
        <v>-551830</v>
      </c>
      <c r="I31" s="8">
        <v>-577052</v>
      </c>
      <c r="J31" s="8">
        <v>-788385</v>
      </c>
      <c r="K31" s="8">
        <v>-946266</v>
      </c>
      <c r="L31" s="8">
        <v>-1320510</v>
      </c>
      <c r="M31" s="8">
        <v>-513412</v>
      </c>
      <c r="N31" s="8">
        <v>-965560</v>
      </c>
      <c r="O31" s="8">
        <v>-992444</v>
      </c>
      <c r="P31" s="8">
        <v>-880529</v>
      </c>
      <c r="Q31" s="9">
        <v>-838505</v>
      </c>
      <c r="R31" s="29">
        <f t="shared" si="2"/>
        <v>-9529673</v>
      </c>
      <c r="S31" s="29">
        <f t="shared" si="3"/>
        <v>-1707010</v>
      </c>
      <c r="T31" s="23">
        <f t="shared" si="4"/>
        <v>-2311703</v>
      </c>
      <c r="U31" s="23">
        <f t="shared" si="5"/>
        <v>-2799482</v>
      </c>
      <c r="V31" s="30">
        <f t="shared" si="6"/>
        <v>-2711478</v>
      </c>
    </row>
    <row r="32" spans="1:22" x14ac:dyDescent="0.25">
      <c r="A32" s="37" t="str">
        <f t="shared" si="0"/>
        <v>2015 Payroll Expense</v>
      </c>
      <c r="B32" s="7" t="s">
        <v>18</v>
      </c>
      <c r="C32" s="37" t="str">
        <f t="shared" si="1"/>
        <v>2015 Actuals Payroll Expense</v>
      </c>
      <c r="D32" s="18">
        <v>2015</v>
      </c>
      <c r="E32" s="18" t="s">
        <v>16</v>
      </c>
      <c r="F32" s="8">
        <v>-1568759</v>
      </c>
      <c r="G32" s="8">
        <v>-1452547</v>
      </c>
      <c r="H32" s="8">
        <v>-1515316</v>
      </c>
      <c r="I32" s="8">
        <v>-1374790</v>
      </c>
      <c r="J32" s="8">
        <v>-1918417</v>
      </c>
      <c r="K32" s="8">
        <v>-2647780</v>
      </c>
      <c r="L32" s="8">
        <v>-3326590</v>
      </c>
      <c r="M32" s="8">
        <v>-1280946</v>
      </c>
      <c r="N32" s="8">
        <v>-2625789</v>
      </c>
      <c r="O32" s="8">
        <v>-2383045</v>
      </c>
      <c r="P32" s="8">
        <v>-2237769</v>
      </c>
      <c r="Q32" s="9">
        <v>-2381177</v>
      </c>
      <c r="R32" s="29">
        <f t="shared" si="2"/>
        <v>-24712925</v>
      </c>
      <c r="S32" s="29">
        <f t="shared" si="3"/>
        <v>-4536622</v>
      </c>
      <c r="T32" s="23">
        <f t="shared" si="4"/>
        <v>-5940987</v>
      </c>
      <c r="U32" s="23">
        <f t="shared" si="5"/>
        <v>-7233325</v>
      </c>
      <c r="V32" s="30">
        <f t="shared" si="6"/>
        <v>-7001991</v>
      </c>
    </row>
    <row r="33" spans="1:22" x14ac:dyDescent="0.25">
      <c r="A33" s="37" t="str">
        <f t="shared" si="0"/>
        <v>2015 Travel &amp; Entertainment Expense</v>
      </c>
      <c r="B33" s="7" t="s">
        <v>19</v>
      </c>
      <c r="C33" s="37" t="str">
        <f t="shared" si="1"/>
        <v>2015 Actuals Travel &amp; Entertainment Expense</v>
      </c>
      <c r="D33" s="18">
        <v>2015</v>
      </c>
      <c r="E33" s="18" t="s">
        <v>16</v>
      </c>
      <c r="F33" s="8">
        <v>-158356</v>
      </c>
      <c r="G33" s="8">
        <v>-153332</v>
      </c>
      <c r="H33" s="8">
        <v>-156029</v>
      </c>
      <c r="I33" s="8">
        <v>-135853</v>
      </c>
      <c r="J33" s="8">
        <v>-212057</v>
      </c>
      <c r="K33" s="8">
        <v>-251822</v>
      </c>
      <c r="L33" s="8">
        <v>-317201</v>
      </c>
      <c r="M33" s="8">
        <v>-144379</v>
      </c>
      <c r="N33" s="8">
        <v>-235638</v>
      </c>
      <c r="O33" s="8">
        <v>-237761</v>
      </c>
      <c r="P33" s="8">
        <v>-194390</v>
      </c>
      <c r="Q33" s="9">
        <v>-241255</v>
      </c>
      <c r="R33" s="29">
        <f t="shared" si="2"/>
        <v>-2438073</v>
      </c>
      <c r="S33" s="29">
        <f t="shared" si="3"/>
        <v>-467717</v>
      </c>
      <c r="T33" s="23">
        <f t="shared" si="4"/>
        <v>-599732</v>
      </c>
      <c r="U33" s="23">
        <f t="shared" si="5"/>
        <v>-697218</v>
      </c>
      <c r="V33" s="30">
        <f t="shared" si="6"/>
        <v>-673406</v>
      </c>
    </row>
    <row r="34" spans="1:22" x14ac:dyDescent="0.25">
      <c r="A34" s="37" t="str">
        <f t="shared" si="0"/>
        <v>2015 R&amp;D Expense</v>
      </c>
      <c r="B34" s="7" t="s">
        <v>20</v>
      </c>
      <c r="C34" s="37" t="str">
        <f t="shared" si="1"/>
        <v>2015 Actuals R&amp;D Expense</v>
      </c>
      <c r="D34" s="18">
        <v>2015</v>
      </c>
      <c r="E34" s="18" t="s">
        <v>16</v>
      </c>
      <c r="F34" s="8">
        <v>-628560</v>
      </c>
      <c r="G34" s="8">
        <v>-607225</v>
      </c>
      <c r="H34" s="8">
        <v>-605967</v>
      </c>
      <c r="I34" s="8">
        <v>-523211</v>
      </c>
      <c r="J34" s="8">
        <v>-761411</v>
      </c>
      <c r="K34" s="8">
        <v>-942950</v>
      </c>
      <c r="L34" s="8">
        <v>-1259315</v>
      </c>
      <c r="M34" s="8">
        <v>-593077</v>
      </c>
      <c r="N34" s="8">
        <v>-932114</v>
      </c>
      <c r="O34" s="8">
        <v>-888540</v>
      </c>
      <c r="P34" s="8">
        <v>-848637</v>
      </c>
      <c r="Q34" s="9">
        <v>-811089</v>
      </c>
      <c r="R34" s="29">
        <f t="shared" si="2"/>
        <v>-9402096</v>
      </c>
      <c r="S34" s="29">
        <f t="shared" si="3"/>
        <v>-1841752</v>
      </c>
      <c r="T34" s="23">
        <f t="shared" si="4"/>
        <v>-2227572</v>
      </c>
      <c r="U34" s="23">
        <f t="shared" si="5"/>
        <v>-2784506</v>
      </c>
      <c r="V34" s="30">
        <f t="shared" si="6"/>
        <v>-2548266</v>
      </c>
    </row>
    <row r="35" spans="1:22" x14ac:dyDescent="0.25">
      <c r="A35" s="37" t="str">
        <f t="shared" si="0"/>
        <v>2015 Consulting Expense</v>
      </c>
      <c r="B35" s="7" t="s">
        <v>21</v>
      </c>
      <c r="C35" s="37" t="str">
        <f t="shared" si="1"/>
        <v>2015 Actuals Consulting Expense</v>
      </c>
      <c r="D35" s="18">
        <v>2015</v>
      </c>
      <c r="E35" s="18" t="s">
        <v>16</v>
      </c>
      <c r="F35" s="8">
        <v>-840546</v>
      </c>
      <c r="G35" s="8">
        <v>-680213</v>
      </c>
      <c r="H35" s="8">
        <v>-638286</v>
      </c>
      <c r="I35" s="8">
        <v>-639841</v>
      </c>
      <c r="J35" s="8">
        <v>-1072470</v>
      </c>
      <c r="K35" s="8">
        <v>-1382250</v>
      </c>
      <c r="L35" s="8">
        <v>-1632544</v>
      </c>
      <c r="M35" s="8">
        <v>-636013</v>
      </c>
      <c r="N35" s="8">
        <v>-1152236</v>
      </c>
      <c r="O35" s="8">
        <v>-1315230</v>
      </c>
      <c r="P35" s="8">
        <v>-1048976</v>
      </c>
      <c r="Q35" s="9">
        <v>-1063853</v>
      </c>
      <c r="R35" s="29">
        <f t="shared" si="2"/>
        <v>-12102458</v>
      </c>
      <c r="S35" s="29">
        <f t="shared" si="3"/>
        <v>-2159045</v>
      </c>
      <c r="T35" s="23">
        <f t="shared" si="4"/>
        <v>-3094561</v>
      </c>
      <c r="U35" s="23">
        <f t="shared" si="5"/>
        <v>-3420793</v>
      </c>
      <c r="V35" s="30">
        <f t="shared" si="6"/>
        <v>-3428059</v>
      </c>
    </row>
    <row r="36" spans="1:22" x14ac:dyDescent="0.25">
      <c r="A36" s="37" t="str">
        <f t="shared" si="0"/>
        <v>2015 Software/Hardware Expense</v>
      </c>
      <c r="B36" s="7" t="s">
        <v>22</v>
      </c>
      <c r="C36" s="37" t="str">
        <f t="shared" si="1"/>
        <v>2015 Actuals Software/Hardware Expense</v>
      </c>
      <c r="D36" s="18">
        <v>2015</v>
      </c>
      <c r="E36" s="18" t="s">
        <v>16</v>
      </c>
      <c r="F36" s="8">
        <v>-1050093</v>
      </c>
      <c r="G36" s="8">
        <v>-1048268</v>
      </c>
      <c r="H36" s="8">
        <v>-966784</v>
      </c>
      <c r="I36" s="8">
        <v>-928678</v>
      </c>
      <c r="J36" s="8">
        <v>-1460786</v>
      </c>
      <c r="K36" s="8">
        <v>-1852892</v>
      </c>
      <c r="L36" s="8">
        <v>-2327627</v>
      </c>
      <c r="M36" s="8">
        <v>-836034</v>
      </c>
      <c r="N36" s="8">
        <v>-1595638</v>
      </c>
      <c r="O36" s="8">
        <v>-1616163</v>
      </c>
      <c r="P36" s="8">
        <v>-1534232</v>
      </c>
      <c r="Q36" s="9">
        <v>-1707959</v>
      </c>
      <c r="R36" s="29">
        <f t="shared" si="2"/>
        <v>-16925154</v>
      </c>
      <c r="S36" s="29">
        <f t="shared" si="3"/>
        <v>-3065145</v>
      </c>
      <c r="T36" s="23">
        <f t="shared" si="4"/>
        <v>-4242356</v>
      </c>
      <c r="U36" s="23">
        <f t="shared" si="5"/>
        <v>-4759299</v>
      </c>
      <c r="V36" s="30">
        <f t="shared" si="6"/>
        <v>-4858354</v>
      </c>
    </row>
    <row r="37" spans="1:22" x14ac:dyDescent="0.25">
      <c r="A37" s="37" t="str">
        <f t="shared" si="0"/>
        <v>2015 Marketing Expense</v>
      </c>
      <c r="B37" s="7" t="s">
        <v>23</v>
      </c>
      <c r="C37" s="37" t="str">
        <f t="shared" si="1"/>
        <v>2015 Actuals Marketing Expense</v>
      </c>
      <c r="D37" s="18">
        <v>2015</v>
      </c>
      <c r="E37" s="18" t="s">
        <v>16</v>
      </c>
      <c r="F37" s="8">
        <v>-275227</v>
      </c>
      <c r="G37" s="8">
        <v>-327777</v>
      </c>
      <c r="H37" s="8">
        <v>-292639</v>
      </c>
      <c r="I37" s="8">
        <v>-286019</v>
      </c>
      <c r="J37" s="8">
        <v>-377546</v>
      </c>
      <c r="K37" s="8">
        <v>-453403</v>
      </c>
      <c r="L37" s="8">
        <v>-714292</v>
      </c>
      <c r="M37" s="8">
        <v>-263464</v>
      </c>
      <c r="N37" s="8">
        <v>-517575</v>
      </c>
      <c r="O37" s="8">
        <v>-425453</v>
      </c>
      <c r="P37" s="8">
        <v>-389907</v>
      </c>
      <c r="Q37" s="9">
        <v>-456591</v>
      </c>
      <c r="R37" s="29">
        <f t="shared" si="2"/>
        <v>-4779893</v>
      </c>
      <c r="S37" s="29">
        <f t="shared" si="3"/>
        <v>-895643</v>
      </c>
      <c r="T37" s="23">
        <f t="shared" si="4"/>
        <v>-1116968</v>
      </c>
      <c r="U37" s="23">
        <f t="shared" si="5"/>
        <v>-1495331</v>
      </c>
      <c r="V37" s="30">
        <f t="shared" si="6"/>
        <v>-1271951</v>
      </c>
    </row>
    <row r="38" spans="1:22" x14ac:dyDescent="0.25">
      <c r="A38" s="37" t="str">
        <f t="shared" si="0"/>
        <v>2016 Sales</v>
      </c>
      <c r="B38" s="16" t="s">
        <v>15</v>
      </c>
      <c r="C38" s="132" t="str">
        <f t="shared" si="1"/>
        <v>2016 Actuals Sales</v>
      </c>
      <c r="D38" s="18">
        <v>2016</v>
      </c>
      <c r="E38" s="18" t="s">
        <v>16</v>
      </c>
      <c r="F38" s="8">
        <v>20413970.75</v>
      </c>
      <c r="G38" s="8">
        <v>18383533.52</v>
      </c>
      <c r="H38" s="8">
        <v>15492424.25</v>
      </c>
      <c r="I38" s="8">
        <v>16538805.66</v>
      </c>
      <c r="J38" s="8">
        <v>17242812.199999999</v>
      </c>
      <c r="K38" s="8">
        <v>26252064.98</v>
      </c>
      <c r="L38" s="8">
        <v>26101132.739999998</v>
      </c>
      <c r="M38" s="8">
        <v>26582729.039999999</v>
      </c>
      <c r="N38" s="8">
        <v>23718077.91</v>
      </c>
      <c r="O38" s="8">
        <v>24598863.52</v>
      </c>
      <c r="P38" s="8">
        <v>12843003.75</v>
      </c>
      <c r="Q38" s="9">
        <v>18634115.719999999</v>
      </c>
      <c r="R38" s="29">
        <f t="shared" si="2"/>
        <v>246801534.03999999</v>
      </c>
      <c r="S38" s="29">
        <f t="shared" si="3"/>
        <v>54289928.519999996</v>
      </c>
      <c r="T38" s="23">
        <f t="shared" si="4"/>
        <v>60033682.840000004</v>
      </c>
      <c r="U38" s="23">
        <f t="shared" si="5"/>
        <v>76401939.689999998</v>
      </c>
      <c r="V38" s="30">
        <f t="shared" si="6"/>
        <v>56075982.989999995</v>
      </c>
    </row>
    <row r="39" spans="1:22" x14ac:dyDescent="0.25">
      <c r="A39" s="37" t="str">
        <f t="shared" si="0"/>
        <v>2016 COGS</v>
      </c>
      <c r="B39" s="7" t="s">
        <v>34</v>
      </c>
      <c r="C39" s="37" t="str">
        <f t="shared" si="1"/>
        <v>2016 Actuals COGS</v>
      </c>
      <c r="D39" s="18">
        <v>2016</v>
      </c>
      <c r="E39" s="18" t="s">
        <v>16</v>
      </c>
      <c r="F39" s="8">
        <v>-8524021</v>
      </c>
      <c r="G39" s="8">
        <v>-8516858</v>
      </c>
      <c r="H39" s="8">
        <v>-6701327</v>
      </c>
      <c r="I39" s="8">
        <v>-8243024</v>
      </c>
      <c r="J39" s="8">
        <v>-8514600</v>
      </c>
      <c r="K39" s="8">
        <v>-12755210</v>
      </c>
      <c r="L39" s="8">
        <v>-12071942</v>
      </c>
      <c r="M39" s="8">
        <v>-12906190</v>
      </c>
      <c r="N39" s="8">
        <v>-10492468</v>
      </c>
      <c r="O39" s="8">
        <v>-11272305</v>
      </c>
      <c r="P39" s="8">
        <v>-6080186</v>
      </c>
      <c r="Q39" s="9">
        <v>-8918973</v>
      </c>
      <c r="R39" s="29">
        <f t="shared" si="2"/>
        <v>-114997104</v>
      </c>
      <c r="S39" s="29">
        <f t="shared" si="3"/>
        <v>-23742206</v>
      </c>
      <c r="T39" s="23">
        <f t="shared" si="4"/>
        <v>-29512834</v>
      </c>
      <c r="U39" s="23">
        <f t="shared" si="5"/>
        <v>-35470600</v>
      </c>
      <c r="V39" s="30">
        <f t="shared" si="6"/>
        <v>-26271464</v>
      </c>
    </row>
    <row r="40" spans="1:22" x14ac:dyDescent="0.25">
      <c r="A40" s="37" t="str">
        <f t="shared" si="0"/>
        <v>2016 Commissions Expense</v>
      </c>
      <c r="B40" s="7" t="s">
        <v>17</v>
      </c>
      <c r="C40" s="37" t="str">
        <f t="shared" si="1"/>
        <v>2016 Actuals Commissions Expense</v>
      </c>
      <c r="D40" s="18">
        <v>2016</v>
      </c>
      <c r="E40" s="18" t="s">
        <v>16</v>
      </c>
      <c r="F40" s="8">
        <v>-941449</v>
      </c>
      <c r="G40" s="8">
        <v>-887985</v>
      </c>
      <c r="H40" s="8">
        <v>-710304</v>
      </c>
      <c r="I40" s="8">
        <v>-703199</v>
      </c>
      <c r="J40" s="8">
        <v>-802703</v>
      </c>
      <c r="K40" s="8">
        <v>-1110078</v>
      </c>
      <c r="L40" s="8">
        <v>-1236047</v>
      </c>
      <c r="M40" s="8">
        <v>-1269614</v>
      </c>
      <c r="N40" s="8">
        <v>-999276</v>
      </c>
      <c r="O40" s="8">
        <v>-1060656</v>
      </c>
      <c r="P40" s="8">
        <v>-634536</v>
      </c>
      <c r="Q40" s="9">
        <v>-754854</v>
      </c>
      <c r="R40" s="29">
        <f t="shared" si="2"/>
        <v>-11110701</v>
      </c>
      <c r="S40" s="29">
        <f t="shared" si="3"/>
        <v>-2539738</v>
      </c>
      <c r="T40" s="23">
        <f t="shared" si="4"/>
        <v>-2615980</v>
      </c>
      <c r="U40" s="23">
        <f t="shared" si="5"/>
        <v>-3504937</v>
      </c>
      <c r="V40" s="30">
        <f t="shared" si="6"/>
        <v>-2450046</v>
      </c>
    </row>
    <row r="41" spans="1:22" x14ac:dyDescent="0.25">
      <c r="A41" s="37" t="str">
        <f t="shared" si="0"/>
        <v>2016 Payroll Expense</v>
      </c>
      <c r="B41" s="7" t="s">
        <v>18</v>
      </c>
      <c r="C41" s="37" t="str">
        <f t="shared" si="1"/>
        <v>2016 Actuals Payroll Expense</v>
      </c>
      <c r="D41" s="18">
        <v>2016</v>
      </c>
      <c r="E41" s="18" t="s">
        <v>16</v>
      </c>
      <c r="F41" s="8">
        <v>-2536097</v>
      </c>
      <c r="G41" s="8">
        <v>-2115231</v>
      </c>
      <c r="H41" s="8">
        <v>-1737031</v>
      </c>
      <c r="I41" s="8">
        <v>-1784309</v>
      </c>
      <c r="J41" s="8">
        <v>-1880938</v>
      </c>
      <c r="K41" s="8">
        <v>-3062612</v>
      </c>
      <c r="L41" s="8">
        <v>-2803819</v>
      </c>
      <c r="M41" s="8">
        <v>-2677425</v>
      </c>
      <c r="N41" s="8">
        <v>-2631419</v>
      </c>
      <c r="O41" s="8">
        <v>-2469520</v>
      </c>
      <c r="P41" s="8">
        <v>-1439108</v>
      </c>
      <c r="Q41" s="9">
        <v>-2142808</v>
      </c>
      <c r="R41" s="29">
        <f t="shared" si="2"/>
        <v>-27280317</v>
      </c>
      <c r="S41" s="29">
        <f t="shared" si="3"/>
        <v>-6388359</v>
      </c>
      <c r="T41" s="23">
        <f t="shared" si="4"/>
        <v>-6727859</v>
      </c>
      <c r="U41" s="23">
        <f t="shared" si="5"/>
        <v>-8112663</v>
      </c>
      <c r="V41" s="30">
        <f t="shared" si="6"/>
        <v>-6051436</v>
      </c>
    </row>
    <row r="42" spans="1:22" x14ac:dyDescent="0.25">
      <c r="A42" s="37" t="str">
        <f t="shared" si="0"/>
        <v>2016 Travel &amp; Entertainment Expense</v>
      </c>
      <c r="B42" s="7" t="s">
        <v>19</v>
      </c>
      <c r="C42" s="37" t="str">
        <f t="shared" si="1"/>
        <v>2016 Actuals Travel &amp; Entertainment Expense</v>
      </c>
      <c r="D42" s="18">
        <v>2016</v>
      </c>
      <c r="E42" s="18" t="s">
        <v>16</v>
      </c>
      <c r="F42" s="8">
        <v>-205336</v>
      </c>
      <c r="G42" s="8">
        <v>-194814</v>
      </c>
      <c r="H42" s="8">
        <v>-193218</v>
      </c>
      <c r="I42" s="8">
        <v>-183673</v>
      </c>
      <c r="J42" s="8">
        <v>-189826</v>
      </c>
      <c r="K42" s="8">
        <v>-284932</v>
      </c>
      <c r="L42" s="8">
        <v>-280179</v>
      </c>
      <c r="M42" s="8">
        <v>-311287</v>
      </c>
      <c r="N42" s="8">
        <v>-285374</v>
      </c>
      <c r="O42" s="8">
        <v>-296625</v>
      </c>
      <c r="P42" s="8">
        <v>-142198</v>
      </c>
      <c r="Q42" s="9">
        <v>-226382</v>
      </c>
      <c r="R42" s="29">
        <f t="shared" si="2"/>
        <v>-2793844</v>
      </c>
      <c r="S42" s="29">
        <f t="shared" si="3"/>
        <v>-593368</v>
      </c>
      <c r="T42" s="23">
        <f t="shared" si="4"/>
        <v>-658431</v>
      </c>
      <c r="U42" s="23">
        <f t="shared" si="5"/>
        <v>-876840</v>
      </c>
      <c r="V42" s="30">
        <f t="shared" si="6"/>
        <v>-665205</v>
      </c>
    </row>
    <row r="43" spans="1:22" x14ac:dyDescent="0.25">
      <c r="A43" s="37" t="str">
        <f t="shared" si="0"/>
        <v>2016 R&amp;D Expense</v>
      </c>
      <c r="B43" s="7" t="s">
        <v>20</v>
      </c>
      <c r="C43" s="37" t="str">
        <f t="shared" si="1"/>
        <v>2016 Actuals R&amp;D Expense</v>
      </c>
      <c r="D43" s="18">
        <v>2016</v>
      </c>
      <c r="E43" s="18" t="s">
        <v>16</v>
      </c>
      <c r="F43" s="8">
        <v>-851979</v>
      </c>
      <c r="G43" s="8">
        <v>-905765</v>
      </c>
      <c r="H43" s="8">
        <v>-710782</v>
      </c>
      <c r="I43" s="8">
        <v>-775323</v>
      </c>
      <c r="J43" s="8">
        <v>-798120</v>
      </c>
      <c r="K43" s="8">
        <v>-1110337</v>
      </c>
      <c r="L43" s="8">
        <v>-1084014</v>
      </c>
      <c r="M43" s="8">
        <v>-1222396</v>
      </c>
      <c r="N43" s="8">
        <v>-1026824</v>
      </c>
      <c r="O43" s="8">
        <v>-1130889</v>
      </c>
      <c r="P43" s="8">
        <v>-526140</v>
      </c>
      <c r="Q43" s="9">
        <v>-887310</v>
      </c>
      <c r="R43" s="29">
        <f t="shared" si="2"/>
        <v>-11029879</v>
      </c>
      <c r="S43" s="29">
        <f t="shared" si="3"/>
        <v>-2468526</v>
      </c>
      <c r="T43" s="23">
        <f t="shared" si="4"/>
        <v>-2683780</v>
      </c>
      <c r="U43" s="23">
        <f t="shared" si="5"/>
        <v>-3333234</v>
      </c>
      <c r="V43" s="30">
        <f t="shared" si="6"/>
        <v>-2544339</v>
      </c>
    </row>
    <row r="44" spans="1:22" x14ac:dyDescent="0.25">
      <c r="A44" s="37" t="str">
        <f t="shared" si="0"/>
        <v>2016 Consulting Expense</v>
      </c>
      <c r="B44" s="7" t="s">
        <v>21</v>
      </c>
      <c r="C44" s="37" t="str">
        <f t="shared" si="1"/>
        <v>2016 Actuals Consulting Expense</v>
      </c>
      <c r="D44" s="18">
        <v>2016</v>
      </c>
      <c r="E44" s="18" t="s">
        <v>16</v>
      </c>
      <c r="F44" s="8">
        <v>-1231645</v>
      </c>
      <c r="G44" s="8">
        <v>-1088760</v>
      </c>
      <c r="H44" s="8">
        <v>-892572</v>
      </c>
      <c r="I44" s="8">
        <v>-1033128</v>
      </c>
      <c r="J44" s="8">
        <v>-1048111</v>
      </c>
      <c r="K44" s="8">
        <v>-1490618</v>
      </c>
      <c r="L44" s="8">
        <v>-1380862</v>
      </c>
      <c r="M44" s="8">
        <v>-1524075</v>
      </c>
      <c r="N44" s="8">
        <v>-1466230</v>
      </c>
      <c r="O44" s="8">
        <v>-1289535</v>
      </c>
      <c r="P44" s="8">
        <v>-724095</v>
      </c>
      <c r="Q44" s="9">
        <v>-1163422</v>
      </c>
      <c r="R44" s="29">
        <f t="shared" si="2"/>
        <v>-14333053</v>
      </c>
      <c r="S44" s="29">
        <f t="shared" si="3"/>
        <v>-3212977</v>
      </c>
      <c r="T44" s="23">
        <f t="shared" si="4"/>
        <v>-3571857</v>
      </c>
      <c r="U44" s="23">
        <f t="shared" si="5"/>
        <v>-4371167</v>
      </c>
      <c r="V44" s="30">
        <f t="shared" si="6"/>
        <v>-3177052</v>
      </c>
    </row>
    <row r="45" spans="1:22" x14ac:dyDescent="0.25">
      <c r="A45" s="37" t="str">
        <f t="shared" si="0"/>
        <v>2016 Software/Hardware Expense</v>
      </c>
      <c r="B45" s="7" t="s">
        <v>22</v>
      </c>
      <c r="C45" s="37" t="str">
        <f t="shared" si="1"/>
        <v>2016 Actuals Software/Hardware Expense</v>
      </c>
      <c r="D45" s="18">
        <v>2016</v>
      </c>
      <c r="E45" s="18" t="s">
        <v>16</v>
      </c>
      <c r="F45" s="8">
        <v>-1760584</v>
      </c>
      <c r="G45" s="8">
        <v>-1456013</v>
      </c>
      <c r="H45" s="8">
        <v>-1085771</v>
      </c>
      <c r="I45" s="8">
        <v>-1337440</v>
      </c>
      <c r="J45" s="8">
        <v>-1406326</v>
      </c>
      <c r="K45" s="8">
        <v>-2265055</v>
      </c>
      <c r="L45" s="8">
        <v>-1986127</v>
      </c>
      <c r="M45" s="8">
        <v>-2165067</v>
      </c>
      <c r="N45" s="8">
        <v>-1996836</v>
      </c>
      <c r="O45" s="8">
        <v>-1966531</v>
      </c>
      <c r="P45" s="8">
        <v>-1083014</v>
      </c>
      <c r="Q45" s="9">
        <v>-1464640</v>
      </c>
      <c r="R45" s="29">
        <f t="shared" si="2"/>
        <v>-19973404</v>
      </c>
      <c r="S45" s="29">
        <f t="shared" si="3"/>
        <v>-4302368</v>
      </c>
      <c r="T45" s="23">
        <f t="shared" si="4"/>
        <v>-5008821</v>
      </c>
      <c r="U45" s="23">
        <f t="shared" si="5"/>
        <v>-6148030</v>
      </c>
      <c r="V45" s="30">
        <f t="shared" si="6"/>
        <v>-4514185</v>
      </c>
    </row>
    <row r="46" spans="1:22" x14ac:dyDescent="0.25">
      <c r="A46" s="37" t="str">
        <f t="shared" si="0"/>
        <v>2016 Marketing Expense</v>
      </c>
      <c r="B46" s="7" t="s">
        <v>23</v>
      </c>
      <c r="C46" s="37" t="str">
        <f t="shared" si="1"/>
        <v>2016 Actuals Marketing Expense</v>
      </c>
      <c r="D46" s="18">
        <v>2016</v>
      </c>
      <c r="E46" s="18" t="s">
        <v>16</v>
      </c>
      <c r="F46" s="8">
        <v>-487605</v>
      </c>
      <c r="G46" s="8">
        <v>-439530</v>
      </c>
      <c r="H46" s="8">
        <v>-319530</v>
      </c>
      <c r="I46" s="8">
        <v>-366239</v>
      </c>
      <c r="J46" s="8">
        <v>-365704</v>
      </c>
      <c r="K46" s="8">
        <v>-593597</v>
      </c>
      <c r="L46" s="8">
        <v>-645238</v>
      </c>
      <c r="M46" s="8">
        <v>-588468</v>
      </c>
      <c r="N46" s="8">
        <v>-508124</v>
      </c>
      <c r="O46" s="8">
        <v>-492524</v>
      </c>
      <c r="P46" s="8">
        <v>-271335</v>
      </c>
      <c r="Q46" s="9">
        <v>-390316</v>
      </c>
      <c r="R46" s="29">
        <f t="shared" si="2"/>
        <v>-5468210</v>
      </c>
      <c r="S46" s="29">
        <f t="shared" si="3"/>
        <v>-1246665</v>
      </c>
      <c r="T46" s="23">
        <f t="shared" si="4"/>
        <v>-1325540</v>
      </c>
      <c r="U46" s="23">
        <f t="shared" si="5"/>
        <v>-1741830</v>
      </c>
      <c r="V46" s="30">
        <f t="shared" si="6"/>
        <v>-1154175</v>
      </c>
    </row>
    <row r="47" spans="1:22" x14ac:dyDescent="0.25">
      <c r="A47" s="37" t="str">
        <f t="shared" si="0"/>
        <v>2017 Sales</v>
      </c>
      <c r="B47" s="16" t="s">
        <v>15</v>
      </c>
      <c r="C47" s="132" t="str">
        <f t="shared" si="1"/>
        <v>2017 Actuals Sales</v>
      </c>
      <c r="D47" s="18">
        <v>2017</v>
      </c>
      <c r="E47" s="18" t="s">
        <v>16</v>
      </c>
      <c r="F47" s="8">
        <v>21742743.600000001</v>
      </c>
      <c r="G47" s="8">
        <v>17304656.670000002</v>
      </c>
      <c r="H47" s="8">
        <v>23616378.239999998</v>
      </c>
      <c r="I47" s="8">
        <v>26264400.710000001</v>
      </c>
      <c r="J47" s="8">
        <v>14211778.43</v>
      </c>
      <c r="K47" s="8">
        <v>19720180.699999999</v>
      </c>
      <c r="L47" s="8">
        <v>19403121.399999999</v>
      </c>
      <c r="M47" s="8">
        <v>15043709.460000001</v>
      </c>
      <c r="N47" s="8">
        <v>25345965.690000001</v>
      </c>
      <c r="O47" s="8">
        <v>11352579.4</v>
      </c>
      <c r="P47" s="8">
        <v>19280361.879999999</v>
      </c>
      <c r="Q47" s="9">
        <v>27925153.48</v>
      </c>
      <c r="R47" s="29">
        <f t="shared" si="2"/>
        <v>241211029.66</v>
      </c>
      <c r="S47" s="29">
        <f t="shared" si="3"/>
        <v>62663778.510000005</v>
      </c>
      <c r="T47" s="23">
        <f t="shared" si="4"/>
        <v>60196359.840000004</v>
      </c>
      <c r="U47" s="23">
        <f t="shared" si="5"/>
        <v>59792796.549999997</v>
      </c>
      <c r="V47" s="30">
        <f t="shared" si="6"/>
        <v>58558094.760000005</v>
      </c>
    </row>
    <row r="48" spans="1:22" x14ac:dyDescent="0.25">
      <c r="A48" s="37" t="str">
        <f t="shared" si="0"/>
        <v>2017 COGS</v>
      </c>
      <c r="B48" s="7" t="s">
        <v>34</v>
      </c>
      <c r="C48" s="37" t="str">
        <f t="shared" si="1"/>
        <v>2017 Actuals COGS</v>
      </c>
      <c r="D48" s="18">
        <v>2017</v>
      </c>
      <c r="E48" s="18" t="s">
        <v>16</v>
      </c>
      <c r="F48" s="8">
        <v>-9733073</v>
      </c>
      <c r="G48" s="8">
        <v>-7319150</v>
      </c>
      <c r="H48" s="8">
        <v>-9538845</v>
      </c>
      <c r="I48" s="8">
        <v>-10780711</v>
      </c>
      <c r="J48" s="8">
        <v>-6715269</v>
      </c>
      <c r="K48" s="8">
        <v>-7919308</v>
      </c>
      <c r="L48" s="8">
        <v>-9007474</v>
      </c>
      <c r="M48" s="8">
        <v>-6627053</v>
      </c>
      <c r="N48" s="8">
        <v>-11225719</v>
      </c>
      <c r="O48" s="8">
        <v>-5419873</v>
      </c>
      <c r="P48" s="8">
        <v>-8415726</v>
      </c>
      <c r="Q48" s="9">
        <v>-11619625</v>
      </c>
      <c r="R48" s="29">
        <f t="shared" si="2"/>
        <v>-104321826</v>
      </c>
      <c r="S48" s="29">
        <f t="shared" si="3"/>
        <v>-26591068</v>
      </c>
      <c r="T48" s="23">
        <f t="shared" si="4"/>
        <v>-25415288</v>
      </c>
      <c r="U48" s="23">
        <f t="shared" si="5"/>
        <v>-26860246</v>
      </c>
      <c r="V48" s="30">
        <f t="shared" si="6"/>
        <v>-25455224</v>
      </c>
    </row>
    <row r="49" spans="1:22" x14ac:dyDescent="0.25">
      <c r="A49" s="37" t="str">
        <f t="shared" si="0"/>
        <v>2017 Commissions Expense</v>
      </c>
      <c r="B49" s="7" t="s">
        <v>17</v>
      </c>
      <c r="C49" s="37" t="str">
        <f t="shared" si="1"/>
        <v>2017 Actuals Commissions Expense</v>
      </c>
      <c r="D49" s="18">
        <v>2017</v>
      </c>
      <c r="E49" s="18" t="s">
        <v>16</v>
      </c>
      <c r="F49" s="8">
        <v>-997908</v>
      </c>
      <c r="G49" s="8">
        <v>-722794</v>
      </c>
      <c r="H49" s="8">
        <v>-1156017</v>
      </c>
      <c r="I49" s="8">
        <v>-1160645</v>
      </c>
      <c r="J49" s="8">
        <v>-583037</v>
      </c>
      <c r="K49" s="8">
        <v>-890851</v>
      </c>
      <c r="L49" s="8">
        <v>-877624</v>
      </c>
      <c r="M49" s="8">
        <v>-615771</v>
      </c>
      <c r="N49" s="8">
        <v>-1070440</v>
      </c>
      <c r="O49" s="8">
        <v>-566381</v>
      </c>
      <c r="P49" s="8">
        <v>-923583</v>
      </c>
      <c r="Q49" s="9">
        <v>-1264328</v>
      </c>
      <c r="R49" s="29">
        <f t="shared" si="2"/>
        <v>-10829379</v>
      </c>
      <c r="S49" s="29">
        <f t="shared" si="3"/>
        <v>-2876719</v>
      </c>
      <c r="T49" s="23">
        <f t="shared" si="4"/>
        <v>-2634533</v>
      </c>
      <c r="U49" s="23">
        <f t="shared" si="5"/>
        <v>-2563835</v>
      </c>
      <c r="V49" s="30">
        <f t="shared" si="6"/>
        <v>-2754292</v>
      </c>
    </row>
    <row r="50" spans="1:22" x14ac:dyDescent="0.25">
      <c r="A50" s="37" t="str">
        <f t="shared" si="0"/>
        <v>2017 Payroll Expense</v>
      </c>
      <c r="B50" s="7" t="s">
        <v>18</v>
      </c>
      <c r="C50" s="37" t="str">
        <f t="shared" si="1"/>
        <v>2017 Actuals Payroll Expense</v>
      </c>
      <c r="D50" s="18">
        <v>2017</v>
      </c>
      <c r="E50" s="18" t="s">
        <v>16</v>
      </c>
      <c r="F50" s="8">
        <v>-2275216</v>
      </c>
      <c r="G50" s="8">
        <v>-1900402</v>
      </c>
      <c r="H50" s="8">
        <v>-2684124</v>
      </c>
      <c r="I50" s="8">
        <v>-2725657</v>
      </c>
      <c r="J50" s="8">
        <v>-1725315</v>
      </c>
      <c r="K50" s="8">
        <v>-2308388</v>
      </c>
      <c r="L50" s="8">
        <v>-2313499</v>
      </c>
      <c r="M50" s="8">
        <v>-1869056</v>
      </c>
      <c r="N50" s="8">
        <v>-2612036</v>
      </c>
      <c r="O50" s="8">
        <v>-1255719</v>
      </c>
      <c r="P50" s="8">
        <v>-2164141</v>
      </c>
      <c r="Q50" s="9">
        <v>-3382499</v>
      </c>
      <c r="R50" s="29">
        <f t="shared" si="2"/>
        <v>-27216052</v>
      </c>
      <c r="S50" s="29">
        <f t="shared" si="3"/>
        <v>-6859742</v>
      </c>
      <c r="T50" s="23">
        <f t="shared" si="4"/>
        <v>-6759360</v>
      </c>
      <c r="U50" s="23">
        <f t="shared" si="5"/>
        <v>-6794591</v>
      </c>
      <c r="V50" s="30">
        <f t="shared" si="6"/>
        <v>-6802359</v>
      </c>
    </row>
    <row r="51" spans="1:22" x14ac:dyDescent="0.25">
      <c r="A51" s="37" t="str">
        <f t="shared" si="0"/>
        <v>2017 Travel &amp; Entertainment Expense</v>
      </c>
      <c r="B51" s="7" t="s">
        <v>19</v>
      </c>
      <c r="C51" s="37" t="str">
        <f t="shared" si="1"/>
        <v>2017 Actuals Travel &amp; Entertainment Expense</v>
      </c>
      <c r="D51" s="18">
        <v>2017</v>
      </c>
      <c r="E51" s="18" t="s">
        <v>16</v>
      </c>
      <c r="F51" s="8">
        <v>-241370</v>
      </c>
      <c r="G51" s="8">
        <v>-201204</v>
      </c>
      <c r="H51" s="8">
        <v>-254089</v>
      </c>
      <c r="I51" s="8">
        <v>-316915</v>
      </c>
      <c r="J51" s="8">
        <v>-155835</v>
      </c>
      <c r="K51" s="8">
        <v>-207613</v>
      </c>
      <c r="L51" s="8">
        <v>-207549</v>
      </c>
      <c r="M51" s="8">
        <v>-168184</v>
      </c>
      <c r="N51" s="8">
        <v>-254264</v>
      </c>
      <c r="O51" s="8">
        <v>-130948</v>
      </c>
      <c r="P51" s="8">
        <v>-192816</v>
      </c>
      <c r="Q51" s="9">
        <v>-345557</v>
      </c>
      <c r="R51" s="29">
        <f t="shared" si="2"/>
        <v>-2676344</v>
      </c>
      <c r="S51" s="29">
        <f t="shared" si="3"/>
        <v>-696663</v>
      </c>
      <c r="T51" s="23">
        <f t="shared" si="4"/>
        <v>-680363</v>
      </c>
      <c r="U51" s="23">
        <f t="shared" si="5"/>
        <v>-629997</v>
      </c>
      <c r="V51" s="30">
        <f t="shared" si="6"/>
        <v>-669321</v>
      </c>
    </row>
    <row r="52" spans="1:22" x14ac:dyDescent="0.25">
      <c r="A52" s="37" t="str">
        <f t="shared" si="0"/>
        <v>2017 R&amp;D Expense</v>
      </c>
      <c r="B52" s="7" t="s">
        <v>20</v>
      </c>
      <c r="C52" s="37" t="str">
        <f t="shared" si="1"/>
        <v>2017 Actuals R&amp;D Expense</v>
      </c>
      <c r="D52" s="18">
        <v>2017</v>
      </c>
      <c r="E52" s="18" t="s">
        <v>16</v>
      </c>
      <c r="F52" s="8">
        <v>-981507</v>
      </c>
      <c r="G52" s="8">
        <v>-800779</v>
      </c>
      <c r="H52" s="8">
        <v>-1036791</v>
      </c>
      <c r="I52" s="8">
        <v>-1126434</v>
      </c>
      <c r="J52" s="8">
        <v>-689387</v>
      </c>
      <c r="K52" s="8">
        <v>-851864</v>
      </c>
      <c r="L52" s="8">
        <v>-847534</v>
      </c>
      <c r="M52" s="8">
        <v>-648186</v>
      </c>
      <c r="N52" s="8">
        <v>-1181485</v>
      </c>
      <c r="O52" s="8">
        <v>-521786</v>
      </c>
      <c r="P52" s="8">
        <v>-908073</v>
      </c>
      <c r="Q52" s="9">
        <v>-1316006</v>
      </c>
      <c r="R52" s="29">
        <f t="shared" si="2"/>
        <v>-10909832</v>
      </c>
      <c r="S52" s="29">
        <f t="shared" si="3"/>
        <v>-2819077</v>
      </c>
      <c r="T52" s="23">
        <f t="shared" si="4"/>
        <v>-2667685</v>
      </c>
      <c r="U52" s="23">
        <f t="shared" si="5"/>
        <v>-2677205</v>
      </c>
      <c r="V52" s="30">
        <f t="shared" si="6"/>
        <v>-2745865</v>
      </c>
    </row>
    <row r="53" spans="1:22" x14ac:dyDescent="0.25">
      <c r="A53" s="37" t="str">
        <f t="shared" si="0"/>
        <v>2017 Consulting Expense</v>
      </c>
      <c r="B53" s="7" t="s">
        <v>21</v>
      </c>
      <c r="C53" s="37" t="str">
        <f t="shared" si="1"/>
        <v>2017 Actuals Consulting Expense</v>
      </c>
      <c r="D53" s="18">
        <v>2017</v>
      </c>
      <c r="E53" s="18" t="s">
        <v>16</v>
      </c>
      <c r="F53" s="8">
        <v>-1260803</v>
      </c>
      <c r="G53" s="8">
        <v>-887301</v>
      </c>
      <c r="H53" s="8">
        <v>-1380264</v>
      </c>
      <c r="I53" s="8">
        <v>-1318077</v>
      </c>
      <c r="J53" s="8">
        <v>-739907</v>
      </c>
      <c r="K53" s="8">
        <v>-1082894</v>
      </c>
      <c r="L53" s="8">
        <v>-1002999</v>
      </c>
      <c r="M53" s="8">
        <v>-928770</v>
      </c>
      <c r="N53" s="8">
        <v>-1457766</v>
      </c>
      <c r="O53" s="8">
        <v>-689135</v>
      </c>
      <c r="P53" s="8">
        <v>-1121473</v>
      </c>
      <c r="Q53" s="9">
        <v>-1741924</v>
      </c>
      <c r="R53" s="29">
        <f t="shared" si="2"/>
        <v>-13611313</v>
      </c>
      <c r="S53" s="29">
        <f t="shared" si="3"/>
        <v>-3528368</v>
      </c>
      <c r="T53" s="23">
        <f t="shared" si="4"/>
        <v>-3140878</v>
      </c>
      <c r="U53" s="23">
        <f t="shared" si="5"/>
        <v>-3389535</v>
      </c>
      <c r="V53" s="30">
        <f t="shared" si="6"/>
        <v>-3552532</v>
      </c>
    </row>
    <row r="54" spans="1:22" x14ac:dyDescent="0.25">
      <c r="A54" s="37" t="str">
        <f t="shared" si="0"/>
        <v>2017 Software/Hardware Expense</v>
      </c>
      <c r="B54" s="7" t="s">
        <v>22</v>
      </c>
      <c r="C54" s="37" t="str">
        <f t="shared" si="1"/>
        <v>2017 Actuals Software/Hardware Expense</v>
      </c>
      <c r="D54" s="18">
        <v>2017</v>
      </c>
      <c r="E54" s="18" t="s">
        <v>16</v>
      </c>
      <c r="F54" s="8">
        <v>-1775770</v>
      </c>
      <c r="G54" s="8">
        <v>-1442574</v>
      </c>
      <c r="H54" s="8">
        <v>-1726011</v>
      </c>
      <c r="I54" s="8">
        <v>-2270737</v>
      </c>
      <c r="J54" s="8">
        <v>-1088722</v>
      </c>
      <c r="K54" s="8">
        <v>-1586631</v>
      </c>
      <c r="L54" s="8">
        <v>-1464615</v>
      </c>
      <c r="M54" s="8">
        <v>-1067050</v>
      </c>
      <c r="N54" s="8">
        <v>-2213537</v>
      </c>
      <c r="O54" s="8">
        <v>-960228</v>
      </c>
      <c r="P54" s="8">
        <v>-1352565</v>
      </c>
      <c r="Q54" s="9">
        <v>-2173270</v>
      </c>
      <c r="R54" s="29">
        <f t="shared" si="2"/>
        <v>-19121710</v>
      </c>
      <c r="S54" s="29">
        <f t="shared" si="3"/>
        <v>-4944355</v>
      </c>
      <c r="T54" s="23">
        <f t="shared" si="4"/>
        <v>-4946090</v>
      </c>
      <c r="U54" s="23">
        <f t="shared" si="5"/>
        <v>-4745202</v>
      </c>
      <c r="V54" s="30">
        <f t="shared" si="6"/>
        <v>-4486063</v>
      </c>
    </row>
    <row r="55" spans="1:22" x14ac:dyDescent="0.25">
      <c r="A55" s="37" t="str">
        <f t="shared" si="0"/>
        <v>2017 Marketing Expense</v>
      </c>
      <c r="B55" s="7" t="s">
        <v>23</v>
      </c>
      <c r="C55" s="37" t="str">
        <f t="shared" si="1"/>
        <v>2017 Actuals Marketing Expense</v>
      </c>
      <c r="D55" s="18">
        <v>2017</v>
      </c>
      <c r="E55" s="18" t="s">
        <v>16</v>
      </c>
      <c r="F55" s="8">
        <v>-483691</v>
      </c>
      <c r="G55" s="8">
        <v>-372543</v>
      </c>
      <c r="H55" s="8">
        <v>-545725</v>
      </c>
      <c r="I55" s="8">
        <v>-535319</v>
      </c>
      <c r="J55" s="8">
        <v>-297206</v>
      </c>
      <c r="K55" s="8">
        <v>-401618</v>
      </c>
      <c r="L55" s="8">
        <v>-417457</v>
      </c>
      <c r="M55" s="8">
        <v>-362171</v>
      </c>
      <c r="N55" s="8">
        <v>-556569</v>
      </c>
      <c r="O55" s="8">
        <v>-247191</v>
      </c>
      <c r="P55" s="8">
        <v>-397019</v>
      </c>
      <c r="Q55" s="9">
        <v>-605393</v>
      </c>
      <c r="R55" s="29">
        <f t="shared" si="2"/>
        <v>-5221902</v>
      </c>
      <c r="S55" s="29">
        <f t="shared" si="3"/>
        <v>-1401959</v>
      </c>
      <c r="T55" s="23">
        <f t="shared" si="4"/>
        <v>-1234143</v>
      </c>
      <c r="U55" s="23">
        <f t="shared" si="5"/>
        <v>-1336197</v>
      </c>
      <c r="V55" s="30">
        <f t="shared" si="6"/>
        <v>-1249603</v>
      </c>
    </row>
    <row r="56" spans="1:22" x14ac:dyDescent="0.25">
      <c r="A56" s="37" t="str">
        <f t="shared" si="0"/>
        <v>2018 Sales</v>
      </c>
      <c r="B56" s="16" t="s">
        <v>15</v>
      </c>
      <c r="C56" s="132" t="str">
        <f t="shared" si="1"/>
        <v>2018 Actuals Sales</v>
      </c>
      <c r="D56" s="18">
        <v>2018</v>
      </c>
      <c r="E56" s="18" t="s">
        <v>16</v>
      </c>
      <c r="F56" s="8">
        <v>16608829.75</v>
      </c>
      <c r="G56" s="8">
        <v>16832239.199999999</v>
      </c>
      <c r="H56" s="8">
        <v>25266356.359999999</v>
      </c>
      <c r="I56" s="8">
        <v>10998962.6</v>
      </c>
      <c r="J56" s="8">
        <v>16990836.280000001</v>
      </c>
      <c r="K56" s="8">
        <v>25404488.98</v>
      </c>
      <c r="L56" s="8">
        <v>14149978.699999999</v>
      </c>
      <c r="M56" s="8">
        <v>23991780</v>
      </c>
      <c r="N56" s="8">
        <v>16304664.74</v>
      </c>
      <c r="O56" s="8">
        <v>19979670.600000001</v>
      </c>
      <c r="P56" s="8">
        <v>23148576.640000001</v>
      </c>
      <c r="Q56" s="9">
        <v>19739760.600000001</v>
      </c>
      <c r="R56" s="29">
        <f t="shared" si="2"/>
        <v>229416144.45000002</v>
      </c>
      <c r="S56" s="29">
        <f t="shared" si="3"/>
        <v>58707425.310000002</v>
      </c>
      <c r="T56" s="23">
        <f t="shared" si="4"/>
        <v>53394287.859999999</v>
      </c>
      <c r="U56" s="23">
        <f t="shared" si="5"/>
        <v>54446423.440000005</v>
      </c>
      <c r="V56" s="30">
        <f t="shared" si="6"/>
        <v>62868007.840000004</v>
      </c>
    </row>
    <row r="57" spans="1:22" x14ac:dyDescent="0.25">
      <c r="A57" s="37" t="str">
        <f t="shared" si="0"/>
        <v>2018 COGS</v>
      </c>
      <c r="B57" s="7" t="s">
        <v>34</v>
      </c>
      <c r="C57" s="37" t="str">
        <f t="shared" si="1"/>
        <v>2018 Actuals COGS</v>
      </c>
      <c r="D57" s="18">
        <v>2018</v>
      </c>
      <c r="E57" s="18" t="s">
        <v>16</v>
      </c>
      <c r="F57" s="8">
        <v>-8236344</v>
      </c>
      <c r="G57" s="8">
        <v>-8042610</v>
      </c>
      <c r="H57" s="8">
        <v>-12117107</v>
      </c>
      <c r="I57" s="8">
        <v>-4675346</v>
      </c>
      <c r="J57" s="8">
        <v>-7100562</v>
      </c>
      <c r="K57" s="8">
        <v>-12588151</v>
      </c>
      <c r="L57" s="8">
        <v>-6704128</v>
      </c>
      <c r="M57" s="8">
        <v>-9779210</v>
      </c>
      <c r="N57" s="8">
        <v>-6610140</v>
      </c>
      <c r="O57" s="8">
        <v>-8562162</v>
      </c>
      <c r="P57" s="8">
        <v>-10079814</v>
      </c>
      <c r="Q57" s="9">
        <v>-9396643</v>
      </c>
      <c r="R57" s="29">
        <f t="shared" si="2"/>
        <v>-103892217</v>
      </c>
      <c r="S57" s="29">
        <f t="shared" si="3"/>
        <v>-28396061</v>
      </c>
      <c r="T57" s="23">
        <f t="shared" si="4"/>
        <v>-24364059</v>
      </c>
      <c r="U57" s="23">
        <f t="shared" si="5"/>
        <v>-23093478</v>
      </c>
      <c r="V57" s="30">
        <f t="shared" si="6"/>
        <v>-28038619</v>
      </c>
    </row>
    <row r="58" spans="1:22" x14ac:dyDescent="0.25">
      <c r="A58" s="37" t="str">
        <f t="shared" si="0"/>
        <v>2018 Commissions Expense</v>
      </c>
      <c r="B58" s="7" t="s">
        <v>17</v>
      </c>
      <c r="C58" s="37" t="str">
        <f t="shared" si="1"/>
        <v>2018 Actuals Commissions Expense</v>
      </c>
      <c r="D58" s="18">
        <v>2018</v>
      </c>
      <c r="E58" s="18" t="s">
        <v>16</v>
      </c>
      <c r="F58" s="8">
        <v>-766208</v>
      </c>
      <c r="G58" s="8">
        <v>-784700</v>
      </c>
      <c r="H58" s="8">
        <v>-1035635</v>
      </c>
      <c r="I58" s="8">
        <v>-524075</v>
      </c>
      <c r="J58" s="8">
        <v>-787515</v>
      </c>
      <c r="K58" s="8">
        <v>-1019983</v>
      </c>
      <c r="L58" s="8">
        <v>-649211</v>
      </c>
      <c r="M58" s="8">
        <v>-1055240</v>
      </c>
      <c r="N58" s="8">
        <v>-806585</v>
      </c>
      <c r="O58" s="8">
        <v>-868806</v>
      </c>
      <c r="P58" s="8">
        <v>-1036773</v>
      </c>
      <c r="Q58" s="9">
        <v>-865246</v>
      </c>
      <c r="R58" s="29">
        <f t="shared" si="2"/>
        <v>-10199977</v>
      </c>
      <c r="S58" s="29">
        <f t="shared" si="3"/>
        <v>-2586543</v>
      </c>
      <c r="T58" s="23">
        <f t="shared" si="4"/>
        <v>-2331573</v>
      </c>
      <c r="U58" s="23">
        <f t="shared" si="5"/>
        <v>-2511036</v>
      </c>
      <c r="V58" s="30">
        <f t="shared" si="6"/>
        <v>-2770825</v>
      </c>
    </row>
    <row r="59" spans="1:22" x14ac:dyDescent="0.25">
      <c r="A59" s="37" t="str">
        <f t="shared" si="0"/>
        <v>2018 Payroll Expense</v>
      </c>
      <c r="B59" s="7" t="s">
        <v>18</v>
      </c>
      <c r="C59" s="37" t="str">
        <f t="shared" si="1"/>
        <v>2018 Actuals Payroll Expense</v>
      </c>
      <c r="D59" s="18">
        <v>2018</v>
      </c>
      <c r="E59" s="18" t="s">
        <v>16</v>
      </c>
      <c r="F59" s="8">
        <v>-1687861</v>
      </c>
      <c r="G59" s="8">
        <v>-1908906</v>
      </c>
      <c r="H59" s="8">
        <v>-3099461</v>
      </c>
      <c r="I59" s="8">
        <v>-1158181</v>
      </c>
      <c r="J59" s="8">
        <v>-2113347</v>
      </c>
      <c r="K59" s="8">
        <v>-3001777</v>
      </c>
      <c r="L59" s="8">
        <v>-1491212</v>
      </c>
      <c r="M59" s="8">
        <v>-2710528</v>
      </c>
      <c r="N59" s="8">
        <v>-1710242</v>
      </c>
      <c r="O59" s="8">
        <v>-2053307</v>
      </c>
      <c r="P59" s="8">
        <v>-2397887</v>
      </c>
      <c r="Q59" s="9">
        <v>-2075965</v>
      </c>
      <c r="R59" s="29">
        <f t="shared" si="2"/>
        <v>-25408674</v>
      </c>
      <c r="S59" s="29">
        <f t="shared" si="3"/>
        <v>-6696228</v>
      </c>
      <c r="T59" s="23">
        <f t="shared" si="4"/>
        <v>-6273305</v>
      </c>
      <c r="U59" s="23">
        <f t="shared" si="5"/>
        <v>-5911982</v>
      </c>
      <c r="V59" s="30">
        <f t="shared" si="6"/>
        <v>-6527159</v>
      </c>
    </row>
    <row r="60" spans="1:22" x14ac:dyDescent="0.25">
      <c r="A60" s="37" t="str">
        <f t="shared" si="0"/>
        <v>2018 Travel &amp; Entertainment Expense</v>
      </c>
      <c r="B60" s="7" t="s">
        <v>19</v>
      </c>
      <c r="C60" s="37" t="str">
        <f t="shared" si="1"/>
        <v>2018 Actuals Travel &amp; Entertainment Expense</v>
      </c>
      <c r="D60" s="18">
        <v>2018</v>
      </c>
      <c r="E60" s="18" t="s">
        <v>16</v>
      </c>
      <c r="F60" s="8">
        <v>-178587</v>
      </c>
      <c r="G60" s="8">
        <v>-177141</v>
      </c>
      <c r="H60" s="8">
        <v>-265218</v>
      </c>
      <c r="I60" s="8">
        <v>-116156</v>
      </c>
      <c r="J60" s="8">
        <v>-182402</v>
      </c>
      <c r="K60" s="8">
        <v>-286611</v>
      </c>
      <c r="L60" s="8">
        <v>-172955</v>
      </c>
      <c r="M60" s="8">
        <v>-254330</v>
      </c>
      <c r="N60" s="8">
        <v>-201909</v>
      </c>
      <c r="O60" s="8">
        <v>-219276</v>
      </c>
      <c r="P60" s="8">
        <v>-272949</v>
      </c>
      <c r="Q60" s="9">
        <v>-226471</v>
      </c>
      <c r="R60" s="29">
        <f t="shared" si="2"/>
        <v>-2554005</v>
      </c>
      <c r="S60" s="29">
        <f t="shared" si="3"/>
        <v>-620946</v>
      </c>
      <c r="T60" s="23">
        <f t="shared" si="4"/>
        <v>-585169</v>
      </c>
      <c r="U60" s="23">
        <f t="shared" si="5"/>
        <v>-629194</v>
      </c>
      <c r="V60" s="30">
        <f t="shared" si="6"/>
        <v>-718696</v>
      </c>
    </row>
    <row r="61" spans="1:22" x14ac:dyDescent="0.25">
      <c r="A61" s="37" t="str">
        <f t="shared" si="0"/>
        <v>2018 R&amp;D Expense</v>
      </c>
      <c r="B61" s="7" t="s">
        <v>20</v>
      </c>
      <c r="C61" s="37" t="str">
        <f t="shared" si="1"/>
        <v>2018 Actuals R&amp;D Expense</v>
      </c>
      <c r="D61" s="18">
        <v>2018</v>
      </c>
      <c r="E61" s="18" t="s">
        <v>16</v>
      </c>
      <c r="F61" s="8">
        <v>-822885</v>
      </c>
      <c r="G61" s="8">
        <v>-719356</v>
      </c>
      <c r="H61" s="8">
        <v>-1228124</v>
      </c>
      <c r="I61" s="8">
        <v>-506867</v>
      </c>
      <c r="J61" s="8">
        <v>-775835</v>
      </c>
      <c r="K61" s="8">
        <v>-1025959</v>
      </c>
      <c r="L61" s="8">
        <v>-702957</v>
      </c>
      <c r="M61" s="8">
        <v>-989842</v>
      </c>
      <c r="N61" s="8">
        <v>-748322</v>
      </c>
      <c r="O61" s="8">
        <v>-838544</v>
      </c>
      <c r="P61" s="8">
        <v>-1076008</v>
      </c>
      <c r="Q61" s="9">
        <v>-878808</v>
      </c>
      <c r="R61" s="29">
        <f t="shared" si="2"/>
        <v>-10313507</v>
      </c>
      <c r="S61" s="29">
        <f t="shared" si="3"/>
        <v>-2770365</v>
      </c>
      <c r="T61" s="23">
        <f t="shared" si="4"/>
        <v>-2308661</v>
      </c>
      <c r="U61" s="23">
        <f t="shared" si="5"/>
        <v>-2441121</v>
      </c>
      <c r="V61" s="30">
        <f t="shared" si="6"/>
        <v>-2793360</v>
      </c>
    </row>
    <row r="62" spans="1:22" x14ac:dyDescent="0.25">
      <c r="A62" s="37" t="str">
        <f t="shared" si="0"/>
        <v>2018 Consulting Expense</v>
      </c>
      <c r="B62" s="7" t="s">
        <v>21</v>
      </c>
      <c r="C62" s="37" t="str">
        <f t="shared" si="1"/>
        <v>2018 Actuals Consulting Expense</v>
      </c>
      <c r="D62" s="18">
        <v>2018</v>
      </c>
      <c r="E62" s="18" t="s">
        <v>16</v>
      </c>
      <c r="F62" s="8">
        <v>-878445</v>
      </c>
      <c r="G62" s="8">
        <v>-1015003</v>
      </c>
      <c r="H62" s="8">
        <v>-1544184</v>
      </c>
      <c r="I62" s="8">
        <v>-624903</v>
      </c>
      <c r="J62" s="8">
        <v>-981395</v>
      </c>
      <c r="K62" s="8">
        <v>-1409322</v>
      </c>
      <c r="L62" s="8">
        <v>-769986</v>
      </c>
      <c r="M62" s="8">
        <v>-1360544</v>
      </c>
      <c r="N62" s="8">
        <v>-823428</v>
      </c>
      <c r="O62" s="8">
        <v>-1191494</v>
      </c>
      <c r="P62" s="8">
        <v>-1337302</v>
      </c>
      <c r="Q62" s="9">
        <v>-1224978</v>
      </c>
      <c r="R62" s="29">
        <f t="shared" si="2"/>
        <v>-13160984</v>
      </c>
      <c r="S62" s="29">
        <f t="shared" si="3"/>
        <v>-3437632</v>
      </c>
      <c r="T62" s="23">
        <f t="shared" si="4"/>
        <v>-3015620</v>
      </c>
      <c r="U62" s="23">
        <f t="shared" si="5"/>
        <v>-2953958</v>
      </c>
      <c r="V62" s="30">
        <f t="shared" si="6"/>
        <v>-3753774</v>
      </c>
    </row>
    <row r="63" spans="1:22" x14ac:dyDescent="0.25">
      <c r="A63" s="37" t="str">
        <f t="shared" si="0"/>
        <v>2018 Software/Hardware Expense</v>
      </c>
      <c r="B63" s="7" t="s">
        <v>22</v>
      </c>
      <c r="C63" s="37" t="str">
        <f t="shared" si="1"/>
        <v>2018 Actuals Software/Hardware Expense</v>
      </c>
      <c r="D63" s="18">
        <v>2018</v>
      </c>
      <c r="E63" s="18" t="s">
        <v>16</v>
      </c>
      <c r="F63" s="8">
        <v>-1383309</v>
      </c>
      <c r="G63" s="8">
        <v>-1184231</v>
      </c>
      <c r="H63" s="8">
        <v>-2046108</v>
      </c>
      <c r="I63" s="8">
        <v>-895975</v>
      </c>
      <c r="J63" s="8">
        <v>-1219125</v>
      </c>
      <c r="K63" s="8">
        <v>-2071773</v>
      </c>
      <c r="L63" s="8">
        <v>-1049534</v>
      </c>
      <c r="M63" s="8">
        <v>-1731716</v>
      </c>
      <c r="N63" s="8">
        <v>-1319856</v>
      </c>
      <c r="O63" s="8">
        <v>-1570667</v>
      </c>
      <c r="P63" s="8">
        <v>-1745114</v>
      </c>
      <c r="Q63" s="9">
        <v>-1554713</v>
      </c>
      <c r="R63" s="29">
        <f t="shared" si="2"/>
        <v>-17772121</v>
      </c>
      <c r="S63" s="29">
        <f t="shared" si="3"/>
        <v>-4613648</v>
      </c>
      <c r="T63" s="23">
        <f t="shared" si="4"/>
        <v>-4186873</v>
      </c>
      <c r="U63" s="23">
        <f t="shared" si="5"/>
        <v>-4101106</v>
      </c>
      <c r="V63" s="30">
        <f t="shared" si="6"/>
        <v>-4870494</v>
      </c>
    </row>
    <row r="64" spans="1:22" x14ac:dyDescent="0.25">
      <c r="A64" s="37" t="str">
        <f t="shared" si="0"/>
        <v>2018 Marketing Expense</v>
      </c>
      <c r="B64" s="7" t="s">
        <v>23</v>
      </c>
      <c r="C64" s="37" t="str">
        <f t="shared" si="1"/>
        <v>2018 Actuals Marketing Expense</v>
      </c>
      <c r="D64" s="18">
        <v>2018</v>
      </c>
      <c r="E64" s="18" t="s">
        <v>16</v>
      </c>
      <c r="F64" s="8">
        <v>-372008</v>
      </c>
      <c r="G64" s="8">
        <v>-360544</v>
      </c>
      <c r="H64" s="8">
        <v>-570065</v>
      </c>
      <c r="I64" s="8">
        <v>-262663</v>
      </c>
      <c r="J64" s="8">
        <v>-396364</v>
      </c>
      <c r="K64" s="8">
        <v>-550129</v>
      </c>
      <c r="L64" s="8">
        <v>-307493</v>
      </c>
      <c r="M64" s="8">
        <v>-531975</v>
      </c>
      <c r="N64" s="8">
        <v>-399869</v>
      </c>
      <c r="O64" s="8">
        <v>-436804</v>
      </c>
      <c r="P64" s="8">
        <v>-506081</v>
      </c>
      <c r="Q64" s="9">
        <v>-467366</v>
      </c>
      <c r="R64" s="29">
        <f t="shared" si="2"/>
        <v>-5161361</v>
      </c>
      <c r="S64" s="29">
        <f t="shared" si="3"/>
        <v>-1302617</v>
      </c>
      <c r="T64" s="23">
        <f t="shared" si="4"/>
        <v>-1209156</v>
      </c>
      <c r="U64" s="23">
        <f t="shared" si="5"/>
        <v>-1239337</v>
      </c>
      <c r="V64" s="30">
        <f t="shared" si="6"/>
        <v>-1410251</v>
      </c>
    </row>
    <row r="65" spans="1:22" x14ac:dyDescent="0.25">
      <c r="A65" s="37" t="str">
        <f t="shared" si="0"/>
        <v>2019 Sales</v>
      </c>
      <c r="B65" s="16" t="s">
        <v>15</v>
      </c>
      <c r="C65" s="132" t="str">
        <f t="shared" si="1"/>
        <v>2019 Actuals Sales</v>
      </c>
      <c r="D65" s="18">
        <v>2019</v>
      </c>
      <c r="E65" s="18" t="s">
        <v>16</v>
      </c>
      <c r="F65" s="8">
        <v>20663670.5</v>
      </c>
      <c r="G65" s="8">
        <v>20950070.399999999</v>
      </c>
      <c r="H65" s="8">
        <v>25680201.899999999</v>
      </c>
      <c r="I65" s="8">
        <v>22993932</v>
      </c>
      <c r="J65" s="8">
        <v>16771401.57</v>
      </c>
      <c r="K65" s="8">
        <v>14537190.199999999</v>
      </c>
      <c r="L65" s="8">
        <v>22311821.559999999</v>
      </c>
      <c r="M65" s="8">
        <v>15775784.640000001</v>
      </c>
      <c r="N65" s="8">
        <v>15442950.49</v>
      </c>
      <c r="O65" s="8">
        <v>18093571.02</v>
      </c>
      <c r="P65" s="8">
        <v>16933143.260000002</v>
      </c>
      <c r="Q65" s="9">
        <v>14693275.59</v>
      </c>
      <c r="R65" s="29">
        <f t="shared" si="2"/>
        <v>224847013.13</v>
      </c>
      <c r="S65" s="29">
        <f t="shared" si="3"/>
        <v>67293942.799999997</v>
      </c>
      <c r="T65" s="23">
        <f t="shared" si="4"/>
        <v>54302523.769999996</v>
      </c>
      <c r="U65" s="23">
        <f t="shared" si="5"/>
        <v>53530556.690000005</v>
      </c>
      <c r="V65" s="30">
        <f t="shared" si="6"/>
        <v>49719989.870000005</v>
      </c>
    </row>
    <row r="66" spans="1:22" x14ac:dyDescent="0.25">
      <c r="A66" s="37" t="str">
        <f t="shared" si="0"/>
        <v>2019 COGS</v>
      </c>
      <c r="B66" s="7" t="s">
        <v>34</v>
      </c>
      <c r="C66" s="37" t="str">
        <f t="shared" si="1"/>
        <v>2019 Actuals COGS</v>
      </c>
      <c r="D66" s="18">
        <v>2019</v>
      </c>
      <c r="E66" s="18" t="s">
        <v>16</v>
      </c>
      <c r="F66" s="8">
        <v>-8508915</v>
      </c>
      <c r="G66" s="8">
        <v>-10304746</v>
      </c>
      <c r="H66" s="8">
        <v>-12517373</v>
      </c>
      <c r="I66" s="8">
        <v>-9859051</v>
      </c>
      <c r="J66" s="8">
        <v>-6865712</v>
      </c>
      <c r="K66" s="8">
        <v>-6772562</v>
      </c>
      <c r="L66" s="8">
        <v>-8950825</v>
      </c>
      <c r="M66" s="8">
        <v>-7590684</v>
      </c>
      <c r="N66" s="8">
        <v>-7132203</v>
      </c>
      <c r="O66" s="8">
        <v>-7942616</v>
      </c>
      <c r="P66" s="8">
        <v>-7868673</v>
      </c>
      <c r="Q66" s="9">
        <v>-6027183</v>
      </c>
      <c r="R66" s="29">
        <f t="shared" si="2"/>
        <v>-100340543</v>
      </c>
      <c r="S66" s="29">
        <f t="shared" si="3"/>
        <v>-31331034</v>
      </c>
      <c r="T66" s="23">
        <f t="shared" si="4"/>
        <v>-23497325</v>
      </c>
      <c r="U66" s="23">
        <f t="shared" si="5"/>
        <v>-23673712</v>
      </c>
      <c r="V66" s="30">
        <f t="shared" si="6"/>
        <v>-21838472</v>
      </c>
    </row>
    <row r="67" spans="1:22" x14ac:dyDescent="0.25">
      <c r="A67" s="37" t="str">
        <f t="shared" ref="A67:A118" si="7">CONCATENATE(D67," ",B67)</f>
        <v>2019 Commissions Expense</v>
      </c>
      <c r="B67" s="7" t="s">
        <v>17</v>
      </c>
      <c r="C67" s="37" t="str">
        <f t="shared" ref="C67:C118" si="8">CONCATENATE(D67," ",E67," ",B67)</f>
        <v>2019 Actuals Commissions Expense</v>
      </c>
      <c r="D67" s="18">
        <v>2019</v>
      </c>
      <c r="E67" s="18" t="s">
        <v>16</v>
      </c>
      <c r="F67" s="8">
        <v>-907552</v>
      </c>
      <c r="G67" s="8">
        <v>-996432</v>
      </c>
      <c r="H67" s="8">
        <v>-1050172</v>
      </c>
      <c r="I67" s="8">
        <v>-1007411</v>
      </c>
      <c r="J67" s="8">
        <v>-685653</v>
      </c>
      <c r="K67" s="8">
        <v>-720826</v>
      </c>
      <c r="L67" s="8">
        <v>-924673</v>
      </c>
      <c r="M67" s="8">
        <v>-770345</v>
      </c>
      <c r="N67" s="8">
        <v>-734261</v>
      </c>
      <c r="O67" s="8">
        <v>-899147</v>
      </c>
      <c r="P67" s="8">
        <v>-808478</v>
      </c>
      <c r="Q67" s="9">
        <v>-706131</v>
      </c>
      <c r="R67" s="29">
        <f t="shared" ref="R67:R118" si="9">SUM(F67:Q67)</f>
        <v>-10211081</v>
      </c>
      <c r="S67" s="29">
        <f t="shared" ref="S67:S118" si="10">SUM(F67:H67)</f>
        <v>-2954156</v>
      </c>
      <c r="T67" s="23">
        <f t="shared" ref="T67:T118" si="11">SUM(I67:K67)</f>
        <v>-2413890</v>
      </c>
      <c r="U67" s="23">
        <f t="shared" ref="U67:U118" si="12">SUM(L67:N67)</f>
        <v>-2429279</v>
      </c>
      <c r="V67" s="30">
        <f t="shared" ref="V67:V118" si="13">SUM(O67:Q67)</f>
        <v>-2413756</v>
      </c>
    </row>
    <row r="68" spans="1:22" x14ac:dyDescent="0.25">
      <c r="A68" s="37" t="str">
        <f t="shared" si="7"/>
        <v>2019 Payroll Expense</v>
      </c>
      <c r="B68" s="7" t="s">
        <v>18</v>
      </c>
      <c r="C68" s="37" t="str">
        <f t="shared" si="8"/>
        <v>2019 Actuals Payroll Expense</v>
      </c>
      <c r="D68" s="18">
        <v>2019</v>
      </c>
      <c r="E68" s="18" t="s">
        <v>16</v>
      </c>
      <c r="F68" s="8">
        <v>-2448583</v>
      </c>
      <c r="G68" s="8">
        <v>-2391536</v>
      </c>
      <c r="H68" s="8">
        <v>-2851891</v>
      </c>
      <c r="I68" s="8">
        <v>-2338942</v>
      </c>
      <c r="J68" s="8">
        <v>-1988754</v>
      </c>
      <c r="K68" s="8">
        <v>-1512300</v>
      </c>
      <c r="L68" s="8">
        <v>-2373330</v>
      </c>
      <c r="M68" s="8">
        <v>-1709943</v>
      </c>
      <c r="N68" s="8">
        <v>-1561720</v>
      </c>
      <c r="O68" s="8">
        <v>-2224218</v>
      </c>
      <c r="P68" s="8">
        <v>-2066473</v>
      </c>
      <c r="Q68" s="9">
        <v>-1477534</v>
      </c>
      <c r="R68" s="29">
        <f t="shared" si="9"/>
        <v>-24945224</v>
      </c>
      <c r="S68" s="29">
        <f t="shared" si="10"/>
        <v>-7692010</v>
      </c>
      <c r="T68" s="23">
        <f t="shared" si="11"/>
        <v>-5839996</v>
      </c>
      <c r="U68" s="23">
        <f t="shared" si="12"/>
        <v>-5644993</v>
      </c>
      <c r="V68" s="30">
        <f t="shared" si="13"/>
        <v>-5768225</v>
      </c>
    </row>
    <row r="69" spans="1:22" x14ac:dyDescent="0.25">
      <c r="A69" s="37" t="str">
        <f t="shared" si="7"/>
        <v>2019 Travel &amp; Entertainment Expense</v>
      </c>
      <c r="B69" s="7" t="s">
        <v>19</v>
      </c>
      <c r="C69" s="37" t="str">
        <f t="shared" si="8"/>
        <v>2019 Actuals Travel &amp; Entertainment Expense</v>
      </c>
      <c r="D69" s="18">
        <v>2019</v>
      </c>
      <c r="E69" s="18" t="s">
        <v>16</v>
      </c>
      <c r="F69" s="8">
        <v>-232296</v>
      </c>
      <c r="G69" s="8">
        <v>-221176</v>
      </c>
      <c r="H69" s="8">
        <v>-259024</v>
      </c>
      <c r="I69" s="8">
        <v>-239313</v>
      </c>
      <c r="J69" s="8">
        <v>-173459</v>
      </c>
      <c r="K69" s="8">
        <v>-145469</v>
      </c>
      <c r="L69" s="8">
        <v>-276387</v>
      </c>
      <c r="M69" s="8">
        <v>-181197</v>
      </c>
      <c r="N69" s="8">
        <v>-167260</v>
      </c>
      <c r="O69" s="8">
        <v>-199198</v>
      </c>
      <c r="P69" s="8">
        <v>-173160</v>
      </c>
      <c r="Q69" s="9">
        <v>-156797</v>
      </c>
      <c r="R69" s="29">
        <f t="shared" si="9"/>
        <v>-2424736</v>
      </c>
      <c r="S69" s="29">
        <f t="shared" si="10"/>
        <v>-712496</v>
      </c>
      <c r="T69" s="23">
        <f t="shared" si="11"/>
        <v>-558241</v>
      </c>
      <c r="U69" s="23">
        <f t="shared" si="12"/>
        <v>-624844</v>
      </c>
      <c r="V69" s="30">
        <f t="shared" si="13"/>
        <v>-529155</v>
      </c>
    </row>
    <row r="70" spans="1:22" x14ac:dyDescent="0.25">
      <c r="A70" s="37" t="str">
        <f t="shared" si="7"/>
        <v>2019 R&amp;D Expense</v>
      </c>
      <c r="B70" s="7" t="s">
        <v>20</v>
      </c>
      <c r="C70" s="37" t="str">
        <f t="shared" si="8"/>
        <v>2019 Actuals R&amp;D Expense</v>
      </c>
      <c r="D70" s="18">
        <v>2019</v>
      </c>
      <c r="E70" s="18" t="s">
        <v>16</v>
      </c>
      <c r="F70" s="8">
        <v>-896638</v>
      </c>
      <c r="G70" s="8">
        <v>-945985</v>
      </c>
      <c r="H70" s="8">
        <v>-1072491</v>
      </c>
      <c r="I70" s="8">
        <v>-1138580</v>
      </c>
      <c r="J70" s="8">
        <v>-765907</v>
      </c>
      <c r="K70" s="8">
        <v>-590365</v>
      </c>
      <c r="L70" s="8">
        <v>-926585</v>
      </c>
      <c r="M70" s="8">
        <v>-715140</v>
      </c>
      <c r="N70" s="8">
        <v>-691264</v>
      </c>
      <c r="O70" s="8">
        <v>-778336</v>
      </c>
      <c r="P70" s="8">
        <v>-702619</v>
      </c>
      <c r="Q70" s="9">
        <v>-644524</v>
      </c>
      <c r="R70" s="29">
        <f t="shared" si="9"/>
        <v>-9868434</v>
      </c>
      <c r="S70" s="29">
        <f t="shared" si="10"/>
        <v>-2915114</v>
      </c>
      <c r="T70" s="23">
        <f t="shared" si="11"/>
        <v>-2494852</v>
      </c>
      <c r="U70" s="23">
        <f t="shared" si="12"/>
        <v>-2332989</v>
      </c>
      <c r="V70" s="30">
        <f t="shared" si="13"/>
        <v>-2125479</v>
      </c>
    </row>
    <row r="71" spans="1:22" x14ac:dyDescent="0.25">
      <c r="A71" s="37" t="str">
        <f t="shared" si="7"/>
        <v>2019 Consulting Expense</v>
      </c>
      <c r="B71" s="7" t="s">
        <v>21</v>
      </c>
      <c r="C71" s="37" t="str">
        <f t="shared" si="8"/>
        <v>2019 Actuals Consulting Expense</v>
      </c>
      <c r="D71" s="18">
        <v>2019</v>
      </c>
      <c r="E71" s="18" t="s">
        <v>16</v>
      </c>
      <c r="F71" s="8">
        <v>-1036658</v>
      </c>
      <c r="G71" s="8">
        <v>-1191081</v>
      </c>
      <c r="H71" s="8">
        <v>-1453675</v>
      </c>
      <c r="I71" s="8">
        <v>-1419262</v>
      </c>
      <c r="J71" s="8">
        <v>-938782</v>
      </c>
      <c r="K71" s="8">
        <v>-763861</v>
      </c>
      <c r="L71" s="8">
        <v>-1141341</v>
      </c>
      <c r="M71" s="8">
        <v>-909348</v>
      </c>
      <c r="N71" s="8">
        <v>-801672</v>
      </c>
      <c r="O71" s="8">
        <v>-1077622</v>
      </c>
      <c r="P71" s="8">
        <v>-899513</v>
      </c>
      <c r="Q71" s="9">
        <v>-770599</v>
      </c>
      <c r="R71" s="29">
        <f t="shared" si="9"/>
        <v>-12403414</v>
      </c>
      <c r="S71" s="29">
        <f t="shared" si="10"/>
        <v>-3681414</v>
      </c>
      <c r="T71" s="23">
        <f t="shared" si="11"/>
        <v>-3121905</v>
      </c>
      <c r="U71" s="23">
        <f t="shared" si="12"/>
        <v>-2852361</v>
      </c>
      <c r="V71" s="30">
        <f t="shared" si="13"/>
        <v>-2747734</v>
      </c>
    </row>
    <row r="72" spans="1:22" x14ac:dyDescent="0.25">
      <c r="A72" s="37" t="str">
        <f t="shared" si="7"/>
        <v>2019 Software/Hardware Expense</v>
      </c>
      <c r="B72" s="7" t="s">
        <v>22</v>
      </c>
      <c r="C72" s="37" t="str">
        <f t="shared" si="8"/>
        <v>2019 Actuals Software/Hardware Expense</v>
      </c>
      <c r="D72" s="18">
        <v>2019</v>
      </c>
      <c r="E72" s="18" t="s">
        <v>16</v>
      </c>
      <c r="F72" s="8">
        <v>-1662699</v>
      </c>
      <c r="G72" s="8">
        <v>-1508105</v>
      </c>
      <c r="H72" s="8">
        <v>-2020361</v>
      </c>
      <c r="I72" s="8">
        <v>-1703999</v>
      </c>
      <c r="J72" s="8">
        <v>-1422906</v>
      </c>
      <c r="K72" s="8">
        <v>-1092346</v>
      </c>
      <c r="L72" s="8">
        <v>-1924272</v>
      </c>
      <c r="M72" s="8">
        <v>-1220195</v>
      </c>
      <c r="N72" s="8">
        <v>-1122540</v>
      </c>
      <c r="O72" s="8">
        <v>-1320824</v>
      </c>
      <c r="P72" s="8">
        <v>-1254355</v>
      </c>
      <c r="Q72" s="9">
        <v>-1248757</v>
      </c>
      <c r="R72" s="29">
        <f t="shared" si="9"/>
        <v>-17501359</v>
      </c>
      <c r="S72" s="29">
        <f t="shared" si="10"/>
        <v>-5191165</v>
      </c>
      <c r="T72" s="23">
        <f t="shared" si="11"/>
        <v>-4219251</v>
      </c>
      <c r="U72" s="23">
        <f t="shared" si="12"/>
        <v>-4267007</v>
      </c>
      <c r="V72" s="30">
        <f t="shared" si="13"/>
        <v>-3823936</v>
      </c>
    </row>
    <row r="73" spans="1:22" x14ac:dyDescent="0.25">
      <c r="A73" s="37" t="str">
        <f t="shared" si="7"/>
        <v>2019 Marketing Expense</v>
      </c>
      <c r="B73" s="7" t="s">
        <v>23</v>
      </c>
      <c r="C73" s="37" t="str">
        <f t="shared" si="8"/>
        <v>2019 Actuals Marketing Expense</v>
      </c>
      <c r="D73" s="18">
        <v>2019</v>
      </c>
      <c r="E73" s="18" t="s">
        <v>16</v>
      </c>
      <c r="F73" s="8">
        <v>-474519</v>
      </c>
      <c r="G73" s="8">
        <v>-436767</v>
      </c>
      <c r="H73" s="8">
        <v>-574482</v>
      </c>
      <c r="I73" s="8">
        <v>-464102</v>
      </c>
      <c r="J73" s="8">
        <v>-383468</v>
      </c>
      <c r="K73" s="8">
        <v>-313859</v>
      </c>
      <c r="L73" s="8">
        <v>-475888</v>
      </c>
      <c r="M73" s="8">
        <v>-366084</v>
      </c>
      <c r="N73" s="8">
        <v>-329879</v>
      </c>
      <c r="O73" s="8">
        <v>-442129</v>
      </c>
      <c r="P73" s="8">
        <v>-387635</v>
      </c>
      <c r="Q73" s="9">
        <v>-358088</v>
      </c>
      <c r="R73" s="29">
        <f t="shared" si="9"/>
        <v>-5006900</v>
      </c>
      <c r="S73" s="29">
        <f t="shared" si="10"/>
        <v>-1485768</v>
      </c>
      <c r="T73" s="23">
        <f t="shared" si="11"/>
        <v>-1161429</v>
      </c>
      <c r="U73" s="23">
        <f t="shared" si="12"/>
        <v>-1171851</v>
      </c>
      <c r="V73" s="30">
        <f t="shared" si="13"/>
        <v>-1187852</v>
      </c>
    </row>
    <row r="74" spans="1:22" x14ac:dyDescent="0.25">
      <c r="A74" s="37" t="str">
        <f t="shared" si="7"/>
        <v>2020 Sales</v>
      </c>
      <c r="B74" s="16" t="s">
        <v>15</v>
      </c>
      <c r="C74" s="132" t="str">
        <f t="shared" si="8"/>
        <v>2020 Actuals Sales</v>
      </c>
      <c r="D74" s="18">
        <v>2020</v>
      </c>
      <c r="E74" s="18" t="s">
        <v>16</v>
      </c>
      <c r="F74" s="8">
        <v>19906221.719999999</v>
      </c>
      <c r="G74" s="8">
        <v>18137975.18</v>
      </c>
      <c r="H74" s="8">
        <v>19647354.710000001</v>
      </c>
      <c r="I74" s="8">
        <v>25097823.300000001</v>
      </c>
      <c r="J74" s="8">
        <v>10648319.43</v>
      </c>
      <c r="K74" s="8">
        <v>21526811.940000001</v>
      </c>
      <c r="L74" s="8">
        <v>14526501.640000001</v>
      </c>
      <c r="M74" s="8">
        <v>16491591.199999999</v>
      </c>
      <c r="N74" s="8">
        <v>16525042.16</v>
      </c>
      <c r="O74" s="8">
        <v>13592152.800000001</v>
      </c>
      <c r="P74" s="8">
        <v>14695585.75</v>
      </c>
      <c r="Q74" s="9">
        <v>13019298.199999999</v>
      </c>
      <c r="R74" s="29">
        <f t="shared" si="9"/>
        <v>203814678.03</v>
      </c>
      <c r="S74" s="29">
        <f t="shared" si="10"/>
        <v>57691551.609999999</v>
      </c>
      <c r="T74" s="23">
        <f t="shared" si="11"/>
        <v>57272954.670000002</v>
      </c>
      <c r="U74" s="23">
        <f t="shared" si="12"/>
        <v>47543135</v>
      </c>
      <c r="V74" s="30">
        <f t="shared" si="13"/>
        <v>41307036.75</v>
      </c>
    </row>
    <row r="75" spans="1:22" x14ac:dyDescent="0.25">
      <c r="A75" s="37" t="str">
        <f t="shared" si="7"/>
        <v>2020 COGS</v>
      </c>
      <c r="B75" s="7" t="s">
        <v>34</v>
      </c>
      <c r="C75" s="37" t="str">
        <f t="shared" si="8"/>
        <v>2020 Actuals COGS</v>
      </c>
      <c r="D75" s="18">
        <v>2020</v>
      </c>
      <c r="E75" s="18" t="s">
        <v>16</v>
      </c>
      <c r="F75" s="8">
        <v>-9592107</v>
      </c>
      <c r="G75" s="8">
        <v>-9049303</v>
      </c>
      <c r="H75" s="8">
        <v>-9807183</v>
      </c>
      <c r="I75" s="8">
        <v>-11464436</v>
      </c>
      <c r="J75" s="8">
        <v>-4745875</v>
      </c>
      <c r="K75" s="8">
        <v>-10693878</v>
      </c>
      <c r="L75" s="8">
        <v>-6229151</v>
      </c>
      <c r="M75" s="8">
        <v>-7884523</v>
      </c>
      <c r="N75" s="8">
        <v>-8201633</v>
      </c>
      <c r="O75" s="8">
        <v>-5539328</v>
      </c>
      <c r="P75" s="8">
        <v>-6939494</v>
      </c>
      <c r="Q75" s="9">
        <v>-6033112</v>
      </c>
      <c r="R75" s="29">
        <f t="shared" si="9"/>
        <v>-96180023</v>
      </c>
      <c r="S75" s="29">
        <f t="shared" si="10"/>
        <v>-28448593</v>
      </c>
      <c r="T75" s="23">
        <f t="shared" si="11"/>
        <v>-26904189</v>
      </c>
      <c r="U75" s="23">
        <f t="shared" si="12"/>
        <v>-22315307</v>
      </c>
      <c r="V75" s="30">
        <f t="shared" si="13"/>
        <v>-18511934</v>
      </c>
    </row>
    <row r="76" spans="1:22" x14ac:dyDescent="0.25">
      <c r="A76" s="37" t="str">
        <f t="shared" si="7"/>
        <v>2020 Commissions Expense</v>
      </c>
      <c r="B76" s="7" t="s">
        <v>17</v>
      </c>
      <c r="C76" s="37" t="str">
        <f t="shared" si="8"/>
        <v>2020 Actuals Commissions Expense</v>
      </c>
      <c r="D76" s="18">
        <v>2020</v>
      </c>
      <c r="E76" s="18" t="s">
        <v>16</v>
      </c>
      <c r="F76" s="8">
        <v>-804051</v>
      </c>
      <c r="G76" s="8">
        <v>-766774</v>
      </c>
      <c r="H76" s="8">
        <v>-921681</v>
      </c>
      <c r="I76" s="8">
        <v>-1085414</v>
      </c>
      <c r="J76" s="8">
        <v>-463729</v>
      </c>
      <c r="K76" s="8">
        <v>-1036334</v>
      </c>
      <c r="L76" s="8">
        <v>-711009</v>
      </c>
      <c r="M76" s="8">
        <v>-706193</v>
      </c>
      <c r="N76" s="8">
        <v>-784668</v>
      </c>
      <c r="O76" s="8">
        <v>-633819</v>
      </c>
      <c r="P76" s="8">
        <v>-678505</v>
      </c>
      <c r="Q76" s="9">
        <v>-631242</v>
      </c>
      <c r="R76" s="29">
        <f t="shared" si="9"/>
        <v>-9223419</v>
      </c>
      <c r="S76" s="29">
        <f t="shared" si="10"/>
        <v>-2492506</v>
      </c>
      <c r="T76" s="23">
        <f t="shared" si="11"/>
        <v>-2585477</v>
      </c>
      <c r="U76" s="23">
        <f t="shared" si="12"/>
        <v>-2201870</v>
      </c>
      <c r="V76" s="30">
        <f t="shared" si="13"/>
        <v>-1943566</v>
      </c>
    </row>
    <row r="77" spans="1:22" x14ac:dyDescent="0.25">
      <c r="A77" s="37" t="str">
        <f t="shared" si="7"/>
        <v>2020 Payroll Expense</v>
      </c>
      <c r="B77" s="7" t="s">
        <v>18</v>
      </c>
      <c r="C77" s="37" t="str">
        <f t="shared" si="8"/>
        <v>2020 Actuals Payroll Expense</v>
      </c>
      <c r="D77" s="18">
        <v>2020</v>
      </c>
      <c r="E77" s="18" t="s">
        <v>16</v>
      </c>
      <c r="F77" s="8">
        <v>-2107365</v>
      </c>
      <c r="G77" s="8">
        <v>-2071573</v>
      </c>
      <c r="H77" s="8">
        <v>-2428629</v>
      </c>
      <c r="I77" s="8">
        <v>-2973881</v>
      </c>
      <c r="J77" s="8">
        <v>-1174690</v>
      </c>
      <c r="K77" s="8">
        <v>-2393657</v>
      </c>
      <c r="L77" s="8">
        <v>-1495456</v>
      </c>
      <c r="M77" s="8">
        <v>-2058910</v>
      </c>
      <c r="N77" s="8">
        <v>-1881183</v>
      </c>
      <c r="O77" s="8">
        <v>-1641870</v>
      </c>
      <c r="P77" s="8">
        <v>-1587200</v>
      </c>
      <c r="Q77" s="9">
        <v>-1436411</v>
      </c>
      <c r="R77" s="29">
        <f t="shared" si="9"/>
        <v>-23250825</v>
      </c>
      <c r="S77" s="29">
        <f t="shared" si="10"/>
        <v>-6607567</v>
      </c>
      <c r="T77" s="23">
        <f t="shared" si="11"/>
        <v>-6542228</v>
      </c>
      <c r="U77" s="23">
        <f t="shared" si="12"/>
        <v>-5435549</v>
      </c>
      <c r="V77" s="30">
        <f t="shared" si="13"/>
        <v>-4665481</v>
      </c>
    </row>
    <row r="78" spans="1:22" x14ac:dyDescent="0.25">
      <c r="A78" s="37" t="str">
        <f t="shared" si="7"/>
        <v>2020 Travel &amp; Entertainment Expense</v>
      </c>
      <c r="B78" s="7" t="s">
        <v>19</v>
      </c>
      <c r="C78" s="37" t="str">
        <f t="shared" si="8"/>
        <v>2020 Actuals Travel &amp; Entertainment Expense</v>
      </c>
      <c r="D78" s="18">
        <v>2020</v>
      </c>
      <c r="E78" s="18" t="s">
        <v>16</v>
      </c>
      <c r="F78" s="8">
        <v>-211617</v>
      </c>
      <c r="G78" s="8">
        <v>-211295</v>
      </c>
      <c r="H78" s="8">
        <v>-229589</v>
      </c>
      <c r="I78" s="8">
        <v>-270401</v>
      </c>
      <c r="J78" s="8">
        <v>-122946</v>
      </c>
      <c r="K78" s="8">
        <v>-258829</v>
      </c>
      <c r="L78" s="8">
        <v>-176747</v>
      </c>
      <c r="M78" s="8">
        <v>-187172</v>
      </c>
      <c r="N78" s="8">
        <v>-194172</v>
      </c>
      <c r="O78" s="8">
        <v>-161178</v>
      </c>
      <c r="P78" s="8">
        <v>-149018</v>
      </c>
      <c r="Q78" s="9">
        <v>-141587</v>
      </c>
      <c r="R78" s="29">
        <f t="shared" si="9"/>
        <v>-2314551</v>
      </c>
      <c r="S78" s="29">
        <f t="shared" si="10"/>
        <v>-652501</v>
      </c>
      <c r="T78" s="23">
        <f t="shared" si="11"/>
        <v>-652176</v>
      </c>
      <c r="U78" s="23">
        <f t="shared" si="12"/>
        <v>-558091</v>
      </c>
      <c r="V78" s="30">
        <f t="shared" si="13"/>
        <v>-451783</v>
      </c>
    </row>
    <row r="79" spans="1:22" x14ac:dyDescent="0.25">
      <c r="A79" s="37" t="str">
        <f t="shared" si="7"/>
        <v>2020 R&amp;D Expense</v>
      </c>
      <c r="B79" s="7" t="s">
        <v>20</v>
      </c>
      <c r="C79" s="37" t="str">
        <f t="shared" si="8"/>
        <v>2020 Actuals R&amp;D Expense</v>
      </c>
      <c r="D79" s="18">
        <v>2020</v>
      </c>
      <c r="E79" s="18" t="s">
        <v>16</v>
      </c>
      <c r="F79" s="8">
        <v>-882849</v>
      </c>
      <c r="G79" s="8">
        <v>-828192</v>
      </c>
      <c r="H79" s="8">
        <v>-913737</v>
      </c>
      <c r="I79" s="8">
        <v>-1198314</v>
      </c>
      <c r="J79" s="8">
        <v>-519107</v>
      </c>
      <c r="K79" s="8">
        <v>-889744</v>
      </c>
      <c r="L79" s="8">
        <v>-625608</v>
      </c>
      <c r="M79" s="8">
        <v>-818157</v>
      </c>
      <c r="N79" s="8">
        <v>-764727</v>
      </c>
      <c r="O79" s="8">
        <v>-613550</v>
      </c>
      <c r="P79" s="8">
        <v>-625269</v>
      </c>
      <c r="Q79" s="9">
        <v>-540653</v>
      </c>
      <c r="R79" s="29">
        <f t="shared" si="9"/>
        <v>-9219907</v>
      </c>
      <c r="S79" s="29">
        <f t="shared" si="10"/>
        <v>-2624778</v>
      </c>
      <c r="T79" s="23">
        <f t="shared" si="11"/>
        <v>-2607165</v>
      </c>
      <c r="U79" s="23">
        <f t="shared" si="12"/>
        <v>-2208492</v>
      </c>
      <c r="V79" s="30">
        <f t="shared" si="13"/>
        <v>-1779472</v>
      </c>
    </row>
    <row r="80" spans="1:22" x14ac:dyDescent="0.25">
      <c r="A80" s="37" t="str">
        <f t="shared" si="7"/>
        <v>2020 Consulting Expense</v>
      </c>
      <c r="B80" s="7" t="s">
        <v>21</v>
      </c>
      <c r="C80" s="37" t="str">
        <f t="shared" si="8"/>
        <v>2020 Actuals Consulting Expense</v>
      </c>
      <c r="D80" s="18">
        <v>2020</v>
      </c>
      <c r="E80" s="18" t="s">
        <v>16</v>
      </c>
      <c r="F80" s="8">
        <v>-1206445</v>
      </c>
      <c r="G80" s="8">
        <v>-976986</v>
      </c>
      <c r="H80" s="8">
        <v>-990981</v>
      </c>
      <c r="I80" s="8">
        <v>-1537362</v>
      </c>
      <c r="J80" s="8">
        <v>-578191</v>
      </c>
      <c r="K80" s="8">
        <v>-1230978</v>
      </c>
      <c r="L80" s="8">
        <v>-824107</v>
      </c>
      <c r="M80" s="8">
        <v>-991865</v>
      </c>
      <c r="N80" s="8">
        <v>-928975</v>
      </c>
      <c r="O80" s="8">
        <v>-794276</v>
      </c>
      <c r="P80" s="8">
        <v>-738682</v>
      </c>
      <c r="Q80" s="9">
        <v>-726502</v>
      </c>
      <c r="R80" s="29">
        <f t="shared" si="9"/>
        <v>-11525350</v>
      </c>
      <c r="S80" s="29">
        <f t="shared" si="10"/>
        <v>-3174412</v>
      </c>
      <c r="T80" s="23">
        <f t="shared" si="11"/>
        <v>-3346531</v>
      </c>
      <c r="U80" s="23">
        <f t="shared" si="12"/>
        <v>-2744947</v>
      </c>
      <c r="V80" s="30">
        <f t="shared" si="13"/>
        <v>-2259460</v>
      </c>
    </row>
    <row r="81" spans="1:22" x14ac:dyDescent="0.25">
      <c r="A81" s="37" t="str">
        <f t="shared" si="7"/>
        <v>2020 Software/Hardware Expense</v>
      </c>
      <c r="B81" s="7" t="s">
        <v>22</v>
      </c>
      <c r="C81" s="37" t="str">
        <f t="shared" si="8"/>
        <v>2020 Actuals Software/Hardware Expense</v>
      </c>
      <c r="D81" s="18">
        <v>2020</v>
      </c>
      <c r="E81" s="18" t="s">
        <v>16</v>
      </c>
      <c r="F81" s="8">
        <v>-1691907</v>
      </c>
      <c r="G81" s="8">
        <v>-1377291</v>
      </c>
      <c r="H81" s="8">
        <v>-1682587</v>
      </c>
      <c r="I81" s="8">
        <v>-2080797</v>
      </c>
      <c r="J81" s="8">
        <v>-912271</v>
      </c>
      <c r="K81" s="8">
        <v>-1790551</v>
      </c>
      <c r="L81" s="8">
        <v>-1201477</v>
      </c>
      <c r="M81" s="8">
        <v>-1331378</v>
      </c>
      <c r="N81" s="8">
        <v>-1375724</v>
      </c>
      <c r="O81" s="8">
        <v>-1029583</v>
      </c>
      <c r="P81" s="8">
        <v>-1099874</v>
      </c>
      <c r="Q81" s="9">
        <v>-971165</v>
      </c>
      <c r="R81" s="29">
        <f t="shared" si="9"/>
        <v>-16544605</v>
      </c>
      <c r="S81" s="29">
        <f t="shared" si="10"/>
        <v>-4751785</v>
      </c>
      <c r="T81" s="23">
        <f t="shared" si="11"/>
        <v>-4783619</v>
      </c>
      <c r="U81" s="23">
        <f t="shared" si="12"/>
        <v>-3908579</v>
      </c>
      <c r="V81" s="30">
        <f t="shared" si="13"/>
        <v>-3100622</v>
      </c>
    </row>
    <row r="82" spans="1:22" x14ac:dyDescent="0.25">
      <c r="A82" s="37" t="str">
        <f t="shared" si="7"/>
        <v>2020 Marketing Expense</v>
      </c>
      <c r="B82" s="7" t="s">
        <v>23</v>
      </c>
      <c r="C82" s="37" t="str">
        <f t="shared" si="8"/>
        <v>2020 Actuals Marketing Expense</v>
      </c>
      <c r="D82" s="18">
        <v>2020</v>
      </c>
      <c r="E82" s="18" t="s">
        <v>16</v>
      </c>
      <c r="F82" s="8">
        <v>-405268</v>
      </c>
      <c r="G82" s="8">
        <v>-427770</v>
      </c>
      <c r="H82" s="8">
        <v>-436628</v>
      </c>
      <c r="I82" s="8">
        <v>-571749</v>
      </c>
      <c r="J82" s="8">
        <v>-215818</v>
      </c>
      <c r="K82" s="8">
        <v>-475706</v>
      </c>
      <c r="L82" s="8">
        <v>-313756</v>
      </c>
      <c r="M82" s="8">
        <v>-370356</v>
      </c>
      <c r="N82" s="8">
        <v>-361297</v>
      </c>
      <c r="O82" s="8">
        <v>-302763</v>
      </c>
      <c r="P82" s="8">
        <v>-310799</v>
      </c>
      <c r="Q82" s="9">
        <v>-262708</v>
      </c>
      <c r="R82" s="29">
        <f t="shared" si="9"/>
        <v>-4454618</v>
      </c>
      <c r="S82" s="29">
        <f t="shared" si="10"/>
        <v>-1269666</v>
      </c>
      <c r="T82" s="23">
        <f t="shared" si="11"/>
        <v>-1263273</v>
      </c>
      <c r="U82" s="23">
        <f t="shared" si="12"/>
        <v>-1045409</v>
      </c>
      <c r="V82" s="30">
        <f t="shared" si="13"/>
        <v>-876270</v>
      </c>
    </row>
    <row r="83" spans="1:22" x14ac:dyDescent="0.25">
      <c r="A83" s="37" t="str">
        <f t="shared" si="7"/>
        <v>2021 Sales</v>
      </c>
      <c r="B83" s="16" t="s">
        <v>15</v>
      </c>
      <c r="C83" s="132" t="str">
        <f t="shared" si="8"/>
        <v>2021 Actuals Sales</v>
      </c>
      <c r="D83" s="18">
        <v>2021</v>
      </c>
      <c r="E83" s="18" t="s">
        <v>16</v>
      </c>
      <c r="F83" s="8">
        <v>11927812.6</v>
      </c>
      <c r="G83" s="8">
        <v>13275000.060000001</v>
      </c>
      <c r="H83" s="8">
        <v>14470419.810000001</v>
      </c>
      <c r="I83" s="8">
        <v>24254250.93</v>
      </c>
      <c r="J83" s="8">
        <v>18622528.559999999</v>
      </c>
      <c r="K83" s="8">
        <v>14383930.560000001</v>
      </c>
      <c r="L83" s="8">
        <v>15276226.77</v>
      </c>
      <c r="M83" s="8">
        <v>25572852.210000001</v>
      </c>
      <c r="N83" s="8">
        <v>18743894.16</v>
      </c>
      <c r="O83" s="8">
        <v>14391834.84</v>
      </c>
      <c r="P83" s="8">
        <v>22501787.879999999</v>
      </c>
      <c r="Q83" s="9">
        <v>15718763.939999999</v>
      </c>
      <c r="R83" s="29">
        <f t="shared" si="9"/>
        <v>209139302.31999999</v>
      </c>
      <c r="S83" s="29">
        <f t="shared" si="10"/>
        <v>39673232.469999999</v>
      </c>
      <c r="T83" s="23">
        <f t="shared" si="11"/>
        <v>57260710.049999997</v>
      </c>
      <c r="U83" s="23">
        <f t="shared" si="12"/>
        <v>59592973.140000001</v>
      </c>
      <c r="V83" s="30">
        <f t="shared" si="13"/>
        <v>52612386.659999996</v>
      </c>
    </row>
    <row r="84" spans="1:22" x14ac:dyDescent="0.25">
      <c r="A84" s="37" t="str">
        <f t="shared" si="7"/>
        <v>2021 COGS</v>
      </c>
      <c r="B84" s="7" t="s">
        <v>34</v>
      </c>
      <c r="C84" s="37" t="str">
        <f t="shared" si="8"/>
        <v>2021 Actuals COGS</v>
      </c>
      <c r="D84" s="18">
        <v>2021</v>
      </c>
      <c r="E84" s="18" t="s">
        <v>16</v>
      </c>
      <c r="F84" s="8">
        <v>-5053779</v>
      </c>
      <c r="G84" s="8">
        <v>-6371606</v>
      </c>
      <c r="H84" s="8">
        <v>-6108911</v>
      </c>
      <c r="I84" s="8">
        <v>-11077101</v>
      </c>
      <c r="J84" s="8">
        <v>-9193559</v>
      </c>
      <c r="K84" s="8">
        <v>-6219209</v>
      </c>
      <c r="L84" s="8">
        <v>-7314288</v>
      </c>
      <c r="M84" s="8">
        <v>-10632631</v>
      </c>
      <c r="N84" s="8">
        <v>-7663770</v>
      </c>
      <c r="O84" s="8">
        <v>-5778185</v>
      </c>
      <c r="P84" s="8">
        <v>-10821067</v>
      </c>
      <c r="Q84" s="9">
        <v>-7450108</v>
      </c>
      <c r="R84" s="29">
        <f t="shared" si="9"/>
        <v>-93684214</v>
      </c>
      <c r="S84" s="29">
        <f t="shared" si="10"/>
        <v>-17534296</v>
      </c>
      <c r="T84" s="23">
        <f t="shared" si="11"/>
        <v>-26489869</v>
      </c>
      <c r="U84" s="23">
        <f t="shared" si="12"/>
        <v>-25610689</v>
      </c>
      <c r="V84" s="30">
        <f t="shared" si="13"/>
        <v>-24049360</v>
      </c>
    </row>
    <row r="85" spans="1:22" x14ac:dyDescent="0.25">
      <c r="A85" s="37" t="str">
        <f t="shared" si="7"/>
        <v>2021 Commissions Expense</v>
      </c>
      <c r="B85" s="7" t="s">
        <v>17</v>
      </c>
      <c r="C85" s="37" t="str">
        <f t="shared" si="8"/>
        <v>2021 Actuals Commissions Expense</v>
      </c>
      <c r="D85" s="18">
        <v>2021</v>
      </c>
      <c r="E85" s="18" t="s">
        <v>16</v>
      </c>
      <c r="F85" s="8">
        <v>-492817</v>
      </c>
      <c r="G85" s="8">
        <v>-565371</v>
      </c>
      <c r="H85" s="8">
        <v>-708801</v>
      </c>
      <c r="I85" s="8">
        <v>-1088792</v>
      </c>
      <c r="J85" s="8">
        <v>-859144</v>
      </c>
      <c r="K85" s="8">
        <v>-642937</v>
      </c>
      <c r="L85" s="8">
        <v>-657708</v>
      </c>
      <c r="M85" s="8">
        <v>-1154461</v>
      </c>
      <c r="N85" s="8">
        <v>-889947</v>
      </c>
      <c r="O85" s="8">
        <v>-630696</v>
      </c>
      <c r="P85" s="8">
        <v>-901973</v>
      </c>
      <c r="Q85" s="9">
        <v>-676420</v>
      </c>
      <c r="R85" s="29">
        <f t="shared" si="9"/>
        <v>-9269067</v>
      </c>
      <c r="S85" s="29">
        <f t="shared" si="10"/>
        <v>-1766989</v>
      </c>
      <c r="T85" s="23">
        <f t="shared" si="11"/>
        <v>-2590873</v>
      </c>
      <c r="U85" s="23">
        <f t="shared" si="12"/>
        <v>-2702116</v>
      </c>
      <c r="V85" s="30">
        <f t="shared" si="13"/>
        <v>-2209089</v>
      </c>
    </row>
    <row r="86" spans="1:22" x14ac:dyDescent="0.25">
      <c r="A86" s="37" t="str">
        <f t="shared" si="7"/>
        <v>2021 Payroll Expense</v>
      </c>
      <c r="B86" s="7" t="s">
        <v>18</v>
      </c>
      <c r="C86" s="37" t="str">
        <f t="shared" si="8"/>
        <v>2021 Actuals Payroll Expense</v>
      </c>
      <c r="D86" s="18">
        <v>2021</v>
      </c>
      <c r="E86" s="18" t="s">
        <v>16</v>
      </c>
      <c r="F86" s="8">
        <v>-1386136</v>
      </c>
      <c r="G86" s="8">
        <v>-1379450</v>
      </c>
      <c r="H86" s="8">
        <v>-1749461</v>
      </c>
      <c r="I86" s="8">
        <v>-2801736</v>
      </c>
      <c r="J86" s="8">
        <v>-2056382</v>
      </c>
      <c r="K86" s="8">
        <v>-1705969</v>
      </c>
      <c r="L86" s="8">
        <v>-1684701</v>
      </c>
      <c r="M86" s="8">
        <v>-2697955</v>
      </c>
      <c r="N86" s="8">
        <v>-2211580</v>
      </c>
      <c r="O86" s="8">
        <v>-1544845</v>
      </c>
      <c r="P86" s="8">
        <v>-2647562</v>
      </c>
      <c r="Q86" s="9">
        <v>-1932499</v>
      </c>
      <c r="R86" s="29">
        <f t="shared" si="9"/>
        <v>-23798276</v>
      </c>
      <c r="S86" s="29">
        <f t="shared" si="10"/>
        <v>-4515047</v>
      </c>
      <c r="T86" s="23">
        <f t="shared" si="11"/>
        <v>-6564087</v>
      </c>
      <c r="U86" s="23">
        <f t="shared" si="12"/>
        <v>-6594236</v>
      </c>
      <c r="V86" s="30">
        <f t="shared" si="13"/>
        <v>-6124906</v>
      </c>
    </row>
    <row r="87" spans="1:22" x14ac:dyDescent="0.25">
      <c r="A87" s="37" t="str">
        <f t="shared" si="7"/>
        <v>2021 Travel &amp; Entertainment Expense</v>
      </c>
      <c r="B87" s="7" t="s">
        <v>19</v>
      </c>
      <c r="C87" s="37" t="str">
        <f t="shared" si="8"/>
        <v>2021 Actuals Travel &amp; Entertainment Expense</v>
      </c>
      <c r="D87" s="18">
        <v>2021</v>
      </c>
      <c r="E87" s="18" t="s">
        <v>16</v>
      </c>
      <c r="F87" s="8">
        <v>-131523</v>
      </c>
      <c r="G87" s="8">
        <v>-161711</v>
      </c>
      <c r="H87" s="8">
        <v>-172700</v>
      </c>
      <c r="I87" s="8">
        <v>-266573</v>
      </c>
      <c r="J87" s="8">
        <v>-230679</v>
      </c>
      <c r="K87" s="8">
        <v>-179379</v>
      </c>
      <c r="L87" s="8">
        <v>-165428</v>
      </c>
      <c r="M87" s="8">
        <v>-315550</v>
      </c>
      <c r="N87" s="8">
        <v>-224935</v>
      </c>
      <c r="O87" s="8">
        <v>-168787</v>
      </c>
      <c r="P87" s="8">
        <v>-240615</v>
      </c>
      <c r="Q87" s="9">
        <v>-180581</v>
      </c>
      <c r="R87" s="29">
        <f t="shared" si="9"/>
        <v>-2438461</v>
      </c>
      <c r="S87" s="29">
        <f t="shared" si="10"/>
        <v>-465934</v>
      </c>
      <c r="T87" s="23">
        <f t="shared" si="11"/>
        <v>-676631</v>
      </c>
      <c r="U87" s="23">
        <f t="shared" si="12"/>
        <v>-705913</v>
      </c>
      <c r="V87" s="30">
        <f t="shared" si="13"/>
        <v>-589983</v>
      </c>
    </row>
    <row r="88" spans="1:22" x14ac:dyDescent="0.25">
      <c r="A88" s="37" t="str">
        <f t="shared" si="7"/>
        <v>2021 R&amp;D Expense</v>
      </c>
      <c r="B88" s="7" t="s">
        <v>20</v>
      </c>
      <c r="C88" s="37" t="str">
        <f t="shared" si="8"/>
        <v>2021 Actuals R&amp;D Expense</v>
      </c>
      <c r="D88" s="18">
        <v>2021</v>
      </c>
      <c r="E88" s="18" t="s">
        <v>16</v>
      </c>
      <c r="F88" s="8">
        <v>-538128</v>
      </c>
      <c r="G88" s="8">
        <v>-661583</v>
      </c>
      <c r="H88" s="8">
        <v>-625462</v>
      </c>
      <c r="I88" s="8">
        <v>-1052988</v>
      </c>
      <c r="J88" s="8">
        <v>-890043</v>
      </c>
      <c r="K88" s="8">
        <v>-712398</v>
      </c>
      <c r="L88" s="8">
        <v>-638422</v>
      </c>
      <c r="M88" s="8">
        <v>-1178248</v>
      </c>
      <c r="N88" s="8">
        <v>-765041</v>
      </c>
      <c r="O88" s="8">
        <v>-607327</v>
      </c>
      <c r="P88" s="8">
        <v>-958441</v>
      </c>
      <c r="Q88" s="9">
        <v>-630264</v>
      </c>
      <c r="R88" s="29">
        <f t="shared" si="9"/>
        <v>-9258345</v>
      </c>
      <c r="S88" s="29">
        <f t="shared" si="10"/>
        <v>-1825173</v>
      </c>
      <c r="T88" s="23">
        <f t="shared" si="11"/>
        <v>-2655429</v>
      </c>
      <c r="U88" s="23">
        <f t="shared" si="12"/>
        <v>-2581711</v>
      </c>
      <c r="V88" s="30">
        <f t="shared" si="13"/>
        <v>-2196032</v>
      </c>
    </row>
    <row r="89" spans="1:22" x14ac:dyDescent="0.25">
      <c r="A89" s="37" t="str">
        <f t="shared" si="7"/>
        <v>2021 Consulting Expense</v>
      </c>
      <c r="B89" s="7" t="s">
        <v>21</v>
      </c>
      <c r="C89" s="37" t="str">
        <f t="shared" si="8"/>
        <v>2021 Actuals Consulting Expense</v>
      </c>
      <c r="D89" s="18">
        <v>2021</v>
      </c>
      <c r="E89" s="18" t="s">
        <v>16</v>
      </c>
      <c r="F89" s="8">
        <v>-715824</v>
      </c>
      <c r="G89" s="8">
        <v>-732141</v>
      </c>
      <c r="H89" s="8">
        <v>-899514</v>
      </c>
      <c r="I89" s="8">
        <v>-1234506</v>
      </c>
      <c r="J89" s="8">
        <v>-1078382</v>
      </c>
      <c r="K89" s="8">
        <v>-795168</v>
      </c>
      <c r="L89" s="8">
        <v>-921206</v>
      </c>
      <c r="M89" s="8">
        <v>-1355263</v>
      </c>
      <c r="N89" s="8">
        <v>-1118497</v>
      </c>
      <c r="O89" s="8">
        <v>-885131</v>
      </c>
      <c r="P89" s="8">
        <v>-1383842</v>
      </c>
      <c r="Q89" s="9">
        <v>-879683</v>
      </c>
      <c r="R89" s="29">
        <f t="shared" si="9"/>
        <v>-11999157</v>
      </c>
      <c r="S89" s="29">
        <f t="shared" si="10"/>
        <v>-2347479</v>
      </c>
      <c r="T89" s="23">
        <f t="shared" si="11"/>
        <v>-3108056</v>
      </c>
      <c r="U89" s="23">
        <f t="shared" si="12"/>
        <v>-3394966</v>
      </c>
      <c r="V89" s="30">
        <f t="shared" si="13"/>
        <v>-3148656</v>
      </c>
    </row>
    <row r="90" spans="1:22" x14ac:dyDescent="0.25">
      <c r="A90" s="37" t="str">
        <f t="shared" si="7"/>
        <v>2021 Software/Hardware Expense</v>
      </c>
      <c r="B90" s="7" t="s">
        <v>22</v>
      </c>
      <c r="C90" s="37" t="str">
        <f t="shared" si="8"/>
        <v>2021 Actuals Software/Hardware Expense</v>
      </c>
      <c r="D90" s="18">
        <v>2021</v>
      </c>
      <c r="E90" s="18" t="s">
        <v>16</v>
      </c>
      <c r="F90" s="8">
        <v>-850624</v>
      </c>
      <c r="G90" s="8">
        <v>-1078967</v>
      </c>
      <c r="H90" s="8">
        <v>-1072288</v>
      </c>
      <c r="I90" s="8">
        <v>-1843256</v>
      </c>
      <c r="J90" s="8">
        <v>-1363107</v>
      </c>
      <c r="K90" s="8">
        <v>-1086298</v>
      </c>
      <c r="L90" s="8">
        <v>-1289100</v>
      </c>
      <c r="M90" s="8">
        <v>-2054031</v>
      </c>
      <c r="N90" s="8">
        <v>-1505668</v>
      </c>
      <c r="O90" s="8">
        <v>-1189134</v>
      </c>
      <c r="P90" s="8">
        <v>-1672064</v>
      </c>
      <c r="Q90" s="9">
        <v>-1353879</v>
      </c>
      <c r="R90" s="29">
        <f t="shared" si="9"/>
        <v>-16358416</v>
      </c>
      <c r="S90" s="29">
        <f t="shared" si="10"/>
        <v>-3001879</v>
      </c>
      <c r="T90" s="23">
        <f t="shared" si="11"/>
        <v>-4292661</v>
      </c>
      <c r="U90" s="23">
        <f t="shared" si="12"/>
        <v>-4848799</v>
      </c>
      <c r="V90" s="30">
        <f t="shared" si="13"/>
        <v>-4215077</v>
      </c>
    </row>
    <row r="91" spans="1:22" x14ac:dyDescent="0.25">
      <c r="A91" s="37" t="str">
        <f t="shared" si="7"/>
        <v>2021 Marketing Expense</v>
      </c>
      <c r="B91" s="7" t="s">
        <v>23</v>
      </c>
      <c r="C91" s="37" t="str">
        <f t="shared" si="8"/>
        <v>2021 Actuals Marketing Expense</v>
      </c>
      <c r="D91" s="18">
        <v>2021</v>
      </c>
      <c r="E91" s="18" t="s">
        <v>16</v>
      </c>
      <c r="F91" s="8">
        <v>-256750</v>
      </c>
      <c r="G91" s="8">
        <v>-303363</v>
      </c>
      <c r="H91" s="8">
        <v>-358131</v>
      </c>
      <c r="I91" s="8">
        <v>-533856</v>
      </c>
      <c r="J91" s="8">
        <v>-456091</v>
      </c>
      <c r="K91" s="8">
        <v>-307618</v>
      </c>
      <c r="L91" s="8">
        <v>-377198</v>
      </c>
      <c r="M91" s="8">
        <v>-633324</v>
      </c>
      <c r="N91" s="8">
        <v>-439078</v>
      </c>
      <c r="O91" s="8">
        <v>-327293</v>
      </c>
      <c r="P91" s="8">
        <v>-523231</v>
      </c>
      <c r="Q91" s="9">
        <v>-381235</v>
      </c>
      <c r="R91" s="29">
        <f t="shared" si="9"/>
        <v>-4897168</v>
      </c>
      <c r="S91" s="29">
        <f t="shared" si="10"/>
        <v>-918244</v>
      </c>
      <c r="T91" s="23">
        <f t="shared" si="11"/>
        <v>-1297565</v>
      </c>
      <c r="U91" s="23">
        <f t="shared" si="12"/>
        <v>-1449600</v>
      </c>
      <c r="V91" s="30">
        <f t="shared" si="13"/>
        <v>-1231759</v>
      </c>
    </row>
    <row r="92" spans="1:22" x14ac:dyDescent="0.25">
      <c r="A92" s="37" t="str">
        <f t="shared" si="7"/>
        <v>2022 Sales</v>
      </c>
      <c r="B92" s="16" t="s">
        <v>15</v>
      </c>
      <c r="C92" s="132" t="str">
        <f t="shared" si="8"/>
        <v>2022 Actuals Sales</v>
      </c>
      <c r="D92" s="18">
        <v>2022</v>
      </c>
      <c r="E92" s="18" t="s">
        <v>16</v>
      </c>
      <c r="F92" s="8">
        <v>19584571.5</v>
      </c>
      <c r="G92" s="8">
        <v>14508537.75</v>
      </c>
      <c r="H92" s="8">
        <v>17451100.73</v>
      </c>
      <c r="I92" s="8">
        <v>22808608.420000002</v>
      </c>
      <c r="J92" s="8">
        <v>21219674</v>
      </c>
      <c r="K92" s="8">
        <v>19977307.289999999</v>
      </c>
      <c r="L92" s="8">
        <v>21935755.960000001</v>
      </c>
      <c r="M92" s="8">
        <v>24931276.800000001</v>
      </c>
      <c r="N92" s="8">
        <v>15336113.789999999</v>
      </c>
      <c r="O92" s="8">
        <v>13536259.220000001</v>
      </c>
      <c r="P92" s="8">
        <v>26415940.789999999</v>
      </c>
      <c r="Q92" s="9">
        <v>20181790.68</v>
      </c>
      <c r="R92" s="29">
        <f t="shared" si="9"/>
        <v>237886936.93000001</v>
      </c>
      <c r="S92" s="29">
        <f t="shared" si="10"/>
        <v>51544209.980000004</v>
      </c>
      <c r="T92" s="23">
        <f t="shared" si="11"/>
        <v>64005589.710000001</v>
      </c>
      <c r="U92" s="23">
        <f t="shared" si="12"/>
        <v>62203146.550000004</v>
      </c>
      <c r="V92" s="30">
        <f t="shared" si="13"/>
        <v>60133990.689999998</v>
      </c>
    </row>
    <row r="93" spans="1:22" x14ac:dyDescent="0.25">
      <c r="A93" s="37" t="str">
        <f t="shared" si="7"/>
        <v>2022 COGS</v>
      </c>
      <c r="B93" s="7" t="s">
        <v>34</v>
      </c>
      <c r="C93" s="37" t="str">
        <f t="shared" si="8"/>
        <v>2022 Actuals COGS</v>
      </c>
      <c r="D93" s="18">
        <v>2022</v>
      </c>
      <c r="E93" s="18" t="s">
        <v>16</v>
      </c>
      <c r="F93" s="8">
        <v>-8362230</v>
      </c>
      <c r="G93" s="8">
        <v>-6091621</v>
      </c>
      <c r="H93" s="8">
        <v>-8316059</v>
      </c>
      <c r="I93" s="8">
        <v>-10159328</v>
      </c>
      <c r="J93" s="8">
        <v>-8624806</v>
      </c>
      <c r="K93" s="8">
        <v>-9693159</v>
      </c>
      <c r="L93" s="8">
        <v>-9579056</v>
      </c>
      <c r="M93" s="8">
        <v>-9973478</v>
      </c>
      <c r="N93" s="8">
        <v>-6228310</v>
      </c>
      <c r="O93" s="8">
        <v>-6023754</v>
      </c>
      <c r="P93" s="8">
        <v>-10593290</v>
      </c>
      <c r="Q93" s="9">
        <v>-8974298</v>
      </c>
      <c r="R93" s="29">
        <f t="shared" si="9"/>
        <v>-102619389</v>
      </c>
      <c r="S93" s="29">
        <f t="shared" si="10"/>
        <v>-22769910</v>
      </c>
      <c r="T93" s="23">
        <f t="shared" si="11"/>
        <v>-28477293</v>
      </c>
      <c r="U93" s="23">
        <f t="shared" si="12"/>
        <v>-25780844</v>
      </c>
      <c r="V93" s="30">
        <f t="shared" si="13"/>
        <v>-25591342</v>
      </c>
    </row>
    <row r="94" spans="1:22" x14ac:dyDescent="0.25">
      <c r="A94" s="37" t="str">
        <f t="shared" si="7"/>
        <v>2022 Commissions Expense</v>
      </c>
      <c r="B94" s="7" t="s">
        <v>17</v>
      </c>
      <c r="C94" s="37" t="str">
        <f t="shared" si="8"/>
        <v>2022 Actuals Commissions Expense</v>
      </c>
      <c r="D94" s="18">
        <v>2022</v>
      </c>
      <c r="E94" s="18" t="s">
        <v>16</v>
      </c>
      <c r="F94" s="8">
        <v>-915086</v>
      </c>
      <c r="G94" s="8">
        <v>-612941</v>
      </c>
      <c r="H94" s="8">
        <v>-823113</v>
      </c>
      <c r="I94" s="8">
        <v>-916944</v>
      </c>
      <c r="J94" s="8">
        <v>-880691</v>
      </c>
      <c r="K94" s="8">
        <v>-867181</v>
      </c>
      <c r="L94" s="8">
        <v>-960417</v>
      </c>
      <c r="M94" s="8">
        <v>-1047426</v>
      </c>
      <c r="N94" s="8">
        <v>-623688</v>
      </c>
      <c r="O94" s="8">
        <v>-675831</v>
      </c>
      <c r="P94" s="8">
        <v>-1132922</v>
      </c>
      <c r="Q94" s="9">
        <v>-970183</v>
      </c>
      <c r="R94" s="29">
        <f t="shared" si="9"/>
        <v>-10426423</v>
      </c>
      <c r="S94" s="29">
        <f t="shared" si="10"/>
        <v>-2351140</v>
      </c>
      <c r="T94" s="23">
        <f t="shared" si="11"/>
        <v>-2664816</v>
      </c>
      <c r="U94" s="23">
        <f t="shared" si="12"/>
        <v>-2631531</v>
      </c>
      <c r="V94" s="30">
        <f t="shared" si="13"/>
        <v>-2778936</v>
      </c>
    </row>
    <row r="95" spans="1:22" x14ac:dyDescent="0.25">
      <c r="A95" s="37" t="str">
        <f t="shared" si="7"/>
        <v>2022 Payroll Expense</v>
      </c>
      <c r="B95" s="7" t="s">
        <v>18</v>
      </c>
      <c r="C95" s="37" t="str">
        <f t="shared" si="8"/>
        <v>2022 Actuals Payroll Expense</v>
      </c>
      <c r="D95" s="18">
        <v>2022</v>
      </c>
      <c r="E95" s="18" t="s">
        <v>16</v>
      </c>
      <c r="F95" s="8">
        <v>-2065945</v>
      </c>
      <c r="G95" s="8">
        <v>-1474640</v>
      </c>
      <c r="H95" s="8">
        <v>-2117096</v>
      </c>
      <c r="I95" s="8">
        <v>-2790604</v>
      </c>
      <c r="J95" s="8">
        <v>-2540908</v>
      </c>
      <c r="K95" s="8">
        <v>-2325558</v>
      </c>
      <c r="L95" s="8">
        <v>-2387390</v>
      </c>
      <c r="M95" s="8">
        <v>-3056599</v>
      </c>
      <c r="N95" s="8">
        <v>-1798103</v>
      </c>
      <c r="O95" s="8">
        <v>-1677834</v>
      </c>
      <c r="P95" s="8">
        <v>-3256778</v>
      </c>
      <c r="Q95" s="9">
        <v>-2424353</v>
      </c>
      <c r="R95" s="29">
        <f t="shared" si="9"/>
        <v>-27915808</v>
      </c>
      <c r="S95" s="29">
        <f t="shared" si="10"/>
        <v>-5657681</v>
      </c>
      <c r="T95" s="23">
        <f t="shared" si="11"/>
        <v>-7657070</v>
      </c>
      <c r="U95" s="23">
        <f t="shared" si="12"/>
        <v>-7242092</v>
      </c>
      <c r="V95" s="30">
        <f t="shared" si="13"/>
        <v>-7358965</v>
      </c>
    </row>
    <row r="96" spans="1:22" x14ac:dyDescent="0.25">
      <c r="A96" s="37" t="str">
        <f t="shared" si="7"/>
        <v>2022 Travel &amp; Entertainment Expense</v>
      </c>
      <c r="B96" s="7" t="s">
        <v>19</v>
      </c>
      <c r="C96" s="37" t="str">
        <f t="shared" si="8"/>
        <v>2022 Actuals Travel &amp; Entertainment Expense</v>
      </c>
      <c r="D96" s="18">
        <v>2022</v>
      </c>
      <c r="E96" s="18" t="s">
        <v>16</v>
      </c>
      <c r="F96" s="8">
        <v>-240447</v>
      </c>
      <c r="G96" s="8">
        <v>-157072</v>
      </c>
      <c r="H96" s="8">
        <v>-183016</v>
      </c>
      <c r="I96" s="8">
        <v>-241630</v>
      </c>
      <c r="J96" s="8">
        <v>-239007</v>
      </c>
      <c r="K96" s="8">
        <v>-238586</v>
      </c>
      <c r="L96" s="8">
        <v>-266862</v>
      </c>
      <c r="M96" s="8">
        <v>-274476</v>
      </c>
      <c r="N96" s="8">
        <v>-188419</v>
      </c>
      <c r="O96" s="8">
        <v>-144601</v>
      </c>
      <c r="P96" s="8">
        <v>-275592</v>
      </c>
      <c r="Q96" s="9">
        <v>-214592</v>
      </c>
      <c r="R96" s="29">
        <f t="shared" si="9"/>
        <v>-2664300</v>
      </c>
      <c r="S96" s="29">
        <f t="shared" si="10"/>
        <v>-580535</v>
      </c>
      <c r="T96" s="23">
        <f t="shared" si="11"/>
        <v>-719223</v>
      </c>
      <c r="U96" s="23">
        <f t="shared" si="12"/>
        <v>-729757</v>
      </c>
      <c r="V96" s="30">
        <f t="shared" si="13"/>
        <v>-634785</v>
      </c>
    </row>
    <row r="97" spans="1:22" x14ac:dyDescent="0.25">
      <c r="A97" s="37" t="str">
        <f t="shared" si="7"/>
        <v>2022 R&amp;D Expense</v>
      </c>
      <c r="B97" s="7" t="s">
        <v>20</v>
      </c>
      <c r="C97" s="37" t="str">
        <f t="shared" si="8"/>
        <v>2022 Actuals R&amp;D Expense</v>
      </c>
      <c r="D97" s="18">
        <v>2022</v>
      </c>
      <c r="E97" s="18" t="s">
        <v>16</v>
      </c>
      <c r="F97" s="8">
        <v>-796397</v>
      </c>
      <c r="G97" s="8">
        <v>-610923</v>
      </c>
      <c r="H97" s="8">
        <v>-729783</v>
      </c>
      <c r="I97" s="8">
        <v>-913075</v>
      </c>
      <c r="J97" s="8">
        <v>-1012763</v>
      </c>
      <c r="K97" s="8">
        <v>-882471</v>
      </c>
      <c r="L97" s="8">
        <v>-1093311</v>
      </c>
      <c r="M97" s="8">
        <v>-1137735</v>
      </c>
      <c r="N97" s="8">
        <v>-686706</v>
      </c>
      <c r="O97" s="8">
        <v>-582618</v>
      </c>
      <c r="P97" s="8">
        <v>-1127220</v>
      </c>
      <c r="Q97" s="9">
        <v>-876587</v>
      </c>
      <c r="R97" s="29">
        <f t="shared" si="9"/>
        <v>-10449589</v>
      </c>
      <c r="S97" s="29">
        <f t="shared" si="10"/>
        <v>-2137103</v>
      </c>
      <c r="T97" s="23">
        <f t="shared" si="11"/>
        <v>-2808309</v>
      </c>
      <c r="U97" s="23">
        <f t="shared" si="12"/>
        <v>-2917752</v>
      </c>
      <c r="V97" s="30">
        <f t="shared" si="13"/>
        <v>-2586425</v>
      </c>
    </row>
    <row r="98" spans="1:22" x14ac:dyDescent="0.25">
      <c r="A98" s="37" t="str">
        <f t="shared" si="7"/>
        <v>2022 Consulting Expense</v>
      </c>
      <c r="B98" s="7" t="s">
        <v>21</v>
      </c>
      <c r="C98" s="37" t="str">
        <f t="shared" si="8"/>
        <v>2022 Actuals Consulting Expense</v>
      </c>
      <c r="D98" s="18">
        <v>2022</v>
      </c>
      <c r="E98" s="18" t="s">
        <v>16</v>
      </c>
      <c r="F98" s="8">
        <v>-1199233</v>
      </c>
      <c r="G98" s="8">
        <v>-811310</v>
      </c>
      <c r="H98" s="8">
        <v>-900254</v>
      </c>
      <c r="I98" s="8">
        <v>-1164976</v>
      </c>
      <c r="J98" s="8">
        <v>-1151854</v>
      </c>
      <c r="K98" s="8">
        <v>-1034607</v>
      </c>
      <c r="L98" s="8">
        <v>-1285049</v>
      </c>
      <c r="M98" s="8">
        <v>-1518350</v>
      </c>
      <c r="N98" s="8">
        <v>-866477</v>
      </c>
      <c r="O98" s="8">
        <v>-705238</v>
      </c>
      <c r="P98" s="8">
        <v>-1549744</v>
      </c>
      <c r="Q98" s="9">
        <v>-1249787</v>
      </c>
      <c r="R98" s="29">
        <f t="shared" si="9"/>
        <v>-13436879</v>
      </c>
      <c r="S98" s="29">
        <f t="shared" si="10"/>
        <v>-2910797</v>
      </c>
      <c r="T98" s="23">
        <f t="shared" si="11"/>
        <v>-3351437</v>
      </c>
      <c r="U98" s="23">
        <f t="shared" si="12"/>
        <v>-3669876</v>
      </c>
      <c r="V98" s="30">
        <f t="shared" si="13"/>
        <v>-3504769</v>
      </c>
    </row>
    <row r="99" spans="1:22" x14ac:dyDescent="0.25">
      <c r="A99" s="37" t="str">
        <f t="shared" si="7"/>
        <v>2022 Software/Hardware Expense</v>
      </c>
      <c r="B99" s="7" t="s">
        <v>22</v>
      </c>
      <c r="C99" s="37" t="str">
        <f t="shared" si="8"/>
        <v>2022 Actuals Software/Hardware Expense</v>
      </c>
      <c r="D99" s="18">
        <v>2022</v>
      </c>
      <c r="E99" s="18" t="s">
        <v>16</v>
      </c>
      <c r="F99" s="8">
        <v>-1445011</v>
      </c>
      <c r="G99" s="8">
        <v>-1126211</v>
      </c>
      <c r="H99" s="8">
        <v>-1306570</v>
      </c>
      <c r="I99" s="8">
        <v>-1839960</v>
      </c>
      <c r="J99" s="8">
        <v>-1539232</v>
      </c>
      <c r="K99" s="8">
        <v>-1482785</v>
      </c>
      <c r="L99" s="8">
        <v>-1588028</v>
      </c>
      <c r="M99" s="8">
        <v>-1880876</v>
      </c>
      <c r="N99" s="8">
        <v>-1288625</v>
      </c>
      <c r="O99" s="8">
        <v>-1107308</v>
      </c>
      <c r="P99" s="8">
        <v>-2083925</v>
      </c>
      <c r="Q99" s="9">
        <v>-1761373</v>
      </c>
      <c r="R99" s="29">
        <f t="shared" si="9"/>
        <v>-18449904</v>
      </c>
      <c r="S99" s="29">
        <f t="shared" si="10"/>
        <v>-3877792</v>
      </c>
      <c r="T99" s="23">
        <f t="shared" si="11"/>
        <v>-4861977</v>
      </c>
      <c r="U99" s="23">
        <f t="shared" si="12"/>
        <v>-4757529</v>
      </c>
      <c r="V99" s="30">
        <f t="shared" si="13"/>
        <v>-4952606</v>
      </c>
    </row>
    <row r="100" spans="1:22" x14ac:dyDescent="0.25">
      <c r="A100" s="37" t="str">
        <f t="shared" si="7"/>
        <v>2022 Marketing Expense</v>
      </c>
      <c r="B100" s="7" t="s">
        <v>23</v>
      </c>
      <c r="C100" s="37" t="str">
        <f t="shared" si="8"/>
        <v>2022 Actuals Marketing Expense</v>
      </c>
      <c r="D100" s="18">
        <v>2022</v>
      </c>
      <c r="E100" s="18" t="s">
        <v>16</v>
      </c>
      <c r="F100" s="8">
        <v>-420494</v>
      </c>
      <c r="G100" s="8">
        <v>-304699</v>
      </c>
      <c r="H100" s="8">
        <v>-395657</v>
      </c>
      <c r="I100" s="8">
        <v>-479567</v>
      </c>
      <c r="J100" s="8">
        <v>-522262</v>
      </c>
      <c r="K100" s="8">
        <v>-404189</v>
      </c>
      <c r="L100" s="8">
        <v>-497618</v>
      </c>
      <c r="M100" s="8">
        <v>-499475</v>
      </c>
      <c r="N100" s="8">
        <v>-321370</v>
      </c>
      <c r="O100" s="8">
        <v>-275373</v>
      </c>
      <c r="P100" s="8">
        <v>-589065</v>
      </c>
      <c r="Q100" s="9">
        <v>-494276</v>
      </c>
      <c r="R100" s="29">
        <f t="shared" si="9"/>
        <v>-5204045</v>
      </c>
      <c r="S100" s="29">
        <f t="shared" si="10"/>
        <v>-1120850</v>
      </c>
      <c r="T100" s="23">
        <f t="shared" si="11"/>
        <v>-1406018</v>
      </c>
      <c r="U100" s="23">
        <f t="shared" si="12"/>
        <v>-1318463</v>
      </c>
      <c r="V100" s="30">
        <f t="shared" si="13"/>
        <v>-1358714</v>
      </c>
    </row>
    <row r="101" spans="1:22" x14ac:dyDescent="0.25">
      <c r="A101" s="37" t="str">
        <f t="shared" si="7"/>
        <v>2023 Sales</v>
      </c>
      <c r="B101" s="16" t="s">
        <v>15</v>
      </c>
      <c r="C101" s="132" t="str">
        <f t="shared" si="8"/>
        <v>2023 Budget Sales</v>
      </c>
      <c r="D101" s="18">
        <v>2023</v>
      </c>
      <c r="E101" s="18" t="s">
        <v>24</v>
      </c>
      <c r="F101" s="8">
        <v>23364309.02</v>
      </c>
      <c r="G101" s="8">
        <v>21931317.539999999</v>
      </c>
      <c r="H101" s="8">
        <v>19875714</v>
      </c>
      <c r="I101" s="8">
        <v>14923415.699999999</v>
      </c>
      <c r="J101" s="8">
        <v>20102023.440000001</v>
      </c>
      <c r="K101" s="8">
        <v>14974777.27</v>
      </c>
      <c r="L101" s="8">
        <v>15269694.4</v>
      </c>
      <c r="M101" s="8">
        <v>17843295.870000001</v>
      </c>
      <c r="N101" s="8">
        <v>20821146.059999999</v>
      </c>
      <c r="O101" s="8">
        <v>18455103.039999999</v>
      </c>
      <c r="P101" s="8">
        <v>28725181.800000001</v>
      </c>
      <c r="Q101" s="9">
        <v>23499890.91</v>
      </c>
      <c r="R101" s="29">
        <f t="shared" si="9"/>
        <v>239785869.05000001</v>
      </c>
      <c r="S101" s="29">
        <f t="shared" si="10"/>
        <v>65171340.560000002</v>
      </c>
      <c r="T101" s="23">
        <f t="shared" si="11"/>
        <v>50000216.409999996</v>
      </c>
      <c r="U101" s="23">
        <f t="shared" si="12"/>
        <v>53934136.329999998</v>
      </c>
      <c r="V101" s="30">
        <f t="shared" si="13"/>
        <v>70680175.75</v>
      </c>
    </row>
    <row r="102" spans="1:22" x14ac:dyDescent="0.25">
      <c r="A102" s="37" t="str">
        <f t="shared" si="7"/>
        <v>2023 COGS</v>
      </c>
      <c r="B102" s="7" t="s">
        <v>34</v>
      </c>
      <c r="C102" s="37" t="str">
        <f t="shared" si="8"/>
        <v>2023 Budget COGS</v>
      </c>
      <c r="D102" s="18">
        <v>2023</v>
      </c>
      <c r="E102" s="18" t="s">
        <v>24</v>
      </c>
      <c r="F102" s="8">
        <v>-9770870</v>
      </c>
      <c r="G102" s="8">
        <v>-9977447</v>
      </c>
      <c r="H102" s="8">
        <v>-9318571</v>
      </c>
      <c r="I102" s="8">
        <v>-7177432</v>
      </c>
      <c r="J102" s="8">
        <v>-10040815</v>
      </c>
      <c r="K102" s="8">
        <v>-6705472</v>
      </c>
      <c r="L102" s="8">
        <v>-6527053</v>
      </c>
      <c r="M102" s="8">
        <v>-7338883</v>
      </c>
      <c r="N102" s="8">
        <v>-8598615</v>
      </c>
      <c r="O102" s="8">
        <v>-8754005</v>
      </c>
      <c r="P102" s="8">
        <v>-12960586</v>
      </c>
      <c r="Q102" s="9">
        <v>-10440153</v>
      </c>
      <c r="R102" s="29">
        <f t="shared" si="9"/>
        <v>-107609902</v>
      </c>
      <c r="S102" s="29">
        <f t="shared" si="10"/>
        <v>-29066888</v>
      </c>
      <c r="T102" s="23">
        <f t="shared" si="11"/>
        <v>-23923719</v>
      </c>
      <c r="U102" s="23">
        <f t="shared" si="12"/>
        <v>-22464551</v>
      </c>
      <c r="V102" s="30">
        <f t="shared" si="13"/>
        <v>-32154744</v>
      </c>
    </row>
    <row r="103" spans="1:22" x14ac:dyDescent="0.25">
      <c r="A103" s="37" t="str">
        <f t="shared" si="7"/>
        <v>2023 Commissions Expense</v>
      </c>
      <c r="B103" s="7" t="s">
        <v>17</v>
      </c>
      <c r="C103" s="37" t="str">
        <f t="shared" si="8"/>
        <v>2023 Budget Commissions Expense</v>
      </c>
      <c r="D103" s="18">
        <v>2023</v>
      </c>
      <c r="E103" s="18" t="s">
        <v>24</v>
      </c>
      <c r="F103" s="8">
        <v>-998448</v>
      </c>
      <c r="G103" s="8">
        <v>-906026</v>
      </c>
      <c r="H103" s="8">
        <v>-816425</v>
      </c>
      <c r="I103" s="8">
        <v>-657707</v>
      </c>
      <c r="J103" s="8">
        <v>-898385</v>
      </c>
      <c r="K103" s="8">
        <v>-723954</v>
      </c>
      <c r="L103" s="8">
        <v>-621806</v>
      </c>
      <c r="M103" s="8">
        <v>-778231</v>
      </c>
      <c r="N103" s="8">
        <v>-920749</v>
      </c>
      <c r="O103" s="8">
        <v>-855672</v>
      </c>
      <c r="P103" s="8">
        <v>-1292991</v>
      </c>
      <c r="Q103" s="9">
        <v>-1173809</v>
      </c>
      <c r="R103" s="29">
        <f t="shared" si="9"/>
        <v>-10644203</v>
      </c>
      <c r="S103" s="29">
        <f t="shared" si="10"/>
        <v>-2720899</v>
      </c>
      <c r="T103" s="23">
        <f t="shared" si="11"/>
        <v>-2280046</v>
      </c>
      <c r="U103" s="23">
        <f t="shared" si="12"/>
        <v>-2320786</v>
      </c>
      <c r="V103" s="30">
        <f t="shared" si="13"/>
        <v>-3322472</v>
      </c>
    </row>
    <row r="104" spans="1:22" x14ac:dyDescent="0.25">
      <c r="A104" s="37" t="str">
        <f t="shared" si="7"/>
        <v>2023 Payroll Expense</v>
      </c>
      <c r="B104" s="7" t="s">
        <v>18</v>
      </c>
      <c r="C104" s="37" t="str">
        <f t="shared" si="8"/>
        <v>2023 Budget Payroll Expense</v>
      </c>
      <c r="D104" s="18">
        <v>2023</v>
      </c>
      <c r="E104" s="18" t="s">
        <v>24</v>
      </c>
      <c r="F104" s="8">
        <v>-2858483</v>
      </c>
      <c r="G104" s="8">
        <v>-2305377</v>
      </c>
      <c r="H104" s="8">
        <v>-2131212</v>
      </c>
      <c r="I104" s="8">
        <v>-1590327</v>
      </c>
      <c r="J104" s="8">
        <v>-2085973</v>
      </c>
      <c r="K104" s="8">
        <v>-1703752</v>
      </c>
      <c r="L104" s="8">
        <v>-1695552</v>
      </c>
      <c r="M104" s="8">
        <v>-1788917</v>
      </c>
      <c r="N104" s="8">
        <v>-2327015</v>
      </c>
      <c r="O104" s="8">
        <v>-2071414</v>
      </c>
      <c r="P104" s="8">
        <v>-3239804</v>
      </c>
      <c r="Q104" s="9">
        <v>-2746179</v>
      </c>
      <c r="R104" s="29">
        <f t="shared" si="9"/>
        <v>-26544005</v>
      </c>
      <c r="S104" s="29">
        <f t="shared" si="10"/>
        <v>-7295072</v>
      </c>
      <c r="T104" s="23">
        <f t="shared" si="11"/>
        <v>-5380052</v>
      </c>
      <c r="U104" s="23">
        <f t="shared" si="12"/>
        <v>-5811484</v>
      </c>
      <c r="V104" s="30">
        <f t="shared" si="13"/>
        <v>-8057397</v>
      </c>
    </row>
    <row r="105" spans="1:22" x14ac:dyDescent="0.25">
      <c r="A105" s="37" t="str">
        <f t="shared" si="7"/>
        <v>2023 Travel &amp; Entertainment Expense</v>
      </c>
      <c r="B105" s="7" t="s">
        <v>19</v>
      </c>
      <c r="C105" s="37" t="str">
        <f t="shared" si="8"/>
        <v>2023 Budget Travel &amp; Entertainment Expense</v>
      </c>
      <c r="D105" s="18">
        <v>2023</v>
      </c>
      <c r="E105" s="18" t="s">
        <v>24</v>
      </c>
      <c r="F105" s="8">
        <v>-285338</v>
      </c>
      <c r="G105" s="8">
        <v>-244889</v>
      </c>
      <c r="H105" s="8">
        <v>-233148</v>
      </c>
      <c r="I105" s="8">
        <v>-166561</v>
      </c>
      <c r="J105" s="8">
        <v>-244687</v>
      </c>
      <c r="K105" s="8">
        <v>-161345</v>
      </c>
      <c r="L105" s="8">
        <v>-178305</v>
      </c>
      <c r="M105" s="8">
        <v>-192708</v>
      </c>
      <c r="N105" s="8">
        <v>-243644</v>
      </c>
      <c r="O105" s="8">
        <v>-226447</v>
      </c>
      <c r="P105" s="8">
        <v>-305055</v>
      </c>
      <c r="Q105" s="9">
        <v>-280685</v>
      </c>
      <c r="R105" s="29">
        <f t="shared" si="9"/>
        <v>-2762812</v>
      </c>
      <c r="S105" s="29">
        <f t="shared" si="10"/>
        <v>-763375</v>
      </c>
      <c r="T105" s="23">
        <f t="shared" si="11"/>
        <v>-572593</v>
      </c>
      <c r="U105" s="23">
        <f t="shared" si="12"/>
        <v>-614657</v>
      </c>
      <c r="V105" s="30">
        <f t="shared" si="13"/>
        <v>-812187</v>
      </c>
    </row>
    <row r="106" spans="1:22" x14ac:dyDescent="0.25">
      <c r="A106" s="37" t="str">
        <f t="shared" si="7"/>
        <v>2023 R&amp;D Expense</v>
      </c>
      <c r="B106" s="7" t="s">
        <v>20</v>
      </c>
      <c r="C106" s="37" t="str">
        <f t="shared" si="8"/>
        <v>2023 Budget R&amp;D Expense</v>
      </c>
      <c r="D106" s="18">
        <v>2023</v>
      </c>
      <c r="E106" s="18" t="s">
        <v>24</v>
      </c>
      <c r="F106" s="8">
        <v>-1031961</v>
      </c>
      <c r="G106" s="8">
        <v>-1042954</v>
      </c>
      <c r="H106" s="8">
        <v>-920646</v>
      </c>
      <c r="I106" s="8">
        <v>-731175</v>
      </c>
      <c r="J106" s="8">
        <v>-848528</v>
      </c>
      <c r="K106" s="8">
        <v>-736400</v>
      </c>
      <c r="L106" s="8">
        <v>-719835</v>
      </c>
      <c r="M106" s="8">
        <v>-881777</v>
      </c>
      <c r="N106" s="8">
        <v>-847120</v>
      </c>
      <c r="O106" s="8">
        <v>-844418</v>
      </c>
      <c r="P106" s="8">
        <v>-1401315</v>
      </c>
      <c r="Q106" s="9">
        <v>-1079897</v>
      </c>
      <c r="R106" s="29">
        <f t="shared" si="9"/>
        <v>-11086026</v>
      </c>
      <c r="S106" s="29">
        <f t="shared" si="10"/>
        <v>-2995561</v>
      </c>
      <c r="T106" s="23">
        <f t="shared" si="11"/>
        <v>-2316103</v>
      </c>
      <c r="U106" s="23">
        <f t="shared" si="12"/>
        <v>-2448732</v>
      </c>
      <c r="V106" s="30">
        <f t="shared" si="13"/>
        <v>-3325630</v>
      </c>
    </row>
    <row r="107" spans="1:22" x14ac:dyDescent="0.25">
      <c r="A107" s="37" t="str">
        <f t="shared" si="7"/>
        <v>2023 Consulting Expense</v>
      </c>
      <c r="B107" s="7" t="s">
        <v>21</v>
      </c>
      <c r="C107" s="37" t="str">
        <f t="shared" si="8"/>
        <v>2023 Budget Consulting Expense</v>
      </c>
      <c r="D107" s="18">
        <v>2023</v>
      </c>
      <c r="E107" s="18" t="s">
        <v>24</v>
      </c>
      <c r="F107" s="8">
        <v>-1170898</v>
      </c>
      <c r="G107" s="8">
        <v>-1234525</v>
      </c>
      <c r="H107" s="8">
        <v>-1172371</v>
      </c>
      <c r="I107" s="8">
        <v>-753727</v>
      </c>
      <c r="J107" s="8">
        <v>-1051436</v>
      </c>
      <c r="K107" s="8">
        <v>-922198</v>
      </c>
      <c r="L107" s="8">
        <v>-907610</v>
      </c>
      <c r="M107" s="8">
        <v>-961198</v>
      </c>
      <c r="N107" s="8">
        <v>-1254550</v>
      </c>
      <c r="O107" s="8">
        <v>-945986</v>
      </c>
      <c r="P107" s="8">
        <v>-1699048</v>
      </c>
      <c r="Q107" s="9">
        <v>-1191231</v>
      </c>
      <c r="R107" s="29">
        <f t="shared" si="9"/>
        <v>-13264778</v>
      </c>
      <c r="S107" s="29">
        <f t="shared" si="10"/>
        <v>-3577794</v>
      </c>
      <c r="T107" s="23">
        <f t="shared" si="11"/>
        <v>-2727361</v>
      </c>
      <c r="U107" s="23">
        <f t="shared" si="12"/>
        <v>-3123358</v>
      </c>
      <c r="V107" s="30">
        <f t="shared" si="13"/>
        <v>-3836265</v>
      </c>
    </row>
    <row r="108" spans="1:22" x14ac:dyDescent="0.25">
      <c r="A108" s="37" t="str">
        <f t="shared" si="7"/>
        <v>2023 Software/Hardware Expense</v>
      </c>
      <c r="B108" s="7" t="s">
        <v>22</v>
      </c>
      <c r="C108" s="37" t="str">
        <f t="shared" si="8"/>
        <v>2023 Budget Software/Hardware Expense</v>
      </c>
      <c r="D108" s="18">
        <v>2023</v>
      </c>
      <c r="E108" s="18" t="s">
        <v>24</v>
      </c>
      <c r="F108" s="8">
        <v>-1980716</v>
      </c>
      <c r="G108" s="8">
        <v>-1788979</v>
      </c>
      <c r="H108" s="8">
        <v>-1719915</v>
      </c>
      <c r="I108" s="8">
        <v>-1088499</v>
      </c>
      <c r="J108" s="8">
        <v>-1502513</v>
      </c>
      <c r="K108" s="8">
        <v>-1239582</v>
      </c>
      <c r="L108" s="8">
        <v>-1127643</v>
      </c>
      <c r="M108" s="8">
        <v>-1387114</v>
      </c>
      <c r="N108" s="8">
        <v>-1526398</v>
      </c>
      <c r="O108" s="8">
        <v>-1372656</v>
      </c>
      <c r="P108" s="8">
        <v>-2454975</v>
      </c>
      <c r="Q108" s="9">
        <v>-1754241</v>
      </c>
      <c r="R108" s="29">
        <f t="shared" si="9"/>
        <v>-18943231</v>
      </c>
      <c r="S108" s="29">
        <f t="shared" si="10"/>
        <v>-5489610</v>
      </c>
      <c r="T108" s="23">
        <f t="shared" si="11"/>
        <v>-3830594</v>
      </c>
      <c r="U108" s="23">
        <f t="shared" si="12"/>
        <v>-4041155</v>
      </c>
      <c r="V108" s="30">
        <f t="shared" si="13"/>
        <v>-5581872</v>
      </c>
    </row>
    <row r="109" spans="1:22" x14ac:dyDescent="0.25">
      <c r="A109" s="37" t="str">
        <f t="shared" si="7"/>
        <v>2023 Marketing Expense</v>
      </c>
      <c r="B109" s="7" t="s">
        <v>23</v>
      </c>
      <c r="C109" s="37" t="str">
        <f t="shared" si="8"/>
        <v>2023 Budget Marketing Expense</v>
      </c>
      <c r="D109" s="18">
        <v>2023</v>
      </c>
      <c r="E109" s="18" t="s">
        <v>24</v>
      </c>
      <c r="F109" s="8">
        <v>-566582</v>
      </c>
      <c r="G109" s="8">
        <v>-505261</v>
      </c>
      <c r="H109" s="8">
        <v>-426912</v>
      </c>
      <c r="I109" s="8">
        <v>-323456</v>
      </c>
      <c r="J109" s="8">
        <v>-432583</v>
      </c>
      <c r="K109" s="8">
        <v>-305741</v>
      </c>
      <c r="L109" s="8">
        <v>-310930</v>
      </c>
      <c r="M109" s="8">
        <v>-427699</v>
      </c>
      <c r="N109" s="8">
        <v>-433517</v>
      </c>
      <c r="O109" s="8">
        <v>-412281</v>
      </c>
      <c r="P109" s="8">
        <v>-629706</v>
      </c>
      <c r="Q109" s="9">
        <v>-493044</v>
      </c>
      <c r="R109" s="29">
        <f t="shared" si="9"/>
        <v>-5267712</v>
      </c>
      <c r="S109" s="29">
        <f t="shared" si="10"/>
        <v>-1498755</v>
      </c>
      <c r="T109" s="23">
        <f t="shared" si="11"/>
        <v>-1061780</v>
      </c>
      <c r="U109" s="23">
        <f t="shared" si="12"/>
        <v>-1172146</v>
      </c>
      <c r="V109" s="30">
        <f t="shared" si="13"/>
        <v>-1535031</v>
      </c>
    </row>
    <row r="110" spans="1:22" x14ac:dyDescent="0.25">
      <c r="A110" s="37" t="str">
        <f t="shared" si="7"/>
        <v>2023 Sales</v>
      </c>
      <c r="B110" s="16" t="s">
        <v>15</v>
      </c>
      <c r="C110" s="132" t="str">
        <f t="shared" si="8"/>
        <v>2023 Forecast Sales</v>
      </c>
      <c r="D110" s="18">
        <v>2023</v>
      </c>
      <c r="E110" s="18" t="s">
        <v>25</v>
      </c>
      <c r="F110" s="8">
        <v>17006388.960000001</v>
      </c>
      <c r="G110" s="8">
        <v>16032638.16</v>
      </c>
      <c r="H110" s="8">
        <v>14532700.26</v>
      </c>
      <c r="I110" s="8">
        <v>20558020.77</v>
      </c>
      <c r="J110" s="8">
        <v>16403487.07</v>
      </c>
      <c r="K110" s="8">
        <v>20793623.239999998</v>
      </c>
      <c r="L110" s="8">
        <v>16635322.08</v>
      </c>
      <c r="M110" s="8">
        <v>26706652.449999999</v>
      </c>
      <c r="N110" s="8">
        <v>16700153.800000001</v>
      </c>
      <c r="O110" s="8">
        <v>17221731.199999999</v>
      </c>
      <c r="P110" s="8">
        <v>18379650.52</v>
      </c>
      <c r="Q110" s="9">
        <v>16430041.26</v>
      </c>
      <c r="R110" s="29">
        <f t="shared" si="9"/>
        <v>217400409.76999998</v>
      </c>
      <c r="S110" s="29">
        <f t="shared" si="10"/>
        <v>47571727.380000003</v>
      </c>
      <c r="T110" s="23">
        <f t="shared" si="11"/>
        <v>57755131.079999998</v>
      </c>
      <c r="U110" s="23">
        <f t="shared" si="12"/>
        <v>60042128.329999998</v>
      </c>
      <c r="V110" s="30">
        <f t="shared" si="13"/>
        <v>52031422.979999997</v>
      </c>
    </row>
    <row r="111" spans="1:22" x14ac:dyDescent="0.25">
      <c r="A111" s="37" t="str">
        <f t="shared" si="7"/>
        <v>2023 COGS</v>
      </c>
      <c r="B111" s="7" t="s">
        <v>34</v>
      </c>
      <c r="C111" s="37" t="str">
        <f t="shared" si="8"/>
        <v>2023 Forecast COGS</v>
      </c>
      <c r="D111" s="18">
        <v>2023</v>
      </c>
      <c r="E111" s="18" t="s">
        <v>25</v>
      </c>
      <c r="F111" s="8">
        <v>-7139124</v>
      </c>
      <c r="G111" s="8">
        <v>-6558131</v>
      </c>
      <c r="H111" s="8">
        <v>-5982628</v>
      </c>
      <c r="I111" s="8">
        <v>-9936401</v>
      </c>
      <c r="J111" s="8">
        <v>-7091143</v>
      </c>
      <c r="K111" s="8">
        <v>-8326629</v>
      </c>
      <c r="L111" s="8">
        <v>-7786192</v>
      </c>
      <c r="M111" s="8">
        <v>-11348186</v>
      </c>
      <c r="N111" s="8">
        <v>-7370420</v>
      </c>
      <c r="O111" s="8">
        <v>-7201133</v>
      </c>
      <c r="P111" s="8">
        <v>-9088004</v>
      </c>
      <c r="Q111" s="9">
        <v>-6637350</v>
      </c>
      <c r="R111" s="29">
        <f t="shared" si="9"/>
        <v>-94465341</v>
      </c>
      <c r="S111" s="29">
        <f t="shared" si="10"/>
        <v>-19679883</v>
      </c>
      <c r="T111" s="23">
        <f t="shared" si="11"/>
        <v>-25354173</v>
      </c>
      <c r="U111" s="23">
        <f t="shared" si="12"/>
        <v>-26504798</v>
      </c>
      <c r="V111" s="30">
        <f t="shared" si="13"/>
        <v>-22926487</v>
      </c>
    </row>
    <row r="112" spans="1:22" x14ac:dyDescent="0.25">
      <c r="A112" s="37" t="str">
        <f t="shared" si="7"/>
        <v>2023 Commissions Expense</v>
      </c>
      <c r="B112" s="7" t="s">
        <v>17</v>
      </c>
      <c r="C112" s="37" t="str">
        <f t="shared" si="8"/>
        <v>2023 Forecast Commissions Expense</v>
      </c>
      <c r="D112" s="18">
        <v>2023</v>
      </c>
      <c r="E112" s="18" t="s">
        <v>25</v>
      </c>
      <c r="F112" s="8">
        <v>-803688</v>
      </c>
      <c r="G112" s="8">
        <v>-739259</v>
      </c>
      <c r="H112" s="8">
        <v>-592091</v>
      </c>
      <c r="I112" s="8">
        <v>-918521</v>
      </c>
      <c r="J112" s="8">
        <v>-663152</v>
      </c>
      <c r="K112" s="8">
        <v>-840619</v>
      </c>
      <c r="L112" s="8">
        <v>-680646</v>
      </c>
      <c r="M112" s="8">
        <v>-1322559</v>
      </c>
      <c r="N112" s="8">
        <v>-739411</v>
      </c>
      <c r="O112" s="8">
        <v>-813025</v>
      </c>
      <c r="P112" s="8">
        <v>-885800</v>
      </c>
      <c r="Q112" s="9">
        <v>-802943</v>
      </c>
      <c r="R112" s="29">
        <f t="shared" si="9"/>
        <v>-9801714</v>
      </c>
      <c r="S112" s="29">
        <f t="shared" si="10"/>
        <v>-2135038</v>
      </c>
      <c r="T112" s="23">
        <f t="shared" si="11"/>
        <v>-2422292</v>
      </c>
      <c r="U112" s="23">
        <f t="shared" si="12"/>
        <v>-2742616</v>
      </c>
      <c r="V112" s="30">
        <f t="shared" si="13"/>
        <v>-2501768</v>
      </c>
    </row>
    <row r="113" spans="1:22" x14ac:dyDescent="0.25">
      <c r="A113" s="37" t="str">
        <f t="shared" si="7"/>
        <v>2023 Payroll Expense</v>
      </c>
      <c r="B113" s="7" t="s">
        <v>18</v>
      </c>
      <c r="C113" s="37" t="str">
        <f t="shared" si="8"/>
        <v>2023 Forecast Payroll Expense</v>
      </c>
      <c r="D113" s="18">
        <v>2023</v>
      </c>
      <c r="E113" s="18" t="s">
        <v>25</v>
      </c>
      <c r="F113" s="8">
        <v>-1775134</v>
      </c>
      <c r="G113" s="8">
        <v>-1641526</v>
      </c>
      <c r="H113" s="8">
        <v>-1648504</v>
      </c>
      <c r="I113" s="8">
        <v>-2569037</v>
      </c>
      <c r="J113" s="8">
        <v>-1934072</v>
      </c>
      <c r="K113" s="8">
        <v>-2504228</v>
      </c>
      <c r="L113" s="8">
        <v>-1924690</v>
      </c>
      <c r="M113" s="8">
        <v>-3011577</v>
      </c>
      <c r="N113" s="8">
        <v>-1750792</v>
      </c>
      <c r="O113" s="8">
        <v>-1993161</v>
      </c>
      <c r="P113" s="8">
        <v>-1924696</v>
      </c>
      <c r="Q113" s="9">
        <v>-2012016</v>
      </c>
      <c r="R113" s="29">
        <f t="shared" si="9"/>
        <v>-24689433</v>
      </c>
      <c r="S113" s="29">
        <f t="shared" si="10"/>
        <v>-5065164</v>
      </c>
      <c r="T113" s="23">
        <f t="shared" si="11"/>
        <v>-7007337</v>
      </c>
      <c r="U113" s="23">
        <f t="shared" si="12"/>
        <v>-6687059</v>
      </c>
      <c r="V113" s="30">
        <f t="shared" si="13"/>
        <v>-5929873</v>
      </c>
    </row>
    <row r="114" spans="1:22" x14ac:dyDescent="0.25">
      <c r="A114" s="37" t="str">
        <f t="shared" si="7"/>
        <v>2023 Travel &amp; Entertainment Expense</v>
      </c>
      <c r="B114" s="7" t="s">
        <v>19</v>
      </c>
      <c r="C114" s="37" t="str">
        <f t="shared" si="8"/>
        <v>2023 Forecast Travel &amp; Entertainment Expense</v>
      </c>
      <c r="D114" s="18">
        <v>2023</v>
      </c>
      <c r="E114" s="18" t="s">
        <v>25</v>
      </c>
      <c r="F114" s="8">
        <v>-184417</v>
      </c>
      <c r="G114" s="8">
        <v>-161775</v>
      </c>
      <c r="H114" s="8">
        <v>-161976</v>
      </c>
      <c r="I114" s="8">
        <v>-244398</v>
      </c>
      <c r="J114" s="8">
        <v>-192012</v>
      </c>
      <c r="K114" s="8">
        <v>-219272</v>
      </c>
      <c r="L114" s="8">
        <v>-167711</v>
      </c>
      <c r="M114" s="8">
        <v>-289743</v>
      </c>
      <c r="N114" s="8">
        <v>-168764</v>
      </c>
      <c r="O114" s="8">
        <v>-197206</v>
      </c>
      <c r="P114" s="8">
        <v>-228371</v>
      </c>
      <c r="Q114" s="9">
        <v>-193657</v>
      </c>
      <c r="R114" s="29">
        <f t="shared" si="9"/>
        <v>-2409302</v>
      </c>
      <c r="S114" s="29">
        <f t="shared" si="10"/>
        <v>-508168</v>
      </c>
      <c r="T114" s="23">
        <f t="shared" si="11"/>
        <v>-655682</v>
      </c>
      <c r="U114" s="23">
        <f t="shared" si="12"/>
        <v>-626218</v>
      </c>
      <c r="V114" s="30">
        <f t="shared" si="13"/>
        <v>-619234</v>
      </c>
    </row>
    <row r="115" spans="1:22" x14ac:dyDescent="0.25">
      <c r="A115" s="37" t="str">
        <f t="shared" si="7"/>
        <v>2023 R&amp;D Expense</v>
      </c>
      <c r="B115" s="7" t="s">
        <v>20</v>
      </c>
      <c r="C115" s="37" t="str">
        <f t="shared" si="8"/>
        <v>2023 Forecast R&amp;D Expense</v>
      </c>
      <c r="D115" s="18">
        <v>2023</v>
      </c>
      <c r="E115" s="18" t="s">
        <v>25</v>
      </c>
      <c r="F115" s="8">
        <v>-822293</v>
      </c>
      <c r="G115" s="8">
        <v>-701739</v>
      </c>
      <c r="H115" s="8">
        <v>-651658</v>
      </c>
      <c r="I115" s="8">
        <v>-878628</v>
      </c>
      <c r="J115" s="8">
        <v>-764328</v>
      </c>
      <c r="K115" s="8">
        <v>-998972</v>
      </c>
      <c r="L115" s="8">
        <v>-809874</v>
      </c>
      <c r="M115" s="8">
        <v>-1081271</v>
      </c>
      <c r="N115" s="8">
        <v>-688376</v>
      </c>
      <c r="O115" s="8">
        <v>-770508</v>
      </c>
      <c r="P115" s="8">
        <v>-750435</v>
      </c>
      <c r="Q115" s="9">
        <v>-712111</v>
      </c>
      <c r="R115" s="29">
        <f t="shared" si="9"/>
        <v>-9630193</v>
      </c>
      <c r="S115" s="29">
        <f t="shared" si="10"/>
        <v>-2175690</v>
      </c>
      <c r="T115" s="23">
        <f t="shared" si="11"/>
        <v>-2641928</v>
      </c>
      <c r="U115" s="23">
        <f t="shared" si="12"/>
        <v>-2579521</v>
      </c>
      <c r="V115" s="30">
        <f t="shared" si="13"/>
        <v>-2233054</v>
      </c>
    </row>
    <row r="116" spans="1:22" x14ac:dyDescent="0.25">
      <c r="A116" s="37" t="str">
        <f t="shared" si="7"/>
        <v>2023 Consulting Expense</v>
      </c>
      <c r="B116" s="7" t="s">
        <v>21</v>
      </c>
      <c r="C116" s="37" t="str">
        <f t="shared" si="8"/>
        <v>2023 Forecast Consulting Expense</v>
      </c>
      <c r="D116" s="18">
        <v>2023</v>
      </c>
      <c r="E116" s="18" t="s">
        <v>25</v>
      </c>
      <c r="F116" s="8">
        <v>-874275</v>
      </c>
      <c r="G116" s="8">
        <v>-940682</v>
      </c>
      <c r="H116" s="8">
        <v>-892071</v>
      </c>
      <c r="I116" s="8">
        <v>-1227751</v>
      </c>
      <c r="J116" s="8">
        <v>-1019603</v>
      </c>
      <c r="K116" s="8">
        <v>-1199508</v>
      </c>
      <c r="L116" s="8">
        <v>-835310</v>
      </c>
      <c r="M116" s="8">
        <v>-1647093</v>
      </c>
      <c r="N116" s="8">
        <v>-840393</v>
      </c>
      <c r="O116" s="8">
        <v>-892880</v>
      </c>
      <c r="P116" s="8">
        <v>-991474</v>
      </c>
      <c r="Q116" s="9">
        <v>-824952</v>
      </c>
      <c r="R116" s="29">
        <f t="shared" si="9"/>
        <v>-12185992</v>
      </c>
      <c r="S116" s="29">
        <f t="shared" si="10"/>
        <v>-2707028</v>
      </c>
      <c r="T116" s="23">
        <f t="shared" si="11"/>
        <v>-3446862</v>
      </c>
      <c r="U116" s="23">
        <f t="shared" si="12"/>
        <v>-3322796</v>
      </c>
      <c r="V116" s="30">
        <f t="shared" si="13"/>
        <v>-2709306</v>
      </c>
    </row>
    <row r="117" spans="1:22" x14ac:dyDescent="0.25">
      <c r="A117" s="37" t="str">
        <f t="shared" si="7"/>
        <v>2023 Software/Hardware Expense</v>
      </c>
      <c r="B117" s="7" t="s">
        <v>22</v>
      </c>
      <c r="C117" s="37" t="str">
        <f t="shared" si="8"/>
        <v>2023 Forecast Software/Hardware Expense</v>
      </c>
      <c r="D117" s="18">
        <v>2023</v>
      </c>
      <c r="E117" s="18" t="s">
        <v>25</v>
      </c>
      <c r="F117" s="8">
        <v>-1299408</v>
      </c>
      <c r="G117" s="8">
        <v>-1217903</v>
      </c>
      <c r="H117" s="8">
        <v>-1241944</v>
      </c>
      <c r="I117" s="8">
        <v>-1784476</v>
      </c>
      <c r="J117" s="8">
        <v>-1419608</v>
      </c>
      <c r="K117" s="8">
        <v>-1656529</v>
      </c>
      <c r="L117" s="8">
        <v>-1231975</v>
      </c>
      <c r="M117" s="8">
        <v>-2124020</v>
      </c>
      <c r="N117" s="8">
        <v>-1192510</v>
      </c>
      <c r="O117" s="8">
        <v>-1247530</v>
      </c>
      <c r="P117" s="8">
        <v>-1452568</v>
      </c>
      <c r="Q117" s="9">
        <v>-1386479</v>
      </c>
      <c r="R117" s="29">
        <f t="shared" si="9"/>
        <v>-17254950</v>
      </c>
      <c r="S117" s="29">
        <f t="shared" si="10"/>
        <v>-3759255</v>
      </c>
      <c r="T117" s="23">
        <f t="shared" si="11"/>
        <v>-4860613</v>
      </c>
      <c r="U117" s="23">
        <f t="shared" si="12"/>
        <v>-4548505</v>
      </c>
      <c r="V117" s="30">
        <f t="shared" si="13"/>
        <v>-4086577</v>
      </c>
    </row>
    <row r="118" spans="1:22" ht="14.4" thickBot="1" x14ac:dyDescent="0.3">
      <c r="A118" s="38" t="str">
        <f t="shared" si="7"/>
        <v>2023 Marketing Expense</v>
      </c>
      <c r="B118" s="10" t="s">
        <v>23</v>
      </c>
      <c r="C118" s="38" t="str">
        <f t="shared" si="8"/>
        <v>2023 Forecast Marketing Expense</v>
      </c>
      <c r="D118" s="19">
        <v>2023</v>
      </c>
      <c r="E118" s="19" t="s">
        <v>25</v>
      </c>
      <c r="F118" s="11">
        <v>-388830</v>
      </c>
      <c r="G118" s="11">
        <v>-382107</v>
      </c>
      <c r="H118" s="11">
        <v>-359149</v>
      </c>
      <c r="I118" s="11">
        <v>-508536</v>
      </c>
      <c r="J118" s="11">
        <v>-363265</v>
      </c>
      <c r="K118" s="11">
        <v>-508077</v>
      </c>
      <c r="L118" s="11">
        <v>-339302</v>
      </c>
      <c r="M118" s="11">
        <v>-581049</v>
      </c>
      <c r="N118" s="11">
        <v>-414044</v>
      </c>
      <c r="O118" s="11">
        <v>-386935</v>
      </c>
      <c r="P118" s="11">
        <v>-400161</v>
      </c>
      <c r="Q118" s="12">
        <v>-369293</v>
      </c>
      <c r="R118" s="31">
        <f t="shared" si="9"/>
        <v>-5000748</v>
      </c>
      <c r="S118" s="31">
        <f t="shared" si="10"/>
        <v>-1130086</v>
      </c>
      <c r="T118" s="32">
        <f t="shared" si="11"/>
        <v>-1379878</v>
      </c>
      <c r="U118" s="32">
        <f t="shared" si="12"/>
        <v>-1334395</v>
      </c>
      <c r="V118" s="33">
        <f t="shared" si="13"/>
        <v>-1156389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Executive Dashboard</vt:lpstr>
      <vt:lpstr>Operational Finance</vt:lpstr>
      <vt:lpstr>Master Pro-Forma</vt:lpstr>
      <vt:lpstr>Software Pro-Forma</vt:lpstr>
      <vt:lpstr>Hardware Pro-Forma</vt:lpstr>
      <vt:lpstr>Advertising Pro-Forma</vt:lpstr>
      <vt:lpstr>Software All Line Items</vt:lpstr>
      <vt:lpstr>Hardware All Line Items</vt:lpstr>
      <vt:lpstr>Advertising All Line 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robinson</cp:lastModifiedBy>
  <dcterms:created xsi:type="dcterms:W3CDTF">2025-09-01T03:11:00Z</dcterms:created>
  <dcterms:modified xsi:type="dcterms:W3CDTF">2025-09-01T18:36:48Z</dcterms:modified>
</cp:coreProperties>
</file>