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1a04007f80a09c/Desktop/"/>
    </mc:Choice>
  </mc:AlternateContent>
  <xr:revisionPtr revIDLastSave="34" documentId="8_{A66BD735-5363-4D2C-BF62-692663873159}" xr6:coauthVersionLast="47" xr6:coauthVersionMax="47" xr10:uidLastSave="{8ACFF721-7B4E-4757-A295-B3BE24542FD5}"/>
  <bookViews>
    <workbookView xWindow="-108" yWindow="-108" windowWidth="23256" windowHeight="13896" firstSheet="4" activeTab="5" xr2:uid="{3ABA017D-4520-45C3-A504-F3F1BBDC6321}"/>
  </bookViews>
  <sheets>
    <sheet name="Sheet1" sheetId="1" r:id="rId1"/>
    <sheet name="Raw Data" sheetId="2" state="hidden" r:id="rId2"/>
    <sheet name="Constructed Financials" sheetId="3" state="hidden" r:id="rId3"/>
    <sheet name="WMT vs. Ind. Cost Co." sheetId="5" r:id="rId4"/>
    <sheet name="Fin. Ratios (Trend Analysis)" sheetId="4" r:id="rId5"/>
    <sheet name="Walmart vs Industry Avg." sheetId="6" r:id="rId6"/>
    <sheet name="Walmart vs. CostCo." sheetId="7" r:id="rId7"/>
    <sheet name="Driv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4" l="1"/>
  <c r="B1" i="8"/>
  <c r="C1" i="8"/>
  <c r="D1" i="8"/>
  <c r="E1" i="8"/>
  <c r="F1" i="8"/>
  <c r="G1" i="8"/>
  <c r="C2" i="8"/>
  <c r="D2" i="8"/>
  <c r="E2" i="8"/>
  <c r="F2" i="8"/>
  <c r="G2" i="8"/>
  <c r="B3" i="8"/>
  <c r="C3" i="8"/>
  <c r="D3" i="8"/>
  <c r="E3" i="8"/>
  <c r="B4" i="8"/>
  <c r="C4" i="8"/>
  <c r="D4" i="8"/>
  <c r="E4" i="8"/>
  <c r="F4" i="8"/>
  <c r="G4" i="8"/>
  <c r="B5" i="8"/>
  <c r="C5" i="8"/>
  <c r="D5" i="8"/>
  <c r="E5" i="8"/>
  <c r="F5" i="8"/>
  <c r="G5" i="8"/>
  <c r="B6" i="8"/>
  <c r="C6" i="8"/>
  <c r="D6" i="8"/>
  <c r="E6" i="8"/>
  <c r="F6" i="8"/>
  <c r="G6" i="8"/>
  <c r="C15" i="6"/>
  <c r="C15" i="5"/>
  <c r="D39" i="5"/>
  <c r="D44" i="5"/>
  <c r="B1" i="4"/>
  <c r="D1" i="4"/>
  <c r="B4" i="4"/>
  <c r="B40" i="4" s="1"/>
  <c r="C4" i="4"/>
  <c r="C28" i="4" s="1"/>
  <c r="D4" i="4"/>
  <c r="D40" i="4" s="1"/>
  <c r="E4" i="4"/>
  <c r="E10" i="4" s="1"/>
  <c r="F4" i="4"/>
  <c r="F52" i="4" s="1"/>
  <c r="G4" i="4"/>
  <c r="H4" i="4"/>
  <c r="H10" i="4" s="1"/>
  <c r="C5" i="4"/>
  <c r="D5" i="4"/>
  <c r="E5" i="4"/>
  <c r="F5" i="4"/>
  <c r="G5" i="4"/>
  <c r="H5" i="4"/>
  <c r="C6" i="4"/>
  <c r="D6" i="4"/>
  <c r="F6" i="4"/>
  <c r="G6" i="4"/>
  <c r="H6" i="4"/>
  <c r="K6" i="4" s="1"/>
  <c r="C7" i="4"/>
  <c r="D7" i="4"/>
  <c r="E7" i="4"/>
  <c r="F7" i="4"/>
  <c r="G7" i="4"/>
  <c r="H7" i="4"/>
  <c r="K7" i="4" s="1"/>
  <c r="C8" i="4"/>
  <c r="D8" i="4"/>
  <c r="E8" i="4"/>
  <c r="F8" i="4"/>
  <c r="G8" i="4"/>
  <c r="H8" i="4"/>
  <c r="B5" i="6" s="1"/>
  <c r="K8" i="4"/>
  <c r="C11" i="4"/>
  <c r="D11" i="4"/>
  <c r="E11" i="4"/>
  <c r="F11" i="4"/>
  <c r="G11" i="4"/>
  <c r="H11" i="4"/>
  <c r="C12" i="4"/>
  <c r="D12" i="4"/>
  <c r="E12" i="4"/>
  <c r="F12" i="4"/>
  <c r="G12" i="4"/>
  <c r="H12" i="4"/>
  <c r="K12" i="4" s="1"/>
  <c r="C13" i="4"/>
  <c r="D13" i="4"/>
  <c r="E13" i="4"/>
  <c r="F13" i="4"/>
  <c r="G13" i="4"/>
  <c r="H13" i="4"/>
  <c r="B10" i="6" s="1"/>
  <c r="K13" i="4"/>
  <c r="C14" i="4"/>
  <c r="D14" i="4"/>
  <c r="E14" i="4"/>
  <c r="F14" i="4"/>
  <c r="G14" i="4"/>
  <c r="H14" i="4"/>
  <c r="B11" i="6" s="1"/>
  <c r="K14" i="4"/>
  <c r="C15" i="4"/>
  <c r="D15" i="4"/>
  <c r="E15" i="4"/>
  <c r="F15" i="4"/>
  <c r="G15" i="4"/>
  <c r="H15" i="4"/>
  <c r="K15" i="4" s="1"/>
  <c r="C16" i="4"/>
  <c r="D16" i="4"/>
  <c r="E16" i="4"/>
  <c r="F16" i="4"/>
  <c r="G16" i="4"/>
  <c r="H16" i="4"/>
  <c r="K16" i="4" s="1"/>
  <c r="C17" i="4"/>
  <c r="D17" i="4"/>
  <c r="E17" i="4"/>
  <c r="F17" i="4"/>
  <c r="G17" i="4"/>
  <c r="H17" i="4"/>
  <c r="B14" i="5" s="1"/>
  <c r="K17" i="4"/>
  <c r="L18" i="4"/>
  <c r="C21" i="4"/>
  <c r="D21" i="4"/>
  <c r="E21" i="4"/>
  <c r="F21" i="4"/>
  <c r="G21" i="4"/>
  <c r="H21" i="4"/>
  <c r="C22" i="4"/>
  <c r="D22" i="4"/>
  <c r="E22" i="4"/>
  <c r="F22" i="4"/>
  <c r="G22" i="4"/>
  <c r="H22" i="4"/>
  <c r="K22" i="4"/>
  <c r="C23" i="4"/>
  <c r="D23" i="4"/>
  <c r="E23" i="4"/>
  <c r="F23" i="4"/>
  <c r="G23" i="4"/>
  <c r="H23" i="4"/>
  <c r="K23" i="4" s="1"/>
  <c r="C24" i="4"/>
  <c r="D24" i="4"/>
  <c r="E24" i="4"/>
  <c r="F24" i="4"/>
  <c r="G24" i="4"/>
  <c r="H24" i="4"/>
  <c r="K24" i="4" s="1"/>
  <c r="C25" i="4"/>
  <c r="D25" i="4"/>
  <c r="E25" i="4"/>
  <c r="F25" i="4"/>
  <c r="G25" i="4"/>
  <c r="H25" i="4"/>
  <c r="K25" i="4" s="1"/>
  <c r="C26" i="4"/>
  <c r="D26" i="4"/>
  <c r="E26" i="4"/>
  <c r="F26" i="4"/>
  <c r="G26" i="4"/>
  <c r="H26" i="4"/>
  <c r="K26" i="4"/>
  <c r="C29" i="4"/>
  <c r="D29" i="4"/>
  <c r="E29" i="4"/>
  <c r="F29" i="4"/>
  <c r="G29" i="4"/>
  <c r="H29" i="4"/>
  <c r="C30" i="4"/>
  <c r="D30" i="4"/>
  <c r="E30" i="4"/>
  <c r="F30" i="4"/>
  <c r="G30" i="4"/>
  <c r="F3" i="8" s="1"/>
  <c r="H30" i="4"/>
  <c r="G3" i="8" s="1"/>
  <c r="K30" i="4"/>
  <c r="C31" i="4"/>
  <c r="D31" i="4"/>
  <c r="E31" i="4"/>
  <c r="F31" i="4"/>
  <c r="G31" i="4"/>
  <c r="H31" i="4"/>
  <c r="K31" i="4" s="1"/>
  <c r="C32" i="4"/>
  <c r="D32" i="4"/>
  <c r="D37" i="4" s="1"/>
  <c r="E32" i="4"/>
  <c r="E37" i="4" s="1"/>
  <c r="F32" i="4"/>
  <c r="F37" i="4" s="1"/>
  <c r="G32" i="4"/>
  <c r="G37" i="4" s="1"/>
  <c r="H32" i="4"/>
  <c r="H37" i="4" s="1"/>
  <c r="K37" i="4" s="1"/>
  <c r="C33" i="4"/>
  <c r="D33" i="4"/>
  <c r="E33" i="4"/>
  <c r="F33" i="4"/>
  <c r="G33" i="4"/>
  <c r="H33" i="4"/>
  <c r="K33" i="4"/>
  <c r="C34" i="4"/>
  <c r="D34" i="4"/>
  <c r="E34" i="4"/>
  <c r="F34" i="4"/>
  <c r="G34" i="4"/>
  <c r="H34" i="4"/>
  <c r="K34" i="4"/>
  <c r="C36" i="4"/>
  <c r="I36" i="4" s="1"/>
  <c r="D36" i="4"/>
  <c r="E36" i="4"/>
  <c r="F36" i="4"/>
  <c r="G36" i="4"/>
  <c r="H36" i="4"/>
  <c r="H35" i="4" s="1"/>
  <c r="K35" i="4" s="1"/>
  <c r="C38" i="4"/>
  <c r="D38" i="4"/>
  <c r="E38" i="4"/>
  <c r="F38" i="4"/>
  <c r="G38" i="4"/>
  <c r="H38" i="4"/>
  <c r="K38" i="4"/>
  <c r="C41" i="4"/>
  <c r="D41" i="4"/>
  <c r="E41" i="4"/>
  <c r="F41" i="4"/>
  <c r="G41" i="4"/>
  <c r="H41" i="4"/>
  <c r="C42" i="4"/>
  <c r="C44" i="4" s="1"/>
  <c r="D42" i="4"/>
  <c r="D43" i="4" s="1"/>
  <c r="E42" i="4"/>
  <c r="E43" i="4" s="1"/>
  <c r="F42" i="4"/>
  <c r="G42" i="4"/>
  <c r="G46" i="4" s="1"/>
  <c r="H42" i="4"/>
  <c r="H46" i="4" s="1"/>
  <c r="K46" i="4" s="1"/>
  <c r="K42" i="4"/>
  <c r="M42" i="4"/>
  <c r="H43" i="4"/>
  <c r="K43" i="4" s="1"/>
  <c r="H44" i="4"/>
  <c r="K44" i="4" s="1"/>
  <c r="H45" i="4"/>
  <c r="K45" i="4"/>
  <c r="M47" i="4"/>
  <c r="C53" i="4"/>
  <c r="D53" i="4"/>
  <c r="E53" i="4"/>
  <c r="F53" i="4"/>
  <c r="G53" i="4"/>
  <c r="H53" i="4"/>
  <c r="A1" i="3"/>
  <c r="D1" i="3"/>
  <c r="M1" i="3"/>
  <c r="N1" i="3"/>
  <c r="O1" i="3"/>
  <c r="P1" i="3"/>
  <c r="Q1" i="3"/>
  <c r="R1" i="3"/>
  <c r="N3" i="3"/>
  <c r="O3" i="3"/>
  <c r="P3" i="3"/>
  <c r="C5" i="3"/>
  <c r="D5" i="3"/>
  <c r="N5" i="3" s="1"/>
  <c r="E5" i="3"/>
  <c r="F5" i="3"/>
  <c r="P5" i="3" s="1"/>
  <c r="P29" i="3" s="1"/>
  <c r="G5" i="3"/>
  <c r="Q5" i="3" s="1"/>
  <c r="H5" i="3"/>
  <c r="R5" i="3" s="1"/>
  <c r="R29" i="3" s="1"/>
  <c r="L5" i="3"/>
  <c r="L29" i="3" s="1"/>
  <c r="O5" i="3"/>
  <c r="M6" i="3"/>
  <c r="N6" i="3"/>
  <c r="O6" i="3"/>
  <c r="P6" i="3"/>
  <c r="Q6" i="3"/>
  <c r="R6" i="3"/>
  <c r="C8" i="3"/>
  <c r="D8" i="3"/>
  <c r="N8" i="3" s="1"/>
  <c r="E8" i="3"/>
  <c r="F8" i="3"/>
  <c r="P8" i="3" s="1"/>
  <c r="G8" i="3"/>
  <c r="Q3" i="3" s="1"/>
  <c r="H8" i="3"/>
  <c r="M8" i="3"/>
  <c r="O8" i="3"/>
  <c r="C9" i="3"/>
  <c r="D9" i="3"/>
  <c r="E9" i="3"/>
  <c r="F9" i="3"/>
  <c r="G9" i="3"/>
  <c r="H9" i="3"/>
  <c r="R9" i="3" s="1"/>
  <c r="U9" i="3" s="1"/>
  <c r="O9" i="3"/>
  <c r="P9" i="3"/>
  <c r="Q9" i="3"/>
  <c r="E10" i="3"/>
  <c r="F10" i="3"/>
  <c r="C11" i="3"/>
  <c r="M11" i="3" s="1"/>
  <c r="D11" i="3"/>
  <c r="N11" i="3" s="1"/>
  <c r="E11" i="3"/>
  <c r="O11" i="3" s="1"/>
  <c r="F11" i="3"/>
  <c r="P11" i="3" s="1"/>
  <c r="G11" i="3"/>
  <c r="Q11" i="3" s="1"/>
  <c r="H11" i="3"/>
  <c r="R11" i="3" s="1"/>
  <c r="U11" i="3" s="1"/>
  <c r="C13" i="3"/>
  <c r="M13" i="3" s="1"/>
  <c r="D13" i="3"/>
  <c r="N13" i="3" s="1"/>
  <c r="E13" i="3"/>
  <c r="F13" i="3"/>
  <c r="G13" i="3"/>
  <c r="H13" i="3"/>
  <c r="R13" i="3" s="1"/>
  <c r="U13" i="3" s="1"/>
  <c r="O13" i="3"/>
  <c r="P13" i="3"/>
  <c r="Q13" i="3"/>
  <c r="C15" i="3"/>
  <c r="M15" i="3" s="1"/>
  <c r="S15" i="3" s="1"/>
  <c r="D15" i="3"/>
  <c r="N15" i="3" s="1"/>
  <c r="E15" i="3"/>
  <c r="O15" i="3" s="1"/>
  <c r="F15" i="3"/>
  <c r="P15" i="3" s="1"/>
  <c r="G15" i="3"/>
  <c r="Q15" i="3" s="1"/>
  <c r="H15" i="3"/>
  <c r="R15" i="3" s="1"/>
  <c r="U15" i="3" s="1"/>
  <c r="C16" i="3"/>
  <c r="D16" i="3"/>
  <c r="N16" i="3" s="1"/>
  <c r="E16" i="3"/>
  <c r="F16" i="3"/>
  <c r="P16" i="3" s="1"/>
  <c r="G16" i="3"/>
  <c r="Q16" i="3" s="1"/>
  <c r="H16" i="3"/>
  <c r="R16" i="3" s="1"/>
  <c r="U16" i="3" s="1"/>
  <c r="M16" i="3"/>
  <c r="O16" i="3"/>
  <c r="C17" i="3"/>
  <c r="M17" i="3" s="1"/>
  <c r="D17" i="3"/>
  <c r="N17" i="3" s="1"/>
  <c r="E17" i="3"/>
  <c r="F17" i="3"/>
  <c r="G17" i="3"/>
  <c r="H17" i="3"/>
  <c r="R17" i="3" s="1"/>
  <c r="U17" i="3" s="1"/>
  <c r="O17" i="3"/>
  <c r="P17" i="3"/>
  <c r="Q17" i="3"/>
  <c r="C19" i="3"/>
  <c r="D19" i="3"/>
  <c r="E19" i="3"/>
  <c r="F19" i="3"/>
  <c r="G19" i="3"/>
  <c r="H19" i="3"/>
  <c r="C21" i="3"/>
  <c r="M21" i="3" s="1"/>
  <c r="D21" i="3"/>
  <c r="N21" i="3" s="1"/>
  <c r="E21" i="3"/>
  <c r="F21" i="3"/>
  <c r="G21" i="3"/>
  <c r="H21" i="3"/>
  <c r="R21" i="3" s="1"/>
  <c r="U21" i="3" s="1"/>
  <c r="O21" i="3"/>
  <c r="P21" i="3"/>
  <c r="Q21" i="3"/>
  <c r="C23" i="3"/>
  <c r="M23" i="3" s="1"/>
  <c r="D23" i="3"/>
  <c r="N23" i="3" s="1"/>
  <c r="E23" i="3"/>
  <c r="O23" i="3" s="1"/>
  <c r="F23" i="3"/>
  <c r="P23" i="3" s="1"/>
  <c r="G23" i="3"/>
  <c r="H23" i="3"/>
  <c r="R23" i="3" s="1"/>
  <c r="U23" i="3" s="1"/>
  <c r="Q23" i="3"/>
  <c r="C25" i="3"/>
  <c r="D25" i="3"/>
  <c r="E25" i="3"/>
  <c r="F25" i="3"/>
  <c r="G25" i="3"/>
  <c r="H25" i="3"/>
  <c r="B29" i="3"/>
  <c r="D29" i="3"/>
  <c r="D82" i="3" s="1"/>
  <c r="D117" i="3" s="1"/>
  <c r="E29" i="3"/>
  <c r="F29" i="3"/>
  <c r="G29" i="3"/>
  <c r="G82" i="3" s="1"/>
  <c r="H29" i="3"/>
  <c r="H82" i="3" s="1"/>
  <c r="O29" i="3"/>
  <c r="C30" i="3"/>
  <c r="D30" i="3"/>
  <c r="E30" i="3"/>
  <c r="F30" i="3"/>
  <c r="G30" i="3"/>
  <c r="H30" i="3"/>
  <c r="M30" i="3"/>
  <c r="N30" i="3"/>
  <c r="O30" i="3"/>
  <c r="P30" i="3"/>
  <c r="Q30" i="3"/>
  <c r="R30" i="3"/>
  <c r="C33" i="3"/>
  <c r="D33" i="3"/>
  <c r="E33" i="3"/>
  <c r="F33" i="3"/>
  <c r="P33" i="3" s="1"/>
  <c r="G33" i="3"/>
  <c r="H33" i="3"/>
  <c r="R33" i="3" s="1"/>
  <c r="U33" i="3" s="1"/>
  <c r="M33" i="3"/>
  <c r="N33" i="3"/>
  <c r="Q33" i="3"/>
  <c r="C34" i="3"/>
  <c r="D34" i="3"/>
  <c r="E34" i="3"/>
  <c r="O34" i="3" s="1"/>
  <c r="F34" i="3"/>
  <c r="G34" i="3"/>
  <c r="Q34" i="3" s="1"/>
  <c r="H34" i="3"/>
  <c r="M34" i="3"/>
  <c r="N34" i="3"/>
  <c r="C35" i="3"/>
  <c r="D35" i="3"/>
  <c r="E35" i="3"/>
  <c r="F35" i="3"/>
  <c r="P35" i="3" s="1"/>
  <c r="G35" i="3"/>
  <c r="Q35" i="3" s="1"/>
  <c r="H35" i="3"/>
  <c r="R35" i="3" s="1"/>
  <c r="M35" i="3"/>
  <c r="N35" i="3"/>
  <c r="O35" i="3"/>
  <c r="S35" i="3"/>
  <c r="U35" i="3"/>
  <c r="C36" i="3"/>
  <c r="D36" i="3"/>
  <c r="E36" i="3"/>
  <c r="F36" i="3"/>
  <c r="G36" i="3"/>
  <c r="Q36" i="3" s="1"/>
  <c r="H36" i="3"/>
  <c r="R36" i="3" s="1"/>
  <c r="U36" i="3" s="1"/>
  <c r="N36" i="3"/>
  <c r="O36" i="3"/>
  <c r="C37" i="3"/>
  <c r="D37" i="3"/>
  <c r="M37" i="3"/>
  <c r="N37" i="3"/>
  <c r="C38" i="3"/>
  <c r="D38" i="3"/>
  <c r="E38" i="3"/>
  <c r="O38" i="3" s="1"/>
  <c r="F38" i="3"/>
  <c r="P38" i="3" s="1"/>
  <c r="G38" i="3"/>
  <c r="H38" i="3"/>
  <c r="M38" i="3"/>
  <c r="N38" i="3"/>
  <c r="Q38" i="3"/>
  <c r="R38" i="3"/>
  <c r="U38" i="3"/>
  <c r="C39" i="3"/>
  <c r="M39" i="3" s="1"/>
  <c r="D39" i="3"/>
  <c r="E39" i="3"/>
  <c r="F39" i="3"/>
  <c r="P39" i="3" s="1"/>
  <c r="G39" i="3"/>
  <c r="H39" i="3"/>
  <c r="N39" i="3"/>
  <c r="O39" i="3"/>
  <c r="Q39" i="3"/>
  <c r="R39" i="3"/>
  <c r="U39" i="3" s="1"/>
  <c r="C40" i="3"/>
  <c r="M40" i="3" s="1"/>
  <c r="D40" i="3"/>
  <c r="E40" i="3"/>
  <c r="F40" i="3"/>
  <c r="P40" i="3" s="1"/>
  <c r="G40" i="3"/>
  <c r="Q40" i="3" s="1"/>
  <c r="T40" i="3" s="1" a="1"/>
  <c r="T40" i="3" s="1"/>
  <c r="H40" i="3"/>
  <c r="N40" i="3"/>
  <c r="O40" i="3"/>
  <c r="R40" i="3"/>
  <c r="U40" i="3" s="1"/>
  <c r="C41" i="3"/>
  <c r="M41" i="3" s="1"/>
  <c r="D41" i="3"/>
  <c r="E41" i="3"/>
  <c r="O41" i="3" s="1"/>
  <c r="S41" i="3" s="1"/>
  <c r="F41" i="3"/>
  <c r="P41" i="3" s="1"/>
  <c r="G41" i="3"/>
  <c r="H41" i="3"/>
  <c r="N41" i="3"/>
  <c r="Q41" i="3"/>
  <c r="R41" i="3"/>
  <c r="U41" i="3" s="1"/>
  <c r="C42" i="3"/>
  <c r="D42" i="3"/>
  <c r="E42" i="3"/>
  <c r="O42" i="3" s="1"/>
  <c r="F42" i="3"/>
  <c r="P42" i="3" s="1"/>
  <c r="G42" i="3"/>
  <c r="Q42" i="3" s="1"/>
  <c r="H42" i="3"/>
  <c r="R42" i="3" s="1"/>
  <c r="U42" i="3" s="1"/>
  <c r="M42" i="3"/>
  <c r="N42" i="3"/>
  <c r="C43" i="3"/>
  <c r="D43" i="3"/>
  <c r="E43" i="3"/>
  <c r="F43" i="3"/>
  <c r="P43" i="3" s="1"/>
  <c r="G43" i="3"/>
  <c r="Q43" i="3" s="1"/>
  <c r="H43" i="3"/>
  <c r="R43" i="3" s="1"/>
  <c r="U43" i="3" s="1"/>
  <c r="M43" i="3"/>
  <c r="T43" i="3" s="1" a="1"/>
  <c r="T43" i="3" s="1"/>
  <c r="N43" i="3"/>
  <c r="O43" i="3"/>
  <c r="S43" i="3"/>
  <c r="C44" i="3"/>
  <c r="M44" i="3" s="1"/>
  <c r="D44" i="3"/>
  <c r="E44" i="3"/>
  <c r="F44" i="3"/>
  <c r="P44" i="3" s="1"/>
  <c r="G44" i="3"/>
  <c r="Q44" i="3" s="1"/>
  <c r="H44" i="3"/>
  <c r="R44" i="3" s="1"/>
  <c r="N44" i="3"/>
  <c r="O44" i="3"/>
  <c r="U44" i="3"/>
  <c r="C45" i="3"/>
  <c r="D45" i="3"/>
  <c r="N45" i="3"/>
  <c r="C46" i="3"/>
  <c r="D46" i="3"/>
  <c r="E46" i="3"/>
  <c r="F46" i="3"/>
  <c r="G46" i="3"/>
  <c r="H46" i="3"/>
  <c r="D47" i="3"/>
  <c r="C50" i="3"/>
  <c r="D50" i="3"/>
  <c r="E50" i="3"/>
  <c r="O50" i="3" s="1"/>
  <c r="F50" i="3"/>
  <c r="P50" i="3" s="1"/>
  <c r="G50" i="3"/>
  <c r="H50" i="3"/>
  <c r="M50" i="3"/>
  <c r="N50" i="3"/>
  <c r="R50" i="3"/>
  <c r="U50" i="3"/>
  <c r="C51" i="3"/>
  <c r="D51" i="3"/>
  <c r="E51" i="3"/>
  <c r="F51" i="3"/>
  <c r="G51" i="3"/>
  <c r="Q51" i="3" s="1"/>
  <c r="H51" i="3"/>
  <c r="N51" i="3"/>
  <c r="O51" i="3"/>
  <c r="P51" i="3"/>
  <c r="R51" i="3"/>
  <c r="U51" i="3"/>
  <c r="C52" i="3"/>
  <c r="M52" i="3" s="1"/>
  <c r="D52" i="3"/>
  <c r="D54" i="3" s="1"/>
  <c r="E52" i="3"/>
  <c r="F52" i="3"/>
  <c r="G52" i="3"/>
  <c r="H52" i="3"/>
  <c r="O52" i="3"/>
  <c r="P52" i="3"/>
  <c r="Q52" i="3"/>
  <c r="R52" i="3"/>
  <c r="U52" i="3"/>
  <c r="C53" i="3"/>
  <c r="M53" i="3" s="1"/>
  <c r="D53" i="3"/>
  <c r="N53" i="3" s="1"/>
  <c r="E53" i="3"/>
  <c r="E54" i="3" s="1"/>
  <c r="F53" i="3"/>
  <c r="G53" i="3"/>
  <c r="H53" i="3"/>
  <c r="P53" i="3"/>
  <c r="Q53" i="3"/>
  <c r="R53" i="3"/>
  <c r="U53" i="3"/>
  <c r="H54" i="3"/>
  <c r="R54" i="3"/>
  <c r="U54" i="3" s="1"/>
  <c r="C55" i="3"/>
  <c r="M55" i="3" s="1"/>
  <c r="D55" i="3"/>
  <c r="N55" i="3" s="1"/>
  <c r="E55" i="3"/>
  <c r="O55" i="3" s="1"/>
  <c r="F55" i="3"/>
  <c r="P55" i="3" s="1"/>
  <c r="G55" i="3"/>
  <c r="Q55" i="3" s="1"/>
  <c r="H55" i="3"/>
  <c r="R55" i="3"/>
  <c r="U55" i="3" s="1"/>
  <c r="C56" i="3"/>
  <c r="M56" i="3" s="1"/>
  <c r="D56" i="3"/>
  <c r="N56" i="3" s="1"/>
  <c r="E56" i="3"/>
  <c r="O56" i="3" s="1"/>
  <c r="S56" i="3" s="1"/>
  <c r="F56" i="3"/>
  <c r="G56" i="3"/>
  <c r="H56" i="3"/>
  <c r="P56" i="3"/>
  <c r="Q56" i="3"/>
  <c r="R56" i="3"/>
  <c r="U56" i="3" s="1"/>
  <c r="C57" i="3"/>
  <c r="D57" i="3"/>
  <c r="N57" i="3" s="1"/>
  <c r="E57" i="3"/>
  <c r="O57" i="3" s="1"/>
  <c r="F57" i="3"/>
  <c r="P57" i="3" s="1"/>
  <c r="G57" i="3"/>
  <c r="H57" i="3"/>
  <c r="M57" i="3"/>
  <c r="Q57" i="3"/>
  <c r="R57" i="3"/>
  <c r="U57" i="3"/>
  <c r="C58" i="3"/>
  <c r="D58" i="3"/>
  <c r="E58" i="3"/>
  <c r="O58" i="3" s="1"/>
  <c r="F58" i="3"/>
  <c r="P58" i="3" s="1"/>
  <c r="G58" i="3"/>
  <c r="Q58" i="3" s="1"/>
  <c r="H58" i="3"/>
  <c r="M58" i="3"/>
  <c r="N58" i="3"/>
  <c r="R58" i="3"/>
  <c r="U58" i="3"/>
  <c r="C59" i="3"/>
  <c r="D59" i="3"/>
  <c r="E59" i="3"/>
  <c r="F59" i="3"/>
  <c r="P59" i="3" s="1"/>
  <c r="G59" i="3"/>
  <c r="Q59" i="3" s="1"/>
  <c r="H59" i="3"/>
  <c r="M59" i="3"/>
  <c r="S59" i="3" s="1"/>
  <c r="N59" i="3"/>
  <c r="O59" i="3"/>
  <c r="R59" i="3"/>
  <c r="U59" i="3"/>
  <c r="C60" i="3"/>
  <c r="M60" i="3" s="1"/>
  <c r="D60" i="3"/>
  <c r="N60" i="3" s="1"/>
  <c r="E60" i="3"/>
  <c r="F60" i="3"/>
  <c r="G60" i="3"/>
  <c r="Q60" i="3" s="1"/>
  <c r="H60" i="3"/>
  <c r="O60" i="3"/>
  <c r="P60" i="3"/>
  <c r="R60" i="3"/>
  <c r="U60" i="3"/>
  <c r="H61" i="3"/>
  <c r="R61" i="3"/>
  <c r="U61" i="3"/>
  <c r="C62" i="3"/>
  <c r="D62" i="3"/>
  <c r="E62" i="3"/>
  <c r="F62" i="3"/>
  <c r="G62" i="3"/>
  <c r="H62" i="3"/>
  <c r="H63" i="3"/>
  <c r="C66" i="3"/>
  <c r="D66" i="3"/>
  <c r="E66" i="3"/>
  <c r="O66" i="3" s="1"/>
  <c r="F66" i="3"/>
  <c r="P66" i="3" s="1"/>
  <c r="G66" i="3"/>
  <c r="Q66" i="3" s="1"/>
  <c r="H66" i="3"/>
  <c r="R66" i="3" s="1"/>
  <c r="U66" i="3" s="1"/>
  <c r="M66" i="3"/>
  <c r="S66" i="3" s="1"/>
  <c r="N66" i="3"/>
  <c r="C67" i="3"/>
  <c r="C72" i="3" s="1"/>
  <c r="D67" i="3"/>
  <c r="E67" i="3"/>
  <c r="F67" i="3"/>
  <c r="P67" i="3" s="1"/>
  <c r="G67" i="3"/>
  <c r="Q67" i="3" s="1"/>
  <c r="H67" i="3"/>
  <c r="R67" i="3" s="1"/>
  <c r="N67" i="3"/>
  <c r="O67" i="3"/>
  <c r="U67" i="3"/>
  <c r="C68" i="3"/>
  <c r="D68" i="3"/>
  <c r="E68" i="3"/>
  <c r="F68" i="3"/>
  <c r="P68" i="3" s="1"/>
  <c r="G68" i="3"/>
  <c r="H68" i="3"/>
  <c r="R68" i="3" s="1"/>
  <c r="U68" i="3" s="1"/>
  <c r="M68" i="3"/>
  <c r="N68" i="3"/>
  <c r="O68" i="3"/>
  <c r="Q68" i="3"/>
  <c r="C69" i="3"/>
  <c r="M69" i="3" s="1"/>
  <c r="D69" i="3"/>
  <c r="E69" i="3"/>
  <c r="O69" i="3" s="1"/>
  <c r="F69" i="3"/>
  <c r="P69" i="3" s="1"/>
  <c r="G69" i="3"/>
  <c r="H69" i="3"/>
  <c r="N69" i="3"/>
  <c r="Q69" i="3"/>
  <c r="R69" i="3"/>
  <c r="U69" i="3"/>
  <c r="C70" i="3"/>
  <c r="M70" i="3" s="1"/>
  <c r="D70" i="3"/>
  <c r="E70" i="3"/>
  <c r="F70" i="3"/>
  <c r="P70" i="3" s="1"/>
  <c r="G70" i="3"/>
  <c r="H70" i="3"/>
  <c r="R70" i="3" s="1"/>
  <c r="U70" i="3" s="1"/>
  <c r="N70" i="3"/>
  <c r="O70" i="3"/>
  <c r="Q70" i="3"/>
  <c r="C71" i="3"/>
  <c r="M71" i="3" s="1"/>
  <c r="S71" i="3" s="1"/>
  <c r="D71" i="3"/>
  <c r="E71" i="3"/>
  <c r="O71" i="3" s="1"/>
  <c r="F71" i="3"/>
  <c r="P71" i="3" s="1"/>
  <c r="G71" i="3"/>
  <c r="H71" i="3"/>
  <c r="N71" i="3"/>
  <c r="Q71" i="3"/>
  <c r="R71" i="3"/>
  <c r="U71" i="3" s="1"/>
  <c r="D72" i="3"/>
  <c r="E72" i="3"/>
  <c r="F72" i="3"/>
  <c r="P72" i="3" s="1"/>
  <c r="G72" i="3"/>
  <c r="Q72" i="3" s="1"/>
  <c r="H72" i="3"/>
  <c r="R72" i="3" s="1"/>
  <c r="U72" i="3" s="1"/>
  <c r="N72" i="3"/>
  <c r="C73" i="3"/>
  <c r="M73" i="3" s="1"/>
  <c r="D73" i="3"/>
  <c r="E73" i="3"/>
  <c r="O73" i="3" s="1"/>
  <c r="F73" i="3"/>
  <c r="P73" i="3" s="1"/>
  <c r="G73" i="3"/>
  <c r="Q73" i="3" s="1"/>
  <c r="H73" i="3"/>
  <c r="N73" i="3"/>
  <c r="R73" i="3"/>
  <c r="U73" i="3" s="1"/>
  <c r="D74" i="3"/>
  <c r="F74" i="3"/>
  <c r="P74" i="3" s="1"/>
  <c r="G74" i="3"/>
  <c r="Q74" i="3" s="1"/>
  <c r="H74" i="3"/>
  <c r="R74" i="3" s="1"/>
  <c r="U74" i="3" s="1"/>
  <c r="N74" i="3"/>
  <c r="E79" i="3"/>
  <c r="O79" i="3" s="1"/>
  <c r="G79" i="3"/>
  <c r="H79" i="3"/>
  <c r="R79" i="3" s="1"/>
  <c r="B82" i="3"/>
  <c r="B117" i="3" s="1"/>
  <c r="B128" i="3" s="1"/>
  <c r="B135" i="3" s="1"/>
  <c r="B142" i="3" s="1"/>
  <c r="E82" i="3"/>
  <c r="F82" i="3"/>
  <c r="L82" i="3"/>
  <c r="O82" i="3"/>
  <c r="P82" i="3"/>
  <c r="R82" i="3"/>
  <c r="C83" i="3"/>
  <c r="D83" i="3"/>
  <c r="E83" i="3"/>
  <c r="F83" i="3"/>
  <c r="G83" i="3"/>
  <c r="H83" i="3"/>
  <c r="M83" i="3"/>
  <c r="N83" i="3"/>
  <c r="O83" i="3"/>
  <c r="P83" i="3"/>
  <c r="Q83" i="3"/>
  <c r="R83" i="3"/>
  <c r="C86" i="3"/>
  <c r="M86" i="3" s="1"/>
  <c r="D86" i="3"/>
  <c r="E86" i="3"/>
  <c r="F86" i="3"/>
  <c r="G86" i="3"/>
  <c r="H86" i="3"/>
  <c r="P86" i="3"/>
  <c r="Q86" i="3"/>
  <c r="R86" i="3"/>
  <c r="U86" i="3" s="1"/>
  <c r="C87" i="3"/>
  <c r="D87" i="3"/>
  <c r="N87" i="3" s="1"/>
  <c r="E87" i="3"/>
  <c r="O87" i="3" s="1"/>
  <c r="F87" i="3"/>
  <c r="P87" i="3" s="1"/>
  <c r="G87" i="3"/>
  <c r="H87" i="3"/>
  <c r="M87" i="3"/>
  <c r="Q87" i="3"/>
  <c r="R87" i="3"/>
  <c r="U87" i="3"/>
  <c r="C88" i="3"/>
  <c r="M88" i="3" s="1"/>
  <c r="D88" i="3"/>
  <c r="N88" i="3" s="1"/>
  <c r="E88" i="3"/>
  <c r="O88" i="3" s="1"/>
  <c r="F88" i="3"/>
  <c r="G88" i="3"/>
  <c r="H88" i="3"/>
  <c r="P88" i="3"/>
  <c r="Q88" i="3"/>
  <c r="R88" i="3"/>
  <c r="U88" i="3" s="1"/>
  <c r="C89" i="3"/>
  <c r="M89" i="3" s="1"/>
  <c r="D89" i="3"/>
  <c r="N89" i="3" s="1"/>
  <c r="E89" i="3"/>
  <c r="O89" i="3" s="1"/>
  <c r="F89" i="3"/>
  <c r="P89" i="3" s="1"/>
  <c r="G89" i="3"/>
  <c r="Q89" i="3" s="1"/>
  <c r="H89" i="3"/>
  <c r="C90" i="3"/>
  <c r="M90" i="3" s="1"/>
  <c r="D90" i="3"/>
  <c r="N90" i="3" s="1"/>
  <c r="E90" i="3"/>
  <c r="F90" i="3"/>
  <c r="P90" i="3" s="1"/>
  <c r="G90" i="3"/>
  <c r="H90" i="3"/>
  <c r="R90" i="3" s="1"/>
  <c r="U90" i="3" s="1"/>
  <c r="O90" i="3"/>
  <c r="Q90" i="3"/>
  <c r="C91" i="3"/>
  <c r="M91" i="3" s="1"/>
  <c r="D91" i="3"/>
  <c r="N91" i="3" s="1"/>
  <c r="E91" i="3"/>
  <c r="O91" i="3" s="1"/>
  <c r="T91" i="3" s="1" a="1"/>
  <c r="T91" i="3" s="1"/>
  <c r="F91" i="3"/>
  <c r="P91" i="3" s="1"/>
  <c r="G91" i="3"/>
  <c r="H91" i="3"/>
  <c r="Q91" i="3"/>
  <c r="R91" i="3"/>
  <c r="U91" i="3" s="1"/>
  <c r="C92" i="3"/>
  <c r="D92" i="3"/>
  <c r="N92" i="3" s="1"/>
  <c r="E92" i="3"/>
  <c r="O92" i="3" s="1"/>
  <c r="F92" i="3"/>
  <c r="P92" i="3" s="1"/>
  <c r="G92" i="3"/>
  <c r="Q92" i="3" s="1"/>
  <c r="H92" i="3"/>
  <c r="R92" i="3" s="1"/>
  <c r="U92" i="3" s="1"/>
  <c r="M92" i="3"/>
  <c r="C93" i="3"/>
  <c r="C132" i="3" s="1"/>
  <c r="M132" i="3" s="1"/>
  <c r="E93" i="3"/>
  <c r="R93" i="3"/>
  <c r="U93" i="3" s="1"/>
  <c r="C94" i="3"/>
  <c r="M94" i="3" s="1"/>
  <c r="D94" i="3"/>
  <c r="E94" i="3"/>
  <c r="O94" i="3" s="1"/>
  <c r="F94" i="3"/>
  <c r="F93" i="3" s="1"/>
  <c r="G94" i="3"/>
  <c r="H94" i="3"/>
  <c r="R94" i="3"/>
  <c r="U94" i="3" s="1"/>
  <c r="C95" i="3"/>
  <c r="D95" i="3"/>
  <c r="N95" i="3" s="1"/>
  <c r="E95" i="3"/>
  <c r="O95" i="3" s="1"/>
  <c r="F95" i="3"/>
  <c r="P95" i="3" s="1"/>
  <c r="G95" i="3"/>
  <c r="Q95" i="3" s="1"/>
  <c r="H95" i="3"/>
  <c r="H93" i="3" s="1"/>
  <c r="M95" i="3"/>
  <c r="C96" i="3"/>
  <c r="D96" i="3"/>
  <c r="N96" i="3" s="1"/>
  <c r="E96" i="3"/>
  <c r="O96" i="3" s="1"/>
  <c r="F96" i="3"/>
  <c r="P96" i="3" s="1"/>
  <c r="G96" i="3"/>
  <c r="Q96" i="3" s="1"/>
  <c r="H96" i="3"/>
  <c r="R96" i="3" s="1"/>
  <c r="U96" i="3" s="1"/>
  <c r="M96" i="3"/>
  <c r="C97" i="3"/>
  <c r="D97" i="3"/>
  <c r="N97" i="3" s="1"/>
  <c r="E97" i="3"/>
  <c r="O97" i="3" s="1"/>
  <c r="F97" i="3"/>
  <c r="P97" i="3" s="1"/>
  <c r="G97" i="3"/>
  <c r="Q97" i="3" s="1"/>
  <c r="H97" i="3"/>
  <c r="R97" i="3" s="1"/>
  <c r="U97" i="3" s="1"/>
  <c r="M97" i="3"/>
  <c r="C98" i="3"/>
  <c r="D98" i="3"/>
  <c r="N98" i="3" s="1"/>
  <c r="E98" i="3"/>
  <c r="O98" i="3" s="1"/>
  <c r="F98" i="3"/>
  <c r="P98" i="3" s="1"/>
  <c r="G98" i="3"/>
  <c r="Q98" i="3" s="1"/>
  <c r="H98" i="3"/>
  <c r="R98" i="3" s="1"/>
  <c r="U98" i="3" s="1"/>
  <c r="M98" i="3"/>
  <c r="C101" i="3"/>
  <c r="C131" i="3" s="1"/>
  <c r="M131" i="3" s="1"/>
  <c r="D101" i="3"/>
  <c r="N101" i="3" s="1"/>
  <c r="E101" i="3"/>
  <c r="E145" i="3" s="1"/>
  <c r="O145" i="3" s="1"/>
  <c r="F101" i="3"/>
  <c r="P101" i="3" s="1"/>
  <c r="G101" i="3"/>
  <c r="G145" i="3" s="1"/>
  <c r="Q145" i="3" s="1"/>
  <c r="H101" i="3"/>
  <c r="H145" i="3" s="1"/>
  <c r="R145" i="3" s="1"/>
  <c r="U145" i="3" s="1"/>
  <c r="M101" i="3"/>
  <c r="C102" i="3"/>
  <c r="D102" i="3"/>
  <c r="N102" i="3" s="1"/>
  <c r="E102" i="3"/>
  <c r="O102" i="3" s="1"/>
  <c r="F102" i="3"/>
  <c r="P102" i="3" s="1"/>
  <c r="G102" i="3"/>
  <c r="Q102" i="3" s="1"/>
  <c r="H102" i="3"/>
  <c r="R102" i="3" s="1"/>
  <c r="U102" i="3" s="1"/>
  <c r="M102" i="3"/>
  <c r="C103" i="3"/>
  <c r="D103" i="3"/>
  <c r="N103" i="3" s="1"/>
  <c r="E103" i="3"/>
  <c r="O103" i="3" s="1"/>
  <c r="F103" i="3"/>
  <c r="P103" i="3" s="1"/>
  <c r="G103" i="3"/>
  <c r="Q103" i="3" s="1"/>
  <c r="H103" i="3"/>
  <c r="R103" i="3" s="1"/>
  <c r="U103" i="3" s="1"/>
  <c r="M103" i="3"/>
  <c r="C105" i="3"/>
  <c r="D105" i="3"/>
  <c r="N105" i="3" s="1"/>
  <c r="E105" i="3"/>
  <c r="O105" i="3" s="1"/>
  <c r="F105" i="3"/>
  <c r="P105" i="3" s="1"/>
  <c r="G105" i="3"/>
  <c r="Q105" i="3" s="1"/>
  <c r="H105" i="3"/>
  <c r="R105" i="3" s="1"/>
  <c r="U105" i="3" s="1"/>
  <c r="M105" i="3"/>
  <c r="C106" i="3"/>
  <c r="D106" i="3"/>
  <c r="N106" i="3" s="1"/>
  <c r="E106" i="3"/>
  <c r="O106" i="3" s="1"/>
  <c r="F106" i="3"/>
  <c r="P106" i="3" s="1"/>
  <c r="G106" i="3"/>
  <c r="Q106" i="3" s="1"/>
  <c r="H106" i="3"/>
  <c r="R106" i="3" s="1"/>
  <c r="U106" i="3" s="1"/>
  <c r="M106" i="3"/>
  <c r="C107" i="3"/>
  <c r="D107" i="3"/>
  <c r="N107" i="3" s="1"/>
  <c r="E107" i="3"/>
  <c r="O107" i="3" s="1"/>
  <c r="F107" i="3"/>
  <c r="P107" i="3" s="1"/>
  <c r="G107" i="3"/>
  <c r="Q107" i="3" s="1"/>
  <c r="H107" i="3"/>
  <c r="R107" i="3" s="1"/>
  <c r="U107" i="3" s="1"/>
  <c r="M107" i="3"/>
  <c r="C108" i="3"/>
  <c r="D108" i="3"/>
  <c r="N108" i="3" s="1"/>
  <c r="E108" i="3"/>
  <c r="O108" i="3" s="1"/>
  <c r="F108" i="3"/>
  <c r="P108" i="3" s="1"/>
  <c r="G108" i="3"/>
  <c r="Q108" i="3" s="1"/>
  <c r="H108" i="3"/>
  <c r="R108" i="3" s="1"/>
  <c r="U108" i="3" s="1"/>
  <c r="M108" i="3"/>
  <c r="C109" i="3"/>
  <c r="D109" i="3"/>
  <c r="N109" i="3" s="1"/>
  <c r="E109" i="3"/>
  <c r="O109" i="3" s="1"/>
  <c r="F109" i="3"/>
  <c r="P109" i="3" s="1"/>
  <c r="G109" i="3"/>
  <c r="Q109" i="3" s="1"/>
  <c r="H109" i="3"/>
  <c r="R109" i="3" s="1"/>
  <c r="U109" i="3" s="1"/>
  <c r="M109" i="3"/>
  <c r="C110" i="3"/>
  <c r="D110" i="3"/>
  <c r="N110" i="3" s="1"/>
  <c r="E110" i="3"/>
  <c r="O110" i="3" s="1"/>
  <c r="F110" i="3"/>
  <c r="P110" i="3" s="1"/>
  <c r="G110" i="3"/>
  <c r="Q110" i="3" s="1"/>
  <c r="H110" i="3"/>
  <c r="R110" i="3" s="1"/>
  <c r="U110" i="3" s="1"/>
  <c r="M110" i="3"/>
  <c r="C111" i="3"/>
  <c r="D111" i="3"/>
  <c r="N111" i="3" s="1"/>
  <c r="E111" i="3"/>
  <c r="O111" i="3" s="1"/>
  <c r="F111" i="3"/>
  <c r="P111" i="3" s="1"/>
  <c r="G111" i="3"/>
  <c r="Q111" i="3" s="1"/>
  <c r="H111" i="3"/>
  <c r="R111" i="3" s="1"/>
  <c r="U111" i="3" s="1"/>
  <c r="M111" i="3"/>
  <c r="C113" i="3"/>
  <c r="D113" i="3"/>
  <c r="E113" i="3"/>
  <c r="F113" i="3"/>
  <c r="G113" i="3"/>
  <c r="H113" i="3"/>
  <c r="D115" i="3"/>
  <c r="E115" i="3"/>
  <c r="F115" i="3"/>
  <c r="G115" i="3"/>
  <c r="H115" i="3"/>
  <c r="E117" i="3"/>
  <c r="F117" i="3"/>
  <c r="G117" i="3"/>
  <c r="H117" i="3"/>
  <c r="C118" i="3"/>
  <c r="D118" i="3"/>
  <c r="E118" i="3"/>
  <c r="F118" i="3"/>
  <c r="G118" i="3"/>
  <c r="H118" i="3"/>
  <c r="C119" i="3"/>
  <c r="D119" i="3"/>
  <c r="E119" i="3"/>
  <c r="F119" i="3"/>
  <c r="G119" i="3"/>
  <c r="H119" i="3"/>
  <c r="C120" i="3"/>
  <c r="D120" i="3"/>
  <c r="E120" i="3"/>
  <c r="F120" i="3"/>
  <c r="G120" i="3"/>
  <c r="H120" i="3"/>
  <c r="C121" i="3"/>
  <c r="D121" i="3"/>
  <c r="E121" i="3"/>
  <c r="F121" i="3"/>
  <c r="G121" i="3"/>
  <c r="H121" i="3"/>
  <c r="C122" i="3"/>
  <c r="D122" i="3"/>
  <c r="E122" i="3"/>
  <c r="F122" i="3"/>
  <c r="G122" i="3"/>
  <c r="H122" i="3"/>
  <c r="C123" i="3"/>
  <c r="D123" i="3"/>
  <c r="E123" i="3"/>
  <c r="F123" i="3"/>
  <c r="G123" i="3"/>
  <c r="H123" i="3"/>
  <c r="C124" i="3"/>
  <c r="D124" i="3"/>
  <c r="E124" i="3"/>
  <c r="F124" i="3"/>
  <c r="G124" i="3"/>
  <c r="H124" i="3"/>
  <c r="C125" i="3"/>
  <c r="D125" i="3"/>
  <c r="E125" i="3"/>
  <c r="F125" i="3"/>
  <c r="G125" i="3"/>
  <c r="H125" i="3"/>
  <c r="C128" i="3"/>
  <c r="D128" i="3"/>
  <c r="E128" i="3"/>
  <c r="F128" i="3"/>
  <c r="G128" i="3"/>
  <c r="H128" i="3"/>
  <c r="H135" i="3" s="1"/>
  <c r="H142" i="3" s="1"/>
  <c r="L128" i="3"/>
  <c r="L135" i="3" s="1"/>
  <c r="L142" i="3" s="1"/>
  <c r="O128" i="3"/>
  <c r="P128" i="3"/>
  <c r="R128" i="3"/>
  <c r="C129" i="3"/>
  <c r="D129" i="3"/>
  <c r="E129" i="3"/>
  <c r="F129" i="3"/>
  <c r="G129" i="3"/>
  <c r="H129" i="3"/>
  <c r="M129" i="3"/>
  <c r="N129" i="3"/>
  <c r="O129" i="3"/>
  <c r="P129" i="3"/>
  <c r="Q129" i="3"/>
  <c r="R129" i="3"/>
  <c r="D131" i="3"/>
  <c r="N131" i="3" s="1"/>
  <c r="T131" i="3" s="1" a="1"/>
  <c r="T131" i="3" s="1"/>
  <c r="E131" i="3"/>
  <c r="O131" i="3" s="1"/>
  <c r="F131" i="3"/>
  <c r="P131" i="3" s="1"/>
  <c r="G131" i="3"/>
  <c r="Q131" i="3" s="1"/>
  <c r="H131" i="3"/>
  <c r="R131" i="3" s="1"/>
  <c r="U131" i="3" s="1"/>
  <c r="H132" i="3"/>
  <c r="R132" i="3" s="1"/>
  <c r="U132" i="3" s="1"/>
  <c r="C135" i="3"/>
  <c r="D135" i="3"/>
  <c r="E135" i="3"/>
  <c r="F135" i="3"/>
  <c r="F142" i="3" s="1"/>
  <c r="G135" i="3"/>
  <c r="G142" i="3" s="1"/>
  <c r="O135" i="3"/>
  <c r="P135" i="3"/>
  <c r="R135" i="3"/>
  <c r="R142" i="3" s="1"/>
  <c r="C136" i="3"/>
  <c r="D136" i="3"/>
  <c r="E136" i="3"/>
  <c r="F136" i="3"/>
  <c r="G136" i="3"/>
  <c r="H136" i="3"/>
  <c r="M136" i="3"/>
  <c r="N136" i="3"/>
  <c r="O136" i="3"/>
  <c r="P136" i="3"/>
  <c r="Q136" i="3"/>
  <c r="R136" i="3"/>
  <c r="D138" i="3"/>
  <c r="E138" i="3"/>
  <c r="O138" i="3" s="1"/>
  <c r="F138" i="3"/>
  <c r="P138" i="3" s="1"/>
  <c r="G138" i="3"/>
  <c r="Q138" i="3" s="1"/>
  <c r="H138" i="3"/>
  <c r="R138" i="3" s="1"/>
  <c r="N138" i="3"/>
  <c r="U138" i="3"/>
  <c r="C142" i="3"/>
  <c r="D142" i="3"/>
  <c r="E142" i="3"/>
  <c r="O142" i="3"/>
  <c r="P142" i="3"/>
  <c r="C143" i="3"/>
  <c r="D143" i="3"/>
  <c r="E143" i="3"/>
  <c r="F143" i="3"/>
  <c r="G143" i="3"/>
  <c r="H143" i="3"/>
  <c r="M143" i="3"/>
  <c r="N143" i="3"/>
  <c r="O143" i="3"/>
  <c r="P143" i="3"/>
  <c r="Q143" i="3"/>
  <c r="R143" i="3"/>
  <c r="C145" i="3"/>
  <c r="M145" i="3" s="1"/>
  <c r="D145" i="3"/>
  <c r="N145" i="3" s="1"/>
  <c r="F145" i="3"/>
  <c r="P145" i="3"/>
  <c r="B9" i="5" l="1"/>
  <c r="B10" i="5"/>
  <c r="H55" i="4"/>
  <c r="K55" i="4" s="1"/>
  <c r="B3" i="6"/>
  <c r="B5" i="5"/>
  <c r="B28" i="4"/>
  <c r="B14" i="7"/>
  <c r="B20" i="4"/>
  <c r="B12" i="5"/>
  <c r="I15" i="4"/>
  <c r="J38" i="4" a="1"/>
  <c r="J38" i="4" s="1"/>
  <c r="D46" i="4"/>
  <c r="I46" i="4" s="1"/>
  <c r="D18" i="4"/>
  <c r="J15" i="4" a="1"/>
  <c r="J15" i="4" s="1"/>
  <c r="I7" i="4"/>
  <c r="B11" i="7"/>
  <c r="C18" i="4"/>
  <c r="H20" i="4"/>
  <c r="G44" i="4"/>
  <c r="D10" i="4"/>
  <c r="G18" i="4"/>
  <c r="D54" i="4"/>
  <c r="D35" i="4"/>
  <c r="F18" i="4"/>
  <c r="B10" i="4"/>
  <c r="B9" i="7"/>
  <c r="B13" i="6"/>
  <c r="G45" i="4"/>
  <c r="I23" i="4"/>
  <c r="C10" i="4"/>
  <c r="C54" i="4"/>
  <c r="I32" i="4"/>
  <c r="B11" i="5"/>
  <c r="B13" i="7"/>
  <c r="E54" i="4"/>
  <c r="B4" i="6"/>
  <c r="C46" i="4"/>
  <c r="J7" i="4" a="1"/>
  <c r="J7" i="4" s="1"/>
  <c r="C37" i="4"/>
  <c r="C35" i="4" s="1"/>
  <c r="I25" i="4"/>
  <c r="B4" i="5"/>
  <c r="B12" i="7"/>
  <c r="H28" i="4"/>
  <c r="B3" i="5"/>
  <c r="H52" i="4"/>
  <c r="H40" i="4"/>
  <c r="B10" i="7"/>
  <c r="C52" i="4"/>
  <c r="C43" i="4"/>
  <c r="C40" i="4"/>
  <c r="G35" i="4"/>
  <c r="B52" i="4"/>
  <c r="J36" i="4" a="1"/>
  <c r="J36" i="4" s="1"/>
  <c r="B14" i="6"/>
  <c r="B5" i="7"/>
  <c r="E35" i="4"/>
  <c r="B4" i="7"/>
  <c r="B12" i="6"/>
  <c r="B3" i="7"/>
  <c r="C55" i="4"/>
  <c r="J23" i="4" a="1"/>
  <c r="J23" i="4" s="1"/>
  <c r="I17" i="4"/>
  <c r="I12" i="4"/>
  <c r="G54" i="4"/>
  <c r="H47" i="4"/>
  <c r="H49" i="4" s="1"/>
  <c r="K49" i="4" s="1"/>
  <c r="J12" i="4" a="1"/>
  <c r="J12" i="4" s="1"/>
  <c r="C47" i="4"/>
  <c r="C50" i="4" s="1"/>
  <c r="I8" i="4"/>
  <c r="B9" i="6"/>
  <c r="E46" i="4"/>
  <c r="J32" i="4" a="1"/>
  <c r="J32" i="4" s="1"/>
  <c r="B13" i="5"/>
  <c r="I26" i="4"/>
  <c r="J30" i="4" a="1"/>
  <c r="J30" i="4" s="1"/>
  <c r="I31" i="4"/>
  <c r="J31" i="4" a="1"/>
  <c r="J31" i="4" s="1"/>
  <c r="I24" i="4"/>
  <c r="I16" i="4"/>
  <c r="I13" i="4"/>
  <c r="I33" i="4"/>
  <c r="J24" i="4" a="1"/>
  <c r="J24" i="4" s="1"/>
  <c r="I22" i="4"/>
  <c r="J16" i="4" a="1"/>
  <c r="J16" i="4" s="1"/>
  <c r="I14" i="4"/>
  <c r="G40" i="4"/>
  <c r="G10" i="4"/>
  <c r="G28" i="4"/>
  <c r="G52" i="4"/>
  <c r="G20" i="4"/>
  <c r="F46" i="4"/>
  <c r="F54" i="4"/>
  <c r="F44" i="4"/>
  <c r="F43" i="4"/>
  <c r="F47" i="4"/>
  <c r="F55" i="4"/>
  <c r="F45" i="4"/>
  <c r="I6" i="4"/>
  <c r="J6" i="4" a="1"/>
  <c r="J6" i="4" s="1"/>
  <c r="J34" i="4" a="1"/>
  <c r="J34" i="4" s="1"/>
  <c r="E45" i="4"/>
  <c r="G55" i="4"/>
  <c r="E52" i="4"/>
  <c r="G47" i="4"/>
  <c r="C45" i="4"/>
  <c r="E44" i="4"/>
  <c r="G43" i="4"/>
  <c r="J42" i="4" a="1"/>
  <c r="J42" i="4" s="1"/>
  <c r="F40" i="4"/>
  <c r="I38" i="4"/>
  <c r="I34" i="4"/>
  <c r="I30" i="4"/>
  <c r="E28" i="4"/>
  <c r="J25" i="4" a="1"/>
  <c r="J25" i="4" s="1"/>
  <c r="D20" i="4"/>
  <c r="H18" i="4"/>
  <c r="J17" i="4" a="1"/>
  <c r="J17" i="4" s="1"/>
  <c r="J13" i="4" a="1"/>
  <c r="J13" i="4" s="1"/>
  <c r="H54" i="4"/>
  <c r="K54" i="4" s="1"/>
  <c r="D52" i="4"/>
  <c r="D44" i="4"/>
  <c r="I42" i="4"/>
  <c r="E40" i="4"/>
  <c r="K36" i="4"/>
  <c r="F35" i="4"/>
  <c r="J33" i="4" a="1"/>
  <c r="J33" i="4" s="1"/>
  <c r="K32" i="4"/>
  <c r="D28" i="4"/>
  <c r="C20" i="4"/>
  <c r="J8" i="4" a="1"/>
  <c r="J8" i="4" s="1"/>
  <c r="J26" i="4" a="1"/>
  <c r="J26" i="4" s="1"/>
  <c r="J22" i="4" a="1"/>
  <c r="J22" i="4" s="1"/>
  <c r="F20" i="4"/>
  <c r="J14" i="4" a="1"/>
  <c r="J14" i="4" s="1"/>
  <c r="D45" i="4"/>
  <c r="F28" i="4"/>
  <c r="E55" i="4"/>
  <c r="E47" i="4"/>
  <c r="F10" i="4"/>
  <c r="E20" i="4"/>
  <c r="D55" i="4"/>
  <c r="D47" i="4"/>
  <c r="E18" i="4"/>
  <c r="G93" i="3"/>
  <c r="Q94" i="3"/>
  <c r="U79" i="3"/>
  <c r="P93" i="3"/>
  <c r="F132" i="3"/>
  <c r="P132" i="3" s="1"/>
  <c r="H80" i="3"/>
  <c r="H139" i="3" s="1"/>
  <c r="R139" i="3" s="1"/>
  <c r="U139" i="3" s="1"/>
  <c r="S58" i="3"/>
  <c r="O54" i="3"/>
  <c r="E61" i="3"/>
  <c r="C54" i="3"/>
  <c r="M51" i="3"/>
  <c r="S40" i="3"/>
  <c r="S131" i="3"/>
  <c r="S87" i="3"/>
  <c r="T87" i="3" a="1"/>
  <c r="T87" i="3" s="1"/>
  <c r="T41" i="3" a="1"/>
  <c r="T41" i="3" s="1"/>
  <c r="Q29" i="3"/>
  <c r="Q82" i="3" s="1"/>
  <c r="Q128" i="3"/>
  <c r="Q135" i="3" s="1"/>
  <c r="Q142" i="3" s="1"/>
  <c r="T73" i="3" a="1"/>
  <c r="T73" i="3" s="1"/>
  <c r="T105" i="3" a="1"/>
  <c r="T105" i="3" s="1"/>
  <c r="S105" i="3"/>
  <c r="S55" i="3"/>
  <c r="R34" i="3"/>
  <c r="U34" i="3" s="1"/>
  <c r="H37" i="3"/>
  <c r="S73" i="3"/>
  <c r="S42" i="3"/>
  <c r="T42" i="3" a="1"/>
  <c r="T42" i="3" s="1"/>
  <c r="N29" i="3"/>
  <c r="N82" i="3" s="1"/>
  <c r="N128" i="3"/>
  <c r="N135" i="3" s="1"/>
  <c r="N142" i="3" s="1"/>
  <c r="S111" i="3"/>
  <c r="T111" i="3" a="1"/>
  <c r="T111" i="3" s="1"/>
  <c r="T106" i="3" a="1"/>
  <c r="T106" i="3" s="1"/>
  <c r="S106" i="3"/>
  <c r="S89" i="3"/>
  <c r="N54" i="3"/>
  <c r="D61" i="3"/>
  <c r="S92" i="3"/>
  <c r="T92" i="3" a="1"/>
  <c r="T92" i="3" s="1"/>
  <c r="H99" i="3"/>
  <c r="R89" i="3"/>
  <c r="U89" i="3" s="1"/>
  <c r="S23" i="3"/>
  <c r="T23" i="3" a="1"/>
  <c r="T23" i="3" s="1"/>
  <c r="S110" i="3"/>
  <c r="T110" i="3" a="1"/>
  <c r="T110" i="3" s="1"/>
  <c r="T108" i="3" a="1"/>
  <c r="T108" i="3" s="1"/>
  <c r="S108" i="3"/>
  <c r="S103" i="3"/>
  <c r="T103" i="3" a="1"/>
  <c r="T103" i="3" s="1"/>
  <c r="S98" i="3"/>
  <c r="T98" i="3" a="1"/>
  <c r="T98" i="3" s="1"/>
  <c r="S97" i="3"/>
  <c r="T97" i="3" a="1"/>
  <c r="T97" i="3" s="1"/>
  <c r="T96" i="3" a="1"/>
  <c r="T96" i="3" s="1"/>
  <c r="S96" i="3"/>
  <c r="T95" i="3" a="1"/>
  <c r="T95" i="3" s="1"/>
  <c r="E132" i="3"/>
  <c r="O132" i="3" s="1"/>
  <c r="O93" i="3"/>
  <c r="S70" i="3"/>
  <c r="S69" i="3"/>
  <c r="T69" i="3" a="1"/>
  <c r="T69" i="3" s="1"/>
  <c r="T60" i="3" a="1"/>
  <c r="T60" i="3" s="1"/>
  <c r="S60" i="3"/>
  <c r="C47" i="3"/>
  <c r="M45" i="3"/>
  <c r="T138" i="3" a="1"/>
  <c r="T138" i="3" s="1"/>
  <c r="S138" i="3"/>
  <c r="T71" i="3" a="1"/>
  <c r="T71" i="3" s="1"/>
  <c r="S11" i="3"/>
  <c r="T11" i="3" a="1"/>
  <c r="T11" i="3" s="1"/>
  <c r="S109" i="3"/>
  <c r="T109" i="3" a="1"/>
  <c r="T109" i="3" s="1"/>
  <c r="T107" i="3" a="1"/>
  <c r="T107" i="3" s="1"/>
  <c r="S107" i="3"/>
  <c r="T102" i="3" a="1"/>
  <c r="T102" i="3" s="1"/>
  <c r="S102" i="3"/>
  <c r="S145" i="3"/>
  <c r="T145" i="3" a="1"/>
  <c r="T145" i="3" s="1"/>
  <c r="S91" i="3"/>
  <c r="S90" i="3"/>
  <c r="T90" i="3" a="1"/>
  <c r="T90" i="3" s="1"/>
  <c r="E99" i="3"/>
  <c r="O86" i="3"/>
  <c r="G54" i="3"/>
  <c r="Q50" i="3"/>
  <c r="T50" i="3" s="1" a="1"/>
  <c r="T50" i="3" s="1"/>
  <c r="S44" i="3"/>
  <c r="T44" i="3" a="1"/>
  <c r="T44" i="3" s="1"/>
  <c r="Q19" i="3"/>
  <c r="T39" i="3" a="1"/>
  <c r="T39" i="3" s="1"/>
  <c r="G99" i="3"/>
  <c r="R101" i="3"/>
  <c r="U101" i="3" s="1"/>
  <c r="F99" i="3"/>
  <c r="R95" i="3"/>
  <c r="U95" i="3" s="1"/>
  <c r="N94" i="3"/>
  <c r="T94" i="3" s="1" a="1"/>
  <c r="T94" i="3" s="1"/>
  <c r="D93" i="3"/>
  <c r="D79" i="3"/>
  <c r="M72" i="3"/>
  <c r="C74" i="3"/>
  <c r="M74" i="3" s="1"/>
  <c r="N52" i="3"/>
  <c r="T52" i="3" s="1" a="1"/>
  <c r="T52" i="3" s="1"/>
  <c r="N19" i="3"/>
  <c r="S16" i="3"/>
  <c r="T16" i="3" a="1"/>
  <c r="T16" i="3" s="1"/>
  <c r="T15" i="3" a="1"/>
  <c r="T15" i="3" s="1"/>
  <c r="F12" i="3"/>
  <c r="P10" i="3"/>
  <c r="Q101" i="3"/>
  <c r="P94" i="3"/>
  <c r="N86" i="3"/>
  <c r="O72" i="3"/>
  <c r="E74" i="3"/>
  <c r="O74" i="3" s="1"/>
  <c r="F54" i="3"/>
  <c r="O53" i="3"/>
  <c r="T53" i="3" s="1" a="1"/>
  <c r="T53" i="3" s="1"/>
  <c r="T35" i="3" a="1"/>
  <c r="T35" i="3" s="1"/>
  <c r="G37" i="3"/>
  <c r="E12" i="3"/>
  <c r="O10" i="3"/>
  <c r="N9" i="3"/>
  <c r="D10" i="3"/>
  <c r="C29" i="3"/>
  <c r="C82" i="3" s="1"/>
  <c r="C117" i="3" s="1"/>
  <c r="M5" i="3"/>
  <c r="S88" i="3"/>
  <c r="T57" i="3" a="1"/>
  <c r="T57" i="3" s="1"/>
  <c r="M93" i="3"/>
  <c r="Q79" i="3"/>
  <c r="R80" i="3" s="1"/>
  <c r="M67" i="3"/>
  <c r="T58" i="3" a="1"/>
  <c r="T58" i="3" s="1"/>
  <c r="T55" i="3" a="1"/>
  <c r="T55" i="3" s="1"/>
  <c r="M9" i="3"/>
  <c r="C10" i="3"/>
  <c r="S86" i="3"/>
  <c r="T86" i="3" a="1"/>
  <c r="T86" i="3" s="1"/>
  <c r="T56" i="3" a="1"/>
  <c r="T56" i="3" s="1"/>
  <c r="O101" i="3"/>
  <c r="T101" i="3" s="1" a="1"/>
  <c r="T101" i="3" s="1"/>
  <c r="C99" i="3"/>
  <c r="T66" i="3" a="1"/>
  <c r="T66" i="3" s="1"/>
  <c r="S57" i="3"/>
  <c r="S38" i="3"/>
  <c r="T38" i="3" a="1"/>
  <c r="T38" i="3" s="1"/>
  <c r="E37" i="3"/>
  <c r="S13" i="3"/>
  <c r="T13" i="3" a="1"/>
  <c r="T13" i="3" s="1"/>
  <c r="S68" i="3"/>
  <c r="T68" i="3" a="1"/>
  <c r="T68" i="3" s="1"/>
  <c r="T59" i="3" a="1"/>
  <c r="T59" i="3" s="1"/>
  <c r="S17" i="3"/>
  <c r="T17" i="3" a="1"/>
  <c r="T17" i="3" s="1"/>
  <c r="T88" i="3" a="1"/>
  <c r="T88" i="3" s="1"/>
  <c r="H76" i="3"/>
  <c r="R76" i="3" s="1"/>
  <c r="U76" i="3" s="1"/>
  <c r="T70" i="3" a="1"/>
  <c r="T70" i="3" s="1"/>
  <c r="S39" i="3"/>
  <c r="C79" i="3"/>
  <c r="M36" i="3"/>
  <c r="S21" i="3"/>
  <c r="T21" i="3" a="1"/>
  <c r="T21" i="3" s="1"/>
  <c r="R19" i="3"/>
  <c r="U19" i="3" s="1"/>
  <c r="R3" i="3"/>
  <c r="U3" i="3" s="1"/>
  <c r="V3" i="3"/>
  <c r="P34" i="3"/>
  <c r="T34" i="3" s="1" a="1"/>
  <c r="T34" i="3" s="1"/>
  <c r="F79" i="3"/>
  <c r="F80" i="3" s="1"/>
  <c r="F139" i="3" s="1"/>
  <c r="P139" i="3" s="1"/>
  <c r="P36" i="3"/>
  <c r="O33" i="3"/>
  <c r="P19" i="3"/>
  <c r="R8" i="3"/>
  <c r="U8" i="3" s="1"/>
  <c r="F37" i="3"/>
  <c r="O19" i="3"/>
  <c r="H10" i="3"/>
  <c r="Q8" i="3"/>
  <c r="S8" i="3" s="1"/>
  <c r="M19" i="3"/>
  <c r="G10" i="3"/>
  <c r="J35" i="4" l="1" a="1"/>
  <c r="J35" i="4" s="1"/>
  <c r="C48" i="4"/>
  <c r="C49" i="4"/>
  <c r="J46" i="4" a="1"/>
  <c r="J46" i="4" s="1"/>
  <c r="J37" i="4" a="1"/>
  <c r="J37" i="4" s="1"/>
  <c r="I44" i="4"/>
  <c r="K47" i="4"/>
  <c r="H48" i="4"/>
  <c r="K48" i="4" s="1"/>
  <c r="I54" i="4"/>
  <c r="H50" i="4"/>
  <c r="K50" i="4" s="1"/>
  <c r="K18" i="4"/>
  <c r="B15" i="5"/>
  <c r="B15" i="6"/>
  <c r="B15" i="7"/>
  <c r="J55" i="4" a="1"/>
  <c r="J55" i="4" s="1"/>
  <c r="I35" i="4"/>
  <c r="I37" i="4"/>
  <c r="I55" i="4"/>
  <c r="J44" i="4" a="1"/>
  <c r="J44" i="4" s="1"/>
  <c r="I43" i="4"/>
  <c r="E50" i="4"/>
  <c r="E48" i="4"/>
  <c r="E49" i="4"/>
  <c r="F48" i="4"/>
  <c r="F50" i="4"/>
  <c r="F49" i="4"/>
  <c r="D48" i="4"/>
  <c r="D49" i="4"/>
  <c r="J47" i="4" a="1"/>
  <c r="J47" i="4" s="1"/>
  <c r="D50" i="4"/>
  <c r="G49" i="4"/>
  <c r="G50" i="4"/>
  <c r="G48" i="4"/>
  <c r="I45" i="4"/>
  <c r="J45" i="4" a="1"/>
  <c r="J45" i="4" s="1"/>
  <c r="I47" i="4"/>
  <c r="J43" i="4" a="1"/>
  <c r="J43" i="4" s="1"/>
  <c r="I18" i="4"/>
  <c r="J18" i="4" a="1"/>
  <c r="J18" i="4" s="1"/>
  <c r="J54" i="4" a="1"/>
  <c r="J54" i="4" s="1"/>
  <c r="F144" i="3"/>
  <c r="P99" i="3"/>
  <c r="F112" i="3"/>
  <c r="D76" i="3"/>
  <c r="D63" i="3"/>
  <c r="N61" i="3"/>
  <c r="S50" i="3"/>
  <c r="H12" i="3"/>
  <c r="R10" i="3"/>
  <c r="U10" i="3" s="1"/>
  <c r="S9" i="3"/>
  <c r="T9" i="3" a="1"/>
  <c r="T9" i="3" s="1"/>
  <c r="S74" i="3"/>
  <c r="T74" i="3" a="1"/>
  <c r="T74" i="3" s="1"/>
  <c r="G144" i="3"/>
  <c r="Q99" i="3"/>
  <c r="G112" i="3"/>
  <c r="T3" i="3" a="1"/>
  <c r="T3" i="3" s="1"/>
  <c r="P12" i="3"/>
  <c r="F14" i="3"/>
  <c r="S72" i="3"/>
  <c r="T72" i="3" a="1"/>
  <c r="T72" i="3" s="1"/>
  <c r="S52" i="3"/>
  <c r="T51" i="3" a="1"/>
  <c r="T51" i="3" s="1"/>
  <c r="S51" i="3"/>
  <c r="G45" i="3"/>
  <c r="Q37" i="3"/>
  <c r="N10" i="3"/>
  <c r="D12" i="3"/>
  <c r="N79" i="3"/>
  <c r="O80" i="3" s="1"/>
  <c r="E80" i="3"/>
  <c r="E139" i="3" s="1"/>
  <c r="O139" i="3" s="1"/>
  <c r="E144" i="3"/>
  <c r="O99" i="3"/>
  <c r="E112" i="3"/>
  <c r="S94" i="3"/>
  <c r="M54" i="3"/>
  <c r="C61" i="3"/>
  <c r="N93" i="3"/>
  <c r="S93" i="3" s="1"/>
  <c r="D132" i="3"/>
  <c r="N132" i="3" s="1"/>
  <c r="S95" i="3"/>
  <c r="D99" i="3"/>
  <c r="T89" i="3" a="1"/>
  <c r="T89" i="3" s="1"/>
  <c r="E76" i="3"/>
  <c r="O76" i="3" s="1"/>
  <c r="O61" i="3"/>
  <c r="E63" i="3"/>
  <c r="G80" i="3"/>
  <c r="G139" i="3" s="1"/>
  <c r="Q139" i="3" s="1"/>
  <c r="P79" i="3"/>
  <c r="C12" i="3"/>
  <c r="M10" i="3"/>
  <c r="R37" i="3"/>
  <c r="U37" i="3" s="1"/>
  <c r="H45" i="3"/>
  <c r="P37" i="3"/>
  <c r="F45" i="3"/>
  <c r="F61" i="3"/>
  <c r="P54" i="3"/>
  <c r="G12" i="3"/>
  <c r="Q10" i="3"/>
  <c r="S3" i="3"/>
  <c r="S34" i="3"/>
  <c r="S101" i="3"/>
  <c r="S53" i="3"/>
  <c r="G132" i="3"/>
  <c r="Q132" i="3" s="1"/>
  <c r="Q93" i="3"/>
  <c r="C112" i="3"/>
  <c r="M112" i="3" s="1"/>
  <c r="C144" i="3"/>
  <c r="M99" i="3"/>
  <c r="M29" i="3"/>
  <c r="M82" i="3" s="1"/>
  <c r="M128" i="3"/>
  <c r="M135" i="3" s="1"/>
  <c r="M142" i="3" s="1"/>
  <c r="G61" i="3"/>
  <c r="Q54" i="3"/>
  <c r="E45" i="3"/>
  <c r="O37" i="3"/>
  <c r="S67" i="3"/>
  <c r="T67" i="3" a="1"/>
  <c r="T67" i="3" s="1"/>
  <c r="S19" i="3"/>
  <c r="T19" i="3" a="1"/>
  <c r="T19" i="3" s="1"/>
  <c r="S33" i="3"/>
  <c r="T33" i="3" a="1"/>
  <c r="T33" i="3" s="1"/>
  <c r="T8" i="3" a="1"/>
  <c r="T8" i="3" s="1"/>
  <c r="S36" i="3"/>
  <c r="T36" i="3" a="1"/>
  <c r="T36" i="3" s="1"/>
  <c r="D80" i="3"/>
  <c r="D139" i="3" s="1"/>
  <c r="N139" i="3" s="1"/>
  <c r="M79" i="3"/>
  <c r="O12" i="3"/>
  <c r="E14" i="3"/>
  <c r="H112" i="3"/>
  <c r="H144" i="3"/>
  <c r="R99" i="3"/>
  <c r="U99" i="3" s="1"/>
  <c r="J48" i="4" l="1" a="1"/>
  <c r="J48" i="4" s="1"/>
  <c r="I48" i="4"/>
  <c r="I49" i="4"/>
  <c r="J49" i="4" a="1"/>
  <c r="J49" i="4" s="1"/>
  <c r="J50" i="4" a="1"/>
  <c r="J50" i="4" s="1"/>
  <c r="I50" i="4"/>
  <c r="E47" i="3"/>
  <c r="E77" i="3"/>
  <c r="O45" i="3"/>
  <c r="Q80" i="3"/>
  <c r="P80" i="3"/>
  <c r="H14" i="3"/>
  <c r="R12" i="3"/>
  <c r="U12" i="3" s="1"/>
  <c r="P61" i="3"/>
  <c r="F63" i="3"/>
  <c r="F76" i="3"/>
  <c r="P76" i="3" s="1"/>
  <c r="Q144" i="3"/>
  <c r="G146" i="3"/>
  <c r="Q146" i="3" s="1"/>
  <c r="T132" i="3" a="1"/>
  <c r="T132" i="3" s="1"/>
  <c r="S132" i="3"/>
  <c r="Q112" i="3"/>
  <c r="G114" i="3"/>
  <c r="E146" i="3"/>
  <c r="O146" i="3" s="1"/>
  <c r="O144" i="3"/>
  <c r="T93" i="3" a="1"/>
  <c r="T93" i="3" s="1"/>
  <c r="G76" i="3"/>
  <c r="Q76" i="3" s="1"/>
  <c r="Q61" i="3"/>
  <c r="G63" i="3"/>
  <c r="P45" i="3"/>
  <c r="F47" i="3"/>
  <c r="N80" i="3"/>
  <c r="S79" i="3"/>
  <c r="T79" i="3" a="1"/>
  <c r="T79" i="3" s="1"/>
  <c r="U80" i="3" s="1"/>
  <c r="R45" i="3"/>
  <c r="U45" i="3" s="1"/>
  <c r="H47" i="3"/>
  <c r="H78" i="3"/>
  <c r="C63" i="3"/>
  <c r="M61" i="3"/>
  <c r="C76" i="3"/>
  <c r="N12" i="3"/>
  <c r="D14" i="3"/>
  <c r="D77" i="3"/>
  <c r="N76" i="3"/>
  <c r="O14" i="3"/>
  <c r="E18" i="3"/>
  <c r="S139" i="3"/>
  <c r="T139" i="3" a="1"/>
  <c r="T139" i="3" s="1"/>
  <c r="T54" i="3" a="1"/>
  <c r="T54" i="3" s="1"/>
  <c r="S54" i="3"/>
  <c r="P14" i="3"/>
  <c r="F18" i="3"/>
  <c r="P112" i="3"/>
  <c r="F114" i="3"/>
  <c r="R144" i="3"/>
  <c r="U144" i="3" s="1"/>
  <c r="H146" i="3"/>
  <c r="R146" i="3" s="1"/>
  <c r="U146" i="3" s="1"/>
  <c r="M144" i="3"/>
  <c r="C146" i="3"/>
  <c r="M146" i="3" s="1"/>
  <c r="T10" i="3" a="1"/>
  <c r="T10" i="3" s="1"/>
  <c r="S10" i="3"/>
  <c r="N99" i="3"/>
  <c r="S99" i="3" s="1"/>
  <c r="D112" i="3"/>
  <c r="D144" i="3"/>
  <c r="H114" i="3"/>
  <c r="R112" i="3"/>
  <c r="U112" i="3" s="1"/>
  <c r="S37" i="3"/>
  <c r="T37" i="3" a="1"/>
  <c r="T37" i="3" s="1"/>
  <c r="G14" i="3"/>
  <c r="Q12" i="3"/>
  <c r="C14" i="3"/>
  <c r="M12" i="3"/>
  <c r="O112" i="3"/>
  <c r="E114" i="3"/>
  <c r="G77" i="3"/>
  <c r="G47" i="3"/>
  <c r="Q45" i="3"/>
  <c r="F146" i="3"/>
  <c r="P146" i="3" s="1"/>
  <c r="P144" i="3"/>
  <c r="P18" i="3" l="1"/>
  <c r="F20" i="3"/>
  <c r="F3" i="3"/>
  <c r="N144" i="3"/>
  <c r="S144" i="3" s="1"/>
  <c r="D146" i="3"/>
  <c r="N146" i="3" s="1"/>
  <c r="G18" i="3"/>
  <c r="Q14" i="3"/>
  <c r="N112" i="3"/>
  <c r="D114" i="3"/>
  <c r="T99" i="3" a="1"/>
  <c r="T99" i="3" s="1"/>
  <c r="H18" i="3"/>
  <c r="R14" i="3"/>
  <c r="U14" i="3" s="1"/>
  <c r="M14" i="3"/>
  <c r="C18" i="3"/>
  <c r="T80" i="3"/>
  <c r="S80" i="3"/>
  <c r="S45" i="3"/>
  <c r="T45" i="3" a="1"/>
  <c r="T45" i="3" s="1"/>
  <c r="N14" i="3"/>
  <c r="D18" i="3"/>
  <c r="T146" i="3" a="1"/>
  <c r="T146" i="3" s="1"/>
  <c r="S146" i="3"/>
  <c r="E20" i="3"/>
  <c r="O18" i="3"/>
  <c r="E3" i="3"/>
  <c r="M76" i="3"/>
  <c r="C77" i="3"/>
  <c r="S12" i="3"/>
  <c r="T12" i="3" a="1"/>
  <c r="T12" i="3" s="1"/>
  <c r="T144" i="3" a="1"/>
  <c r="T144" i="3" s="1"/>
  <c r="T61" i="3" a="1"/>
  <c r="T61" i="3" s="1"/>
  <c r="S61" i="3"/>
  <c r="F77" i="3"/>
  <c r="O20" i="3" l="1"/>
  <c r="E22" i="3"/>
  <c r="G20" i="3"/>
  <c r="Q18" i="3"/>
  <c r="G3" i="3"/>
  <c r="H20" i="3"/>
  <c r="R18" i="3"/>
  <c r="U18" i="3" s="1"/>
  <c r="H3" i="3"/>
  <c r="F130" i="3"/>
  <c r="F137" i="3"/>
  <c r="E137" i="3"/>
  <c r="E130" i="3"/>
  <c r="C20" i="3"/>
  <c r="M18" i="3"/>
  <c r="C3" i="3"/>
  <c r="C130" i="3" s="1"/>
  <c r="S112" i="3"/>
  <c r="T112" i="3" a="1"/>
  <c r="T112" i="3" s="1"/>
  <c r="P20" i="3"/>
  <c r="F22" i="3"/>
  <c r="T76" i="3" a="1"/>
  <c r="T76" i="3" s="1"/>
  <c r="S76" i="3"/>
  <c r="N18" i="3"/>
  <c r="D20" i="3"/>
  <c r="D3" i="3"/>
  <c r="T14" i="3" a="1"/>
  <c r="T14" i="3" s="1"/>
  <c r="S14" i="3"/>
  <c r="D137" i="3" l="1"/>
  <c r="D130" i="3"/>
  <c r="T18" i="3" a="1"/>
  <c r="T18" i="3" s="1"/>
  <c r="S18" i="3"/>
  <c r="C22" i="3"/>
  <c r="M20" i="3"/>
  <c r="G137" i="3"/>
  <c r="G130" i="3"/>
  <c r="O130" i="3"/>
  <c r="E133" i="3"/>
  <c r="O133" i="3" s="1"/>
  <c r="P22" i="3"/>
  <c r="F24" i="3"/>
  <c r="O137" i="3"/>
  <c r="E140" i="3"/>
  <c r="O140" i="3" s="1"/>
  <c r="G22" i="3"/>
  <c r="Q20" i="3"/>
  <c r="M130" i="3"/>
  <c r="C133" i="3"/>
  <c r="M133" i="3" s="1"/>
  <c r="F140" i="3"/>
  <c r="P140" i="3" s="1"/>
  <c r="P137" i="3"/>
  <c r="E24" i="3"/>
  <c r="O22" i="3"/>
  <c r="H130" i="3"/>
  <c r="H137" i="3"/>
  <c r="N20" i="3"/>
  <c r="D22" i="3"/>
  <c r="H22" i="3"/>
  <c r="R20" i="3"/>
  <c r="U20" i="3" s="1"/>
  <c r="P130" i="3"/>
  <c r="F133" i="3"/>
  <c r="P133" i="3" s="1"/>
  <c r="G133" i="3" l="1"/>
  <c r="Q133" i="3" s="1"/>
  <c r="Q130" i="3"/>
  <c r="R137" i="3"/>
  <c r="U137" i="3" s="1"/>
  <c r="H140" i="3"/>
  <c r="R140" i="3" s="1"/>
  <c r="U140" i="3" s="1"/>
  <c r="G140" i="3"/>
  <c r="Q140" i="3" s="1"/>
  <c r="Q137" i="3"/>
  <c r="T20" i="3" a="1"/>
  <c r="T20" i="3" s="1"/>
  <c r="S20" i="3"/>
  <c r="E26" i="3"/>
  <c r="O24" i="3"/>
  <c r="C24" i="3"/>
  <c r="M22" i="3"/>
  <c r="P24" i="3"/>
  <c r="F26" i="3"/>
  <c r="N130" i="3"/>
  <c r="S130" i="3" s="1"/>
  <c r="D133" i="3"/>
  <c r="N133" i="3" s="1"/>
  <c r="S133" i="3" s="1"/>
  <c r="R130" i="3"/>
  <c r="U130" i="3" s="1"/>
  <c r="H133" i="3"/>
  <c r="R133" i="3" s="1"/>
  <c r="U133" i="3" s="1"/>
  <c r="G24" i="3"/>
  <c r="Q22" i="3"/>
  <c r="H24" i="3"/>
  <c r="R22" i="3"/>
  <c r="U22" i="3" s="1"/>
  <c r="N22" i="3"/>
  <c r="D24" i="3"/>
  <c r="N137" i="3"/>
  <c r="D140" i="3"/>
  <c r="N140" i="3" s="1"/>
  <c r="H26" i="3" l="1"/>
  <c r="R24" i="3"/>
  <c r="U24" i="3" s="1"/>
  <c r="T130" i="3" a="1"/>
  <c r="T130" i="3" s="1"/>
  <c r="T22" i="3" a="1"/>
  <c r="T22" i="3" s="1"/>
  <c r="S22" i="3"/>
  <c r="Q24" i="3"/>
  <c r="G26" i="3"/>
  <c r="C26" i="3"/>
  <c r="M24" i="3"/>
  <c r="N24" i="3"/>
  <c r="D26" i="3"/>
  <c r="S137" i="3"/>
  <c r="T137" i="3" a="1"/>
  <c r="T137" i="3" s="1"/>
  <c r="T133" i="3" a="1"/>
  <c r="T133" i="3" s="1"/>
  <c r="S140" i="3"/>
  <c r="T140" i="3" a="1"/>
  <c r="T140" i="3" s="1"/>
  <c r="T24" i="3" l="1" a="1"/>
  <c r="T24" i="3" s="1"/>
  <c r="S2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tc={85FCE99E-A4BD-4004-AFFF-ED7B10657C3F}</author>
    <author>tc={48333810-4DCC-45B1-ABD7-9149983C0971}</author>
    <author>tc={91C67229-06B3-430A-BFEF-A3C1FAA0152B}</author>
  </authors>
  <commentList>
    <comment ref="V1" authorId="0" shapeId="0" xr:uid="{85FCE99E-A4BD-4004-AFFF-ED7B10657C3F}">
      <text>
        <t>[Threaded comment]
Your version of Excel allows you to read this threaded comment; however, any edits to it will get removed if the file is opened in a newer version of Excel. Learn more: https://go.microsoft.com/fwlink/?linkid=870924
Comment:
    ((Ending/Beginning)^(1/n))-1</t>
      </text>
    </comment>
    <comment ref="B4" authorId="1" shapeId="0" xr:uid="{48333810-4DCC-45B1-ABD7-9149983C097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 year 1 to it.</t>
      </text>
    </comment>
    <comment ref="A79" authorId="2" shapeId="0" xr:uid="{91C67229-06B3-430A-BFEF-A3C1FAA0152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NOWC (Current Operating Assets-Current Operating Liabilities)
Reply:
    (excluding cash and equivalents).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<sst xmlns="http://schemas.openxmlformats.org/spreadsheetml/2006/main" count="917" uniqueCount="447">
  <si>
    <t>Research and Development Expense</t>
  </si>
  <si>
    <t>Rental Expense</t>
  </si>
  <si>
    <t>Receivables - Estimated Doubtful</t>
  </si>
  <si>
    <t>Price - Fiscal Year Close</t>
  </si>
  <si>
    <t>Price - Calendar Year Close</t>
  </si>
  <si>
    <t>Preferred Stock - Redemption Value</t>
  </si>
  <si>
    <t>Preferred Stock - Liquidation Value</t>
  </si>
  <si>
    <t>Dividends (Cash) - Preferred</t>
  </si>
  <si>
    <t>Dividends (Cash) - Common</t>
  </si>
  <si>
    <t>Dividends (Cash)per Share Ex-Date</t>
  </si>
  <si>
    <t>Advertising Expense</t>
  </si>
  <si>
    <t>Adjustmnet Factor-Cum, Ex-Date</t>
  </si>
  <si>
    <t>Working Capital Changes - Other - Inc(Dec)</t>
  </si>
  <si>
    <t>Current Debt - Changes</t>
  </si>
  <si>
    <t>Funds From Operations - Total</t>
  </si>
  <si>
    <t>Income Taxes Paid</t>
  </si>
  <si>
    <t>Interest Paid - Net</t>
  </si>
  <si>
    <t>CASH STATEMENT - SOURCE &amp; USE</t>
  </si>
  <si>
    <t>Cash Dividends</t>
  </si>
  <si>
    <t>Investing Activites - Net Cash Flow</t>
  </si>
  <si>
    <t>Acquisitions</t>
  </si>
  <si>
    <t>Sale of Property Plant and Equipment</t>
  </si>
  <si>
    <t>Capital Expenditures</t>
  </si>
  <si>
    <t>Operating Activities - Net Cash Flow</t>
  </si>
  <si>
    <t>SHARES - Outstanding at Fiscal Year End</t>
  </si>
  <si>
    <t>SHARES - for Fully Diluted EPS Calculation</t>
  </si>
  <si>
    <t>STATEMENT OF CASH FLOWS</t>
  </si>
  <si>
    <t>SHARES - for Primary EPS Calculation</t>
  </si>
  <si>
    <t>EPS - Fully Diluted - Including EI&amp;DO</t>
  </si>
  <si>
    <t>EPS - Fully Diluted - Excluding EI&amp;DO</t>
  </si>
  <si>
    <t>EPS - Primary - Including EI&amp;DO</t>
  </si>
  <si>
    <t>EPS - Primary - Excluding EI&amp;DO</t>
  </si>
  <si>
    <t>Preferred Dividends</t>
  </si>
  <si>
    <t>Net Income (Loss)</t>
  </si>
  <si>
    <t>Discontinued Operations</t>
  </si>
  <si>
    <t>Extraordinary Items</t>
  </si>
  <si>
    <t>INCOME BEFORE EI&amp;DO</t>
  </si>
  <si>
    <t>Minority Interest</t>
  </si>
  <si>
    <t>Income Taxes - Total</t>
  </si>
  <si>
    <t>Pretax Income</t>
  </si>
  <si>
    <t>Special Items</t>
  </si>
  <si>
    <t>Non-Operating Income/Expense</t>
  </si>
  <si>
    <t>Interest Expense</t>
  </si>
  <si>
    <t>Operating Income After Depreciation</t>
  </si>
  <si>
    <t>Depreciation, Depletion, &amp; Amortization</t>
  </si>
  <si>
    <t>Operating Income Before Depreciation</t>
  </si>
  <si>
    <t>Selling, General, &amp; Admin Expenses</t>
  </si>
  <si>
    <t>Gross Profit</t>
  </si>
  <si>
    <t>Cost of Goods Sold</t>
  </si>
  <si>
    <t>Sales (Net)</t>
  </si>
  <si>
    <t>TOTAL SHAREHOLDERS EQUITY</t>
  </si>
  <si>
    <t>Noncontrolling Interest - Nonredeemable</t>
  </si>
  <si>
    <t>Shareholders Equity - Parent</t>
  </si>
  <si>
    <t>Less: Treasury Stock</t>
  </si>
  <si>
    <t>Retained Earnings (Net Other)</t>
  </si>
  <si>
    <t>Capital Surplus</t>
  </si>
  <si>
    <t>Common Stock</t>
  </si>
  <si>
    <t>Preferred Stock</t>
  </si>
  <si>
    <t>Noncontrolling Interest - Redeemable</t>
  </si>
  <si>
    <t>TOTAL LIABILITIES</t>
  </si>
  <si>
    <t>Liabilities - Other</t>
  </si>
  <si>
    <t>Investment Tax Credit</t>
  </si>
  <si>
    <t>Deferred Taxes (Balance Sheet)</t>
  </si>
  <si>
    <t>Long Term Debt</t>
  </si>
  <si>
    <t>Total Current Liabilities</t>
  </si>
  <si>
    <t>Other Current Liabilities</t>
  </si>
  <si>
    <t>Debt (Long-Term) Due In One Year</t>
  </si>
  <si>
    <t>Taxes Payable</t>
  </si>
  <si>
    <t>Accrued Expenses</t>
  </si>
  <si>
    <t>Notes Payable</t>
  </si>
  <si>
    <t>Accounts Payable</t>
  </si>
  <si>
    <t>TOTAL ASSETS</t>
  </si>
  <si>
    <t>Assets - Other</t>
  </si>
  <si>
    <t>Deferred Charges</t>
  </si>
  <si>
    <t>Intangibles</t>
  </si>
  <si>
    <t>Investments and Advances - Other</t>
  </si>
  <si>
    <t>Investments at Equity</t>
  </si>
  <si>
    <t>Plant, Property &amp; Equip (Net)</t>
  </si>
  <si>
    <t>Accumulated Depreciation</t>
  </si>
  <si>
    <t>Plant, Property &amp; Equip (Gross)</t>
  </si>
  <si>
    <t>Current Assets - Total</t>
  </si>
  <si>
    <t>Current Assets - Other</t>
  </si>
  <si>
    <t>Prepaid Expenses</t>
  </si>
  <si>
    <t>Inventories - Total</t>
  </si>
  <si>
    <t>Receivables - Total (Net)</t>
  </si>
  <si>
    <t>Cash &amp; Equivalents</t>
  </si>
  <si>
    <t>INPUTS INTO FINANCIAL STATEMENT</t>
  </si>
  <si>
    <t>Total</t>
  </si>
  <si>
    <t>Warrants and Other</t>
  </si>
  <si>
    <t>Stock Options</t>
  </si>
  <si>
    <t>Convertible Debt</t>
  </si>
  <si>
    <t>COMMON SHARES RESERVED FOR CONVERSION</t>
  </si>
  <si>
    <t>Income Taxes - Other</t>
  </si>
  <si>
    <t>Income Taxes - State</t>
  </si>
  <si>
    <t>Income Taxes - Foreign</t>
  </si>
  <si>
    <t>Income Taxes - Federal</t>
  </si>
  <si>
    <t>Deferred Taxes - State</t>
  </si>
  <si>
    <t>Deferred Taxes - Foreign</t>
  </si>
  <si>
    <t>Deferred Taxes - Federal</t>
  </si>
  <si>
    <t>Ending Balance</t>
  </si>
  <si>
    <t>Other Changes</t>
  </si>
  <si>
    <t>Retirements</t>
  </si>
  <si>
    <t>Depletion Expense</t>
  </si>
  <si>
    <t>Depreciation Expense</t>
  </si>
  <si>
    <t>Beginning Balance</t>
  </si>
  <si>
    <t>ACCUMULATED DEPRECIATION ON PPE</t>
  </si>
  <si>
    <t>PROPERTY, PLANT AND EQUIPMENT (COST)</t>
  </si>
  <si>
    <t>Long Term Debt Total</t>
  </si>
  <si>
    <t>Debt - Capitalized Lease Obligations</t>
  </si>
  <si>
    <t>Debt - Long Term - Other</t>
  </si>
  <si>
    <t>Debt - Debentures</t>
  </si>
  <si>
    <t>Debt - Notes</t>
  </si>
  <si>
    <t>Debt - Subordinated</t>
  </si>
  <si>
    <t>Debt - Senior Convertible</t>
  </si>
  <si>
    <t>Debt - Convertible Subordinated</t>
  </si>
  <si>
    <t>LESS: Debt (Long Term) Due In One Year</t>
  </si>
  <si>
    <t>Inventories - Other</t>
  </si>
  <si>
    <t>Inventories - Finished Goods</t>
  </si>
  <si>
    <t>Inventories - Work In Process</t>
  </si>
  <si>
    <t>Inventories - Raw Materials</t>
  </si>
  <si>
    <t>Receivables - Other - Current</t>
  </si>
  <si>
    <t>Income Tax Refund</t>
  </si>
  <si>
    <t>Receivables - Trade</t>
  </si>
  <si>
    <t>ADDITIONAL DATA</t>
  </si>
  <si>
    <t>Treasury Stock - # Shares</t>
  </si>
  <si>
    <t>Treasury Stock ($) - Preferred</t>
  </si>
  <si>
    <t>Treasury Stock ($) - Common</t>
  </si>
  <si>
    <t>Tax Loss Carry Forward</t>
  </si>
  <si>
    <t>Rental Income</t>
  </si>
  <si>
    <t>Rental Commitments - Minimum Year+5</t>
  </si>
  <si>
    <t>Rental Commitments - Minimum Year+4</t>
  </si>
  <si>
    <t>Rental Commitments - Minimum Year+3</t>
  </si>
  <si>
    <t>Rental Commitments - Minimum Year+2</t>
  </si>
  <si>
    <t>Rental Commitments - Minimum Year+1</t>
  </si>
  <si>
    <t>Price - Calendar Year Low</t>
  </si>
  <si>
    <t>Price - Calendar Year High</t>
  </si>
  <si>
    <t>Present Value - Noncapitalized Leases</t>
  </si>
  <si>
    <t>Preferred Stock - Dividends In Arrears</t>
  </si>
  <si>
    <t>Order Backlog</t>
  </si>
  <si>
    <t>LIFO Reserve</t>
  </si>
  <si>
    <t>Labor Related Expenses</t>
  </si>
  <si>
    <t>Interest Expense on Long Term Debt</t>
  </si>
  <si>
    <t>Interest Capitalized - Net Income Effect</t>
  </si>
  <si>
    <t>Interest Capitalized (in fiscal yr)</t>
  </si>
  <si>
    <t>Foreign Currency Translation Adj - Inc. Stmnt.</t>
  </si>
  <si>
    <t>Foreign Currency Translation Adj - Bal. Sheet</t>
  </si>
  <si>
    <t>Equity in Earnings - Unconsolidated Subs</t>
  </si>
  <si>
    <t>Employees (# of)</t>
  </si>
  <si>
    <t>Debt - Unamortized Debt Discount and Other</t>
  </si>
  <si>
    <t>Debt - Mortgages and Other Securities</t>
  </si>
  <si>
    <t>Debt - Long-Term Debt - Tied to Prime</t>
  </si>
  <si>
    <t>Debt (Long Term) Maturing Due in 5 Years</t>
  </si>
  <si>
    <t>Debt (Long Term) Maturing Due in 4 Years Years</t>
  </si>
  <si>
    <t>Debt (Long Term) Maturing Due in 3 Years</t>
  </si>
  <si>
    <t>Debt (Long Term) Maturing Due in 2 Years</t>
  </si>
  <si>
    <t>Convertible Debt and Preferred Stock</t>
  </si>
  <si>
    <t>Compensating Balance</t>
  </si>
  <si>
    <t>Common Shares Traded (Calendar Yr)</t>
  </si>
  <si>
    <t>Common Shareholders (# of)</t>
  </si>
  <si>
    <t>Average Short term Borrowing</t>
  </si>
  <si>
    <t>Average Short Term Borrowing Rate</t>
  </si>
  <si>
    <t>Acquisitions - Sales Contribution</t>
  </si>
  <si>
    <t>Acquisitions - Income Contribution</t>
  </si>
  <si>
    <t>ADDITIONAL SCHEDULES</t>
  </si>
  <si>
    <t>Interest Paid Net</t>
  </si>
  <si>
    <t>DIRECT OPERATING ACTIVITIES</t>
  </si>
  <si>
    <t>Cash and Cash Equivalents - Increase (Decrease)</t>
  </si>
  <si>
    <t>Exchange Rate Effect</t>
  </si>
  <si>
    <t>Financing Activities - Net Cash Flow</t>
  </si>
  <si>
    <t>Financing Activities - Other</t>
  </si>
  <si>
    <t>Changes in Current Debt</t>
  </si>
  <si>
    <t>Long Term Debt - Reduction</t>
  </si>
  <si>
    <t>Long Term Debt - Issuance</t>
  </si>
  <si>
    <t>Purchase of Common and Preferred Stock</t>
  </si>
  <si>
    <t>Sale of Common and Preferred Stock</t>
  </si>
  <si>
    <t>FINANCING ACTIVITIES</t>
  </si>
  <si>
    <t>Investing Activities - Net Cash Flow</t>
  </si>
  <si>
    <t>Investing Activities - Other</t>
  </si>
  <si>
    <t>Sale of Property, Plant, and Equipment</t>
  </si>
  <si>
    <t>Short-Term Investments - Change</t>
  </si>
  <si>
    <t>Sale of Investments</t>
  </si>
  <si>
    <t>Increase in Investments</t>
  </si>
  <si>
    <t>INVESTING ACTIVITIES</t>
  </si>
  <si>
    <t>Assets and Liablities - Other (Net Change)</t>
  </si>
  <si>
    <t>Income Taxes - Accrued - Increase (Decrease)</t>
  </si>
  <si>
    <t>Accounts Payable and Accrued Liabilities - Increase (Decrease)</t>
  </si>
  <si>
    <t>Inventory - Decrease (Increase)</t>
  </si>
  <si>
    <t>Accounts Receivable - Decrease (Increase)</t>
  </si>
  <si>
    <t>Funds from Operations - Other</t>
  </si>
  <si>
    <t>Sale of Property, Plant, and Equipment and Sale of Investments - Loss (Gain)</t>
  </si>
  <si>
    <t>Equity in Net Loss (Earnings)</t>
  </si>
  <si>
    <t>Deferred Taxes</t>
  </si>
  <si>
    <t>Extraordinary Items and Discontinued Operations</t>
  </si>
  <si>
    <t>Depreciation and Amortization</t>
  </si>
  <si>
    <t>Income Before Extraordinary Items</t>
  </si>
  <si>
    <t>INDIRECT OPERATING ACTIVITIES</t>
  </si>
  <si>
    <t>Net Income Adjusted for Common Stock Equivalents</t>
  </si>
  <si>
    <t xml:space="preserve">            Discounted Operations</t>
  </si>
  <si>
    <t xml:space="preserve">            Extraordinary Items</t>
  </si>
  <si>
    <t>Income Before Extraordinary Items - Adjusted for Common Stock Equivalents</t>
  </si>
  <si>
    <t>Common Stock Equivalents - Dollar Savings</t>
  </si>
  <si>
    <t>Income Before Extraordinary Items - Available for Common</t>
  </si>
  <si>
    <t>Dividends - Preferred</t>
  </si>
  <si>
    <t xml:space="preserve">            Income Taxes - Other</t>
  </si>
  <si>
    <t xml:space="preserve">            Income Taxes - State</t>
  </si>
  <si>
    <t xml:space="preserve">            Income Taxes - Foreign</t>
  </si>
  <si>
    <t xml:space="preserve">            Income Taxes - Federal</t>
  </si>
  <si>
    <t xml:space="preserve">                        Deferred Taxes - State</t>
  </si>
  <si>
    <t xml:space="preserve">                        Deferred Taxes - Foreign</t>
  </si>
  <si>
    <t xml:space="preserve">                        Deferred Taxes - Federal</t>
  </si>
  <si>
    <t xml:space="preserve">            Deferred Taxes (Income Account)</t>
  </si>
  <si>
    <t xml:space="preserve">            Pretax Income - Foreign</t>
  </si>
  <si>
    <t xml:space="preserve">            Pretax Income - Domestic</t>
  </si>
  <si>
    <t xml:space="preserve">            Interest Income</t>
  </si>
  <si>
    <t xml:space="preserve">            Nonoperating Income (Expense) - Excluding Interest Income</t>
  </si>
  <si>
    <t>Nonoperating Income (Expense)</t>
  </si>
  <si>
    <t xml:space="preserve">            Depletion Expense (Schedule VI)</t>
  </si>
  <si>
    <t xml:space="preserve">            Depreciation Expense (Schedule VI)</t>
  </si>
  <si>
    <t xml:space="preserve">            Amortization of Intangibles</t>
  </si>
  <si>
    <t>Selling, General, and Administrative Expense</t>
  </si>
  <si>
    <t>INCOME STATEMENT</t>
  </si>
  <si>
    <t>Total Liabilities and Shareholders Equity</t>
  </si>
  <si>
    <t>Shareholders Equity - Total</t>
  </si>
  <si>
    <t xml:space="preserve">            Less: Treas.Stock - Total $ Amt.</t>
  </si>
  <si>
    <t xml:space="preserve">            Retained Earnings</t>
  </si>
  <si>
    <t xml:space="preserve">            Capital Surplus</t>
  </si>
  <si>
    <t xml:space="preserve">            Common Stock</t>
  </si>
  <si>
    <t>Common Equity - Total</t>
  </si>
  <si>
    <t xml:space="preserve">            Pref. Stock - Nonredeemable</t>
  </si>
  <si>
    <t xml:space="preserve">            Pref. Stock - Redeemable</t>
  </si>
  <si>
    <t>Preferred Stock - Carrying Value</t>
  </si>
  <si>
    <t>SHAREHOLDERS' EQUITY</t>
  </si>
  <si>
    <t>Liabilities - Total</t>
  </si>
  <si>
    <t xml:space="preserve">            Investment Tax Credit</t>
  </si>
  <si>
    <t xml:space="preserve">            Deferred Taxes</t>
  </si>
  <si>
    <t>Def. Taxes and Invest.Tax Cred.</t>
  </si>
  <si>
    <t xml:space="preserve">            Debt - Cap. Lease Oblig.</t>
  </si>
  <si>
    <t xml:space="preserve">            Long-Term Debt - Other</t>
  </si>
  <si>
    <t xml:space="preserve">            Debt - Debentures</t>
  </si>
  <si>
    <t xml:space="preserve">            Debt - Notes</t>
  </si>
  <si>
    <t xml:space="preserve">            Debt - Subordinated</t>
  </si>
  <si>
    <t xml:space="preserve">            Debt - Senior Convertible</t>
  </si>
  <si>
    <t xml:space="preserve">            Debt - Subordinated Convertible</t>
  </si>
  <si>
    <t xml:space="preserve">            Debt - Convertible (Total)</t>
  </si>
  <si>
    <t>Long-Term Debt - Total</t>
  </si>
  <si>
    <t>Current Liabilities - Total</t>
  </si>
  <si>
    <t xml:space="preserve">            Other Curr.Liab., Excl.Accr.Exp.</t>
  </si>
  <si>
    <t xml:space="preserve">            Accrued Expense</t>
  </si>
  <si>
    <t>Current Liabilities - Other</t>
  </si>
  <si>
    <t>Income Taxes Payable</t>
  </si>
  <si>
    <t xml:space="preserve">            Debt - Due in One Year</t>
  </si>
  <si>
    <t xml:space="preserve">            Notes Payable</t>
  </si>
  <si>
    <t>Debt in Current Liabilities</t>
  </si>
  <si>
    <t>LIABILITIES</t>
  </si>
  <si>
    <t>Assets - Total</t>
  </si>
  <si>
    <t xml:space="preserve">            Other Asst., Excl.Def.Chg.</t>
  </si>
  <si>
    <t xml:space="preserve">            Deferred Charges</t>
  </si>
  <si>
    <t>Invest. &amp; Advances - Other</t>
  </si>
  <si>
    <t>Invest. &amp; Advances - Eq.Meth.</t>
  </si>
  <si>
    <t xml:space="preserve">            Deprec.Depl.&amp; Amort.</t>
  </si>
  <si>
    <t xml:space="preserve">            P.P.&amp; E.- Total (Gross)</t>
  </si>
  <si>
    <t>Prop.Plant &amp; Equip.- Total (Net)</t>
  </si>
  <si>
    <t xml:space="preserve">            Other Curr.Asst, Excl.Ppd.Exp.</t>
  </si>
  <si>
    <t xml:space="preserve">            Prepaid Expense</t>
  </si>
  <si>
    <t xml:space="preserve">            Inventories - Other</t>
  </si>
  <si>
    <t xml:space="preserve">            Inventories - Finished Goods</t>
  </si>
  <si>
    <t xml:space="preserve">            Inventories - Work in Process</t>
  </si>
  <si>
    <t xml:space="preserve">            Inventories - Raw Materials</t>
  </si>
  <si>
    <t xml:space="preserve">            Current Receivables - Other</t>
  </si>
  <si>
    <t xml:space="preserve">            Income Tax Refund</t>
  </si>
  <si>
    <t xml:space="preserve">            Receivables - Trade</t>
  </si>
  <si>
    <t>Receivables</t>
  </si>
  <si>
    <t xml:space="preserve">            Short-Term Investments</t>
  </si>
  <si>
    <t xml:space="preserve">            Cash</t>
  </si>
  <si>
    <t>Cash and Short-Term Investments</t>
  </si>
  <si>
    <t>ASSETS</t>
  </si>
  <si>
    <t>BALANCE SHEET</t>
  </si>
  <si>
    <t>Fiscal Years: 2018 to 2023</t>
  </si>
  <si>
    <t>WMT</t>
  </si>
  <si>
    <t>Ticker</t>
  </si>
  <si>
    <t>Financial Statement for: WALMART INC</t>
  </si>
  <si>
    <t>Free Cash Flow</t>
  </si>
  <si>
    <t>Stmt. of CFs</t>
  </si>
  <si>
    <t>Change: (Increase) Decrease in CapEx</t>
  </si>
  <si>
    <t>Net Cash Flow from Operating Activities</t>
  </si>
  <si>
    <t>Source</t>
  </si>
  <si>
    <t>Recent</t>
  </si>
  <si>
    <t>Min and Max</t>
  </si>
  <si>
    <t>Average</t>
  </si>
  <si>
    <t>C. Free Cash Flow (Using 3) - Industry Practice</t>
  </si>
  <si>
    <t>Most</t>
  </si>
  <si>
    <t>Drop</t>
  </si>
  <si>
    <t>Historical</t>
  </si>
  <si>
    <t>Balance Sheet</t>
  </si>
  <si>
    <t>Change: (Increase) Decrease in NOWC</t>
  </si>
  <si>
    <t>Inc. Stmt.</t>
  </si>
  <si>
    <t>EBIT*(1-T) + Depreciation</t>
  </si>
  <si>
    <t>B. Free Cash Flow (Using 1, 2, &amp; 3)</t>
  </si>
  <si>
    <t>A. Free Cash Flow (Using 1 &amp; 3)</t>
  </si>
  <si>
    <t>5. Free Cash Flow Estimates</t>
  </si>
  <si>
    <t>SHARES - for Fully Diluted EPS Calculation (millions)</t>
  </si>
  <si>
    <t>SHARES - for Primary EPS Calculation (millions)</t>
  </si>
  <si>
    <t>DPS - Primary</t>
  </si>
  <si>
    <t>SHARES - Outstanding at Fiscal Year End (millions)</t>
  </si>
  <si>
    <t>Stock Price</t>
  </si>
  <si>
    <t>Year</t>
  </si>
  <si>
    <t>4. Per Share Information</t>
  </si>
  <si>
    <t>From Balance Sheet (End of Year minus Beginning of Year)</t>
  </si>
  <si>
    <t>Adjustment (e.g., Short-Term Investments)</t>
  </si>
  <si>
    <t>Reported Cash and Cash Equivalents - Increase (Decrease)</t>
  </si>
  <si>
    <t>Increase (Decrease) in Current Debt</t>
  </si>
  <si>
    <t>Increase (Decrease) in Long-term Debt</t>
  </si>
  <si>
    <t>Increase (Decrease) in Common and Preferred Stock</t>
  </si>
  <si>
    <t>Decrease (Increase) in Other Investments</t>
  </si>
  <si>
    <t>Decrease (Increase) in Gross PP&amp;E [(Increase) in Capital Expenditures]</t>
  </si>
  <si>
    <t>Assuming items below are typical recurring working capital accounts</t>
  </si>
  <si>
    <t xml:space="preserve">(Increase) Decrease in NOWC </t>
  </si>
  <si>
    <t>(Increase) Decrease in NOWC from Statement of CFs</t>
  </si>
  <si>
    <t>Consolidated Income Before Extraordinary Items</t>
  </si>
  <si>
    <t>3. Statement of Cash Flows (% of Revenue)</t>
  </si>
  <si>
    <t>3. Statement of Cash Flows (millions)</t>
  </si>
  <si>
    <t>N/A</t>
  </si>
  <si>
    <t>Change: (Increase) Decrease in NOWC from Balance Sheet</t>
  </si>
  <si>
    <t>NOWC from Balance Sheet (Excludes Cash and Debt)</t>
  </si>
  <si>
    <t>Cash and Debt are excluded because they frequently include interest bearing accounts that are not directly related to day-to-day operations</t>
  </si>
  <si>
    <t>Total Assets = Total Liabilities &amp; Shareholders' Equity</t>
  </si>
  <si>
    <t>Total Liabilities and Shareholders' Equity</t>
  </si>
  <si>
    <t>Shareholders' Equity</t>
  </si>
  <si>
    <t>Liabilities - Total = Reported Total Liabilities</t>
  </si>
  <si>
    <t>Reported Total Liabilities</t>
  </si>
  <si>
    <t>Deferred Taxes and Investment Tax Credit</t>
  </si>
  <si>
    <t xml:space="preserve">            Debt - Capital Lease Obligation</t>
  </si>
  <si>
    <t xml:space="preserve">            Debt - NonCapital Lease</t>
  </si>
  <si>
    <t xml:space="preserve">Liabilities </t>
  </si>
  <si>
    <t>Assets - Total = Reported Total Assets</t>
  </si>
  <si>
    <t>Reported Total Assets</t>
  </si>
  <si>
    <t>Investment &amp; Advances - Other</t>
  </si>
  <si>
    <t>Investment &amp; Advances - Eq Meth</t>
  </si>
  <si>
    <t xml:space="preserve">            Depreciation &amp; Amortization</t>
  </si>
  <si>
    <t xml:space="preserve">            PP&amp;E- Total (Gross)</t>
  </si>
  <si>
    <t>Property Plant &amp; Equipment- Total (Net)</t>
  </si>
  <si>
    <t>Accounts Receivable</t>
  </si>
  <si>
    <t>Assets</t>
  </si>
  <si>
    <t xml:space="preserve">2. Balance Sheet (% of Assets) </t>
  </si>
  <si>
    <t>2. Balance Sheet (millions)</t>
  </si>
  <si>
    <t>We will use % of Revenues with a view towards forecasting; however, the Balance Sheet is frequently common sized as % of Assets</t>
  </si>
  <si>
    <t>Net Income (Loss) = Reported Net Income (Loss)</t>
  </si>
  <si>
    <t>Reported Net Income (Loss)</t>
  </si>
  <si>
    <t xml:space="preserve">  less Minority Interest</t>
  </si>
  <si>
    <t xml:space="preserve">  less Income Taxes</t>
  </si>
  <si>
    <t>Income before Taxes (EBT)</t>
  </si>
  <si>
    <t xml:space="preserve">  less Interest Expense</t>
  </si>
  <si>
    <t>Operating Profit (EBIT)</t>
  </si>
  <si>
    <t>note this doesn't always match D&amp;A in Cash Flow Statement; use this when forecasting Income Statement</t>
  </si>
  <si>
    <t xml:space="preserve">  less Depreciation  &amp; Amortization Expense</t>
  </si>
  <si>
    <t>Income before Depr. &amp; Amort. (EBITDA)</t>
  </si>
  <si>
    <t xml:space="preserve">  less Selling, General&amp; Administrative Expense </t>
  </si>
  <si>
    <t xml:space="preserve">  less Cost of Goods Sold</t>
  </si>
  <si>
    <t>Revenue</t>
  </si>
  <si>
    <t>1. Income Statement (% of Revenue)</t>
  </si>
  <si>
    <t>1. Income Statement (millions)</t>
  </si>
  <si>
    <t>Fiscal Year</t>
  </si>
  <si>
    <t>Fiscal Year-End</t>
  </si>
  <si>
    <t>Date</t>
  </si>
  <si>
    <t>Tax Rate:</t>
  </si>
  <si>
    <t>CAGR</t>
  </si>
  <si>
    <t>Year over year growth</t>
  </si>
  <si>
    <t>Ticker:</t>
  </si>
  <si>
    <t>Walmart</t>
  </si>
  <si>
    <t>Enterprise Value (Value of Operations</t>
  </si>
  <si>
    <t xml:space="preserve">Market Capitalization (Equity Market Value) </t>
  </si>
  <si>
    <t>Equity</t>
  </si>
  <si>
    <t>FY2023</t>
  </si>
  <si>
    <t>FY2021 &amp; 2022</t>
  </si>
  <si>
    <t xml:space="preserve">Debt </t>
  </si>
  <si>
    <t>We</t>
  </si>
  <si>
    <t>Wd</t>
  </si>
  <si>
    <t>6. Market Value Capital Structure Weights</t>
  </si>
  <si>
    <t>Walmart YOY Trendline</t>
  </si>
  <si>
    <t xml:space="preserve">Cost co. Peer Analysis </t>
  </si>
  <si>
    <t>Industry Benchmark</t>
  </si>
  <si>
    <t>Enterprise Value/EBITDA</t>
  </si>
  <si>
    <t>Enterprise Value/EBIT</t>
  </si>
  <si>
    <t>Enterprise Value/Revenue</t>
  </si>
  <si>
    <t>Enterprise Value (Value of Operations) in millions</t>
  </si>
  <si>
    <t>Market/Book</t>
  </si>
  <si>
    <t>Price/Cash Flow</t>
  </si>
  <si>
    <t>P/E</t>
  </si>
  <si>
    <t>Dividend Yield</t>
  </si>
  <si>
    <t>Market Capitalization (Equity Market Value) in millions</t>
  </si>
  <si>
    <t>5. Market Value</t>
  </si>
  <si>
    <t xml:space="preserve">  Equity Multiplier</t>
  </si>
  <si>
    <t xml:space="preserve">  Profit Margin</t>
  </si>
  <si>
    <t xml:space="preserve">  Total Asset Turnover</t>
  </si>
  <si>
    <t>Dupont ROE:</t>
  </si>
  <si>
    <t>ROE</t>
  </si>
  <si>
    <t>ROA</t>
  </si>
  <si>
    <t>Profit Margin</t>
  </si>
  <si>
    <t>Operating Profit Margin</t>
  </si>
  <si>
    <t>Gross Profit Margin</t>
  </si>
  <si>
    <t>4. Profitability/Performance</t>
  </si>
  <si>
    <t>Interest Coverage (Times Interest Earned)</t>
  </si>
  <si>
    <t>Long-term Debt to Equity</t>
  </si>
  <si>
    <t>Long-term Debt to Assets</t>
  </si>
  <si>
    <t>Total Debt to Equity</t>
  </si>
  <si>
    <t>Total Debt to Assets</t>
  </si>
  <si>
    <t>3. Solvency (Debt Management)</t>
  </si>
  <si>
    <t>Cash Conversion Cycle</t>
  </si>
  <si>
    <t>Days Payables Outstanding</t>
  </si>
  <si>
    <t>Days Sales Outstanding (Collection Period)</t>
  </si>
  <si>
    <t>Days Inventory Outstanding (Held)</t>
  </si>
  <si>
    <t>Inventory Turnover</t>
  </si>
  <si>
    <t>Fixed Asset Turnover</t>
  </si>
  <si>
    <t>Total Asset Turnover</t>
  </si>
  <si>
    <t>2. Efficiency (Asset Management)</t>
  </si>
  <si>
    <t>Cash Ratio</t>
  </si>
  <si>
    <t>Quick Ratio</t>
  </si>
  <si>
    <t>Current Ratio</t>
  </si>
  <si>
    <t>1. Liquidity</t>
  </si>
  <si>
    <t>Net Advantage</t>
  </si>
  <si>
    <t xml:space="preserve">without </t>
  </si>
  <si>
    <t>Company Name:</t>
  </si>
  <si>
    <t xml:space="preserve">Cost Co. </t>
  </si>
  <si>
    <t>WALMART</t>
  </si>
  <si>
    <t xml:space="preserve">Overall Positioning and Profitability </t>
  </si>
  <si>
    <t>Asset Ultilzation</t>
  </si>
  <si>
    <t>OpEx</t>
  </si>
  <si>
    <t xml:space="preserve">Cost Management </t>
  </si>
  <si>
    <t>Walmart’s financial health in 2023 appears stable but not without concerns:</t>
  </si>
  <si>
    <t>Market Share</t>
  </si>
  <si>
    <t>Impact on competitve advantage from an georgraphic standpoint</t>
  </si>
  <si>
    <t>Notes:</t>
  </si>
  <si>
    <t>FCF</t>
  </si>
  <si>
    <t>Economic Lifecycle &amp; Strategy, Investments (new infrastructure), maintenance &amp; repair (Impact on OpExx, utilization and throughput, upgrades existing machinery (compatibility w/technology and rising trends)</t>
  </si>
  <si>
    <t>Cap Ex</t>
  </si>
  <si>
    <t>Salaries &amp; Wages (Head Count, over time has slowly decreased. Are they managing their overhead better?</t>
  </si>
  <si>
    <t>SG&amp;A</t>
  </si>
  <si>
    <t xml:space="preserve">Raw Materials (EOS, Negoitation Power &amp; rates w/ suppliers), Direct Labor, Inventory Management), more upstream with bridging the gap between production, DSI) Process Efficiency </t>
  </si>
  <si>
    <t>COGS</t>
  </si>
  <si>
    <t xml:space="preserve">Pricing Strategy (Margin Control &amp; product Mix), Volume (Q), Availability (which bridges the gap to the operational impact which impacts customer satisififcation and retention </t>
  </si>
  <si>
    <t>Revenue Growth</t>
  </si>
  <si>
    <t>Drivers</t>
  </si>
  <si>
    <t>Trend</t>
  </si>
  <si>
    <t>Line Items: YOY</t>
  </si>
  <si>
    <r>
      <t>Strengths:</t>
    </r>
    <r>
      <rPr>
        <sz val="10"/>
        <rFont val="Times New Roman"/>
        <family val="1"/>
      </rPr>
      <t xml:space="preserve"> Strong market position, efficient inventory management, and a good balance between debt and equity.</t>
    </r>
  </si>
  <si>
    <r>
      <t>Weaknesses:</t>
    </r>
    <r>
      <rPr>
        <sz val="10"/>
        <rFont val="Times New Roman"/>
        <family val="1"/>
      </rPr>
      <t xml:space="preserve"> Declining profitability margins, shrinking asset turnover, and potential liquidity concerns.</t>
    </r>
  </si>
  <si>
    <r>
      <t>Risks:</t>
    </r>
    <r>
      <rPr>
        <sz val="10"/>
        <rFont val="Times New Roman"/>
        <family val="1"/>
      </rPr>
      <t xml:space="preserve"> Continued declines in profitability and efficiency ratios could indicate challenges in maintaining growth and operational efficiency.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</si>
</sst>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###,###,##0.000"/>
    <numFmt numFmtId="165" formatCode="[$-409]d\-mmm;@"/>
    <numFmt numFmtId="166" formatCode="_(&quot;$&quot;* #,##0_);_(&quot;$&quot;* \(#,##0\);_(&quot;$&quot;* &quot;-&quot;??_);_(@_)"/>
    <numFmt numFmtId="167" formatCode="0.0%"/>
  </numFmts>
  <fonts count="24" x14ac:knownFonts="1">
    <font>
      <sz val="12"/>
      <color theme="1"/>
      <name val="Times New Roman"/>
      <family val="2"/>
    </font>
    <font>
      <sz val="10"/>
      <name val="Arial"/>
      <family val="2"/>
    </font>
    <font>
      <sz val="12"/>
      <name val="Times New Roman"/>
      <family val="1"/>
    </font>
    <font>
      <sz val="12"/>
      <color rgb="FFFFFFFF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i/>
      <sz val="12"/>
      <color rgb="FF58595B"/>
      <name val="Times New Roman"/>
      <family val="1"/>
    </font>
    <font>
      <b/>
      <i/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2F2F2"/>
      <name val="Times New Roman"/>
      <family val="1"/>
    </font>
    <font>
      <b/>
      <sz val="12"/>
      <color rgb="FFFF8200"/>
      <name val="Times New Roman"/>
      <family val="1"/>
    </font>
    <font>
      <sz val="12"/>
      <color rgb="FF58595B"/>
      <name val="Times New Roman"/>
      <family val="1"/>
    </font>
    <font>
      <b/>
      <sz val="12"/>
      <color rgb="FF58595B"/>
      <name val="Times New Roman"/>
      <family val="1"/>
    </font>
    <font>
      <i/>
      <sz val="12"/>
      <name val="Times New Roman"/>
      <family val="1"/>
    </font>
    <font>
      <b/>
      <i/>
      <sz val="12"/>
      <color rgb="FF006C93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2" tint="-0.499984740745262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0EDE3"/>
        <bgColor indexed="64"/>
      </patternFill>
    </fill>
    <fill>
      <patternFill patternType="solid">
        <fgColor rgb="FF006C93"/>
        <bgColor rgb="FF006C93"/>
      </patternFill>
    </fill>
    <fill>
      <patternFill patternType="solid">
        <fgColor rgb="FFFF0000"/>
      </patternFill>
    </fill>
    <fill>
      <patternFill patternType="solid">
        <fgColor rgb="FFF6F6F6"/>
        <bgColor indexed="64"/>
      </patternFill>
    </fill>
    <fill>
      <patternFill patternType="solid">
        <fgColor rgb="FF006C93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6F6F6"/>
        <bgColor rgb="FFF6F6F6"/>
      </patternFill>
    </fill>
    <fill>
      <patternFill patternType="solid">
        <fgColor rgb="FFF0EDE3"/>
        <bgColor rgb="FF000000"/>
      </patternFill>
    </fill>
  </fills>
  <borders count="92">
    <border>
      <left/>
      <right/>
      <top/>
      <bottom/>
      <diagonal/>
    </border>
    <border>
      <left style="medium">
        <color rgb="FFFF8200"/>
      </left>
      <right style="medium">
        <color theme="1"/>
      </right>
      <top/>
      <bottom style="medium">
        <color theme="1"/>
      </bottom>
      <diagonal/>
    </border>
    <border>
      <left style="medium">
        <color rgb="FFFF8200"/>
      </left>
      <right/>
      <top/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rgb="FFFF8200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rgb="FFFF8200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rgb="FFFF8200"/>
      </left>
      <right style="medium">
        <color theme="1"/>
      </right>
      <top/>
      <bottom/>
      <diagonal/>
    </border>
    <border>
      <left style="medium">
        <color rgb="FFFF8200"/>
      </left>
      <right/>
      <top/>
      <bottom/>
      <diagonal/>
    </border>
    <border>
      <left style="medium">
        <color rgb="FFFF8200"/>
      </left>
      <right style="medium">
        <color theme="1"/>
      </right>
      <top style="medium">
        <color rgb="FFFF8200"/>
      </top>
      <bottom/>
      <diagonal/>
    </border>
    <border>
      <left style="medium">
        <color rgb="FFFF8200"/>
      </left>
      <right/>
      <top style="medium">
        <color rgb="FFFF82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rgb="FFFF8200"/>
      </right>
      <top style="thin">
        <color indexed="64"/>
      </top>
      <bottom style="medium">
        <color theme="1"/>
      </bottom>
      <diagonal/>
    </border>
    <border>
      <left/>
      <right style="medium">
        <color rgb="FFFF8200"/>
      </right>
      <top/>
      <bottom style="thin">
        <color indexed="64"/>
      </bottom>
      <diagonal/>
    </border>
    <border>
      <left/>
      <right style="medium">
        <color rgb="FFFF8200"/>
      </right>
      <top/>
      <bottom/>
      <diagonal/>
    </border>
    <border>
      <left/>
      <right style="medium">
        <color rgb="FFFF8200"/>
      </right>
      <top style="medium">
        <color theme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rgb="FFFF8200"/>
      </left>
      <right style="medium">
        <color theme="1"/>
      </right>
      <top style="medium">
        <color theme="1"/>
      </top>
      <bottom/>
      <diagonal/>
    </border>
    <border>
      <left style="medium">
        <color rgb="FFFF8200"/>
      </left>
      <right/>
      <top style="medium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rgb="FFFF8200"/>
      </bottom>
      <diagonal/>
    </border>
    <border>
      <left style="medium">
        <color rgb="FFFF8200"/>
      </left>
      <right/>
      <top/>
      <bottom style="medium">
        <color rgb="FFFF8200"/>
      </bottom>
      <diagonal/>
    </border>
    <border>
      <left/>
      <right/>
      <top style="medium">
        <color rgb="FFFF8200"/>
      </top>
      <bottom/>
      <diagonal/>
    </border>
    <border>
      <left style="medium">
        <color rgb="FFFF82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820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FF8200"/>
      </left>
      <right style="medium">
        <color indexed="64"/>
      </right>
      <top style="medium">
        <color rgb="FFFF8200"/>
      </top>
      <bottom style="medium">
        <color indexed="64"/>
      </bottom>
      <diagonal/>
    </border>
    <border>
      <left style="medium">
        <color rgb="FFFF82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82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FF8200"/>
      </left>
      <right style="medium">
        <color indexed="64"/>
      </right>
      <top/>
      <bottom/>
      <diagonal/>
    </border>
    <border>
      <left style="medium">
        <color rgb="FFFF8200"/>
      </left>
      <right/>
      <top style="medium">
        <color rgb="FFFF82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8200"/>
      </left>
      <right style="medium">
        <color rgb="FFFF8200"/>
      </right>
      <top style="medium">
        <color rgb="FFFF8200"/>
      </top>
      <bottom style="medium">
        <color indexed="64"/>
      </bottom>
      <diagonal/>
    </border>
    <border>
      <left style="medium">
        <color rgb="FFFF8200"/>
      </left>
      <right style="medium">
        <color rgb="FFFF8200"/>
      </right>
      <top/>
      <bottom style="medium">
        <color theme="1"/>
      </bottom>
      <diagonal/>
    </border>
    <border>
      <left style="medium">
        <color rgb="FFFF8200"/>
      </left>
      <right style="medium">
        <color rgb="FFFF8200"/>
      </right>
      <top/>
      <bottom/>
      <diagonal/>
    </border>
    <border>
      <left style="medium">
        <color rgb="FFFF8200"/>
      </left>
      <right style="medium">
        <color indexed="64"/>
      </right>
      <top/>
      <bottom style="medium">
        <color rgb="FFFF82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FF82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medium">
        <color rgb="FFFF8200"/>
      </left>
      <right style="medium">
        <color rgb="FFFF82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7">
    <xf numFmtId="0" fontId="0" fillId="0" borderId="0" xfId="0"/>
    <xf numFmtId="0" fontId="2" fillId="0" borderId="0" xfId="1" applyFont="1"/>
    <xf numFmtId="0" fontId="3" fillId="0" borderId="0" xfId="1" applyFont="1"/>
    <xf numFmtId="4" fontId="2" fillId="0" borderId="0" xfId="1" applyNumberFormat="1" applyFont="1"/>
    <xf numFmtId="164" fontId="2" fillId="0" borderId="0" xfId="1" applyNumberFormat="1" applyFont="1" applyFill="1" applyBorder="1" applyAlignment="1" applyProtection="1"/>
    <xf numFmtId="0" fontId="2" fillId="0" borderId="0" xfId="1" applyFont="1" applyFill="1" applyBorder="1" applyAlignment="1" applyProtection="1"/>
    <xf numFmtId="2" fontId="2" fillId="0" borderId="0" xfId="1" applyNumberFormat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2" borderId="0" xfId="1" applyFont="1" applyFill="1" applyBorder="1" applyAlignment="1" applyProtection="1"/>
    <xf numFmtId="44" fontId="2" fillId="0" borderId="0" xfId="2" applyFont="1" applyFill="1" applyBorder="1" applyAlignment="1" applyProtection="1"/>
    <xf numFmtId="14" fontId="2" fillId="0" borderId="0" xfId="1" applyNumberFormat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6" fillId="0" borderId="0" xfId="1" applyFont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/>
    </xf>
    <xf numFmtId="10" fontId="4" fillId="3" borderId="2" xfId="3" applyNumberFormat="1" applyFont="1" applyFill="1" applyBorder="1" applyAlignment="1">
      <alignment horizontal="center" vertical="center"/>
    </xf>
    <xf numFmtId="10" fontId="2" fillId="0" borderId="3" xfId="3" applyNumberFormat="1" applyFont="1" applyBorder="1"/>
    <xf numFmtId="0" fontId="4" fillId="0" borderId="4" xfId="1" applyFont="1" applyBorder="1"/>
    <xf numFmtId="44" fontId="4" fillId="3" borderId="5" xfId="2" applyFont="1" applyFill="1" applyBorder="1"/>
    <xf numFmtId="44" fontId="4" fillId="3" borderId="6" xfId="2" applyFont="1" applyFill="1" applyBorder="1"/>
    <xf numFmtId="37" fontId="4" fillId="0" borderId="3" xfId="1" applyNumberFormat="1" applyFont="1" applyBorder="1"/>
    <xf numFmtId="0" fontId="7" fillId="0" borderId="0" xfId="1" applyFont="1"/>
    <xf numFmtId="10" fontId="2" fillId="3" borderId="1" xfId="3" applyNumberFormat="1" applyFont="1" applyFill="1" applyBorder="1" applyAlignment="1">
      <alignment horizontal="center" vertical="center"/>
    </xf>
    <xf numFmtId="10" fontId="2" fillId="3" borderId="2" xfId="3" applyNumberFormat="1" applyFont="1" applyFill="1" applyBorder="1" applyAlignment="1">
      <alignment horizontal="center" vertical="center"/>
    </xf>
    <xf numFmtId="0" fontId="2" fillId="0" borderId="0" xfId="1" applyFont="1" applyBorder="1"/>
    <xf numFmtId="0" fontId="2" fillId="0" borderId="7" xfId="1" applyFont="1" applyBorder="1"/>
    <xf numFmtId="44" fontId="2" fillId="3" borderId="8" xfId="2" applyFont="1" applyFill="1" applyBorder="1"/>
    <xf numFmtId="44" fontId="2" fillId="3" borderId="9" xfId="2" applyFont="1" applyFill="1" applyBorder="1"/>
    <xf numFmtId="37" fontId="2" fillId="0" borderId="0" xfId="1" applyNumberFormat="1" applyFont="1" applyBorder="1"/>
    <xf numFmtId="10" fontId="2" fillId="3" borderId="8" xfId="3" applyNumberFormat="1" applyFont="1" applyFill="1" applyBorder="1" applyAlignment="1">
      <alignment horizontal="center" vertical="center"/>
    </xf>
    <xf numFmtId="10" fontId="2" fillId="3" borderId="9" xfId="3" applyNumberFormat="1" applyFont="1" applyFill="1" applyBorder="1" applyAlignment="1">
      <alignment horizontal="center" vertical="center"/>
    </xf>
    <xf numFmtId="44" fontId="2" fillId="3" borderId="10" xfId="2" applyFont="1" applyFill="1" applyBorder="1"/>
    <xf numFmtId="44" fontId="2" fillId="3" borderId="11" xfId="2" applyFont="1" applyFill="1" applyBorder="1"/>
    <xf numFmtId="0" fontId="7" fillId="0" borderId="12" xfId="1" applyFont="1" applyBorder="1" applyAlignment="1">
      <alignment horizontal="center"/>
    </xf>
    <xf numFmtId="0" fontId="8" fillId="4" borderId="13" xfId="1" applyFont="1" applyFill="1" applyBorder="1" applyAlignment="1">
      <alignment horizontal="center" vertical="center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165" fontId="9" fillId="4" borderId="14" xfId="1" applyNumberFormat="1" applyFont="1" applyFill="1" applyBorder="1" applyAlignment="1">
      <alignment horizontal="center"/>
    </xf>
    <xf numFmtId="0" fontId="10" fillId="4" borderId="14" xfId="1" applyFont="1" applyFill="1" applyBorder="1"/>
    <xf numFmtId="0" fontId="9" fillId="4" borderId="16" xfId="1" applyFont="1" applyFill="1" applyBorder="1"/>
    <xf numFmtId="165" fontId="9" fillId="4" borderId="17" xfId="1" applyNumberFormat="1" applyFont="1" applyFill="1" applyBorder="1" applyAlignment="1">
      <alignment horizontal="center"/>
    </xf>
    <xf numFmtId="165" fontId="9" fillId="4" borderId="0" xfId="1" applyNumberFormat="1" applyFont="1" applyFill="1" applyBorder="1" applyAlignment="1">
      <alignment horizontal="center"/>
    </xf>
    <xf numFmtId="0" fontId="10" fillId="4" borderId="0" xfId="1" applyFont="1" applyFill="1" applyBorder="1"/>
    <xf numFmtId="0" fontId="4" fillId="4" borderId="7" xfId="1" applyFont="1" applyFill="1" applyBorder="1"/>
    <xf numFmtId="14" fontId="8" fillId="4" borderId="18" xfId="1" applyNumberFormat="1" applyFont="1" applyFill="1" applyBorder="1" applyAlignment="1">
      <alignment horizontal="center" vertical="center"/>
    </xf>
    <xf numFmtId="14" fontId="8" fillId="4" borderId="19" xfId="1" applyNumberFormat="1" applyFont="1" applyFill="1" applyBorder="1" applyAlignment="1">
      <alignment horizontal="center" vertical="center"/>
    </xf>
    <xf numFmtId="14" fontId="8" fillId="4" borderId="20" xfId="1" applyNumberFormat="1" applyFont="1" applyFill="1" applyBorder="1" applyAlignment="1">
      <alignment horizontal="center" vertical="center"/>
    </xf>
    <xf numFmtId="0" fontId="9" fillId="4" borderId="19" xfId="1" applyNumberFormat="1" applyFont="1" applyFill="1" applyBorder="1" applyAlignment="1">
      <alignment horizontal="center"/>
    </xf>
    <xf numFmtId="0" fontId="9" fillId="4" borderId="19" xfId="1" applyFont="1" applyFill="1" applyBorder="1"/>
    <xf numFmtId="0" fontId="9" fillId="4" borderId="21" xfId="1" applyFont="1" applyFill="1" applyBorder="1"/>
    <xf numFmtId="0" fontId="9" fillId="4" borderId="18" xfId="1" applyNumberFormat="1" applyFont="1" applyFill="1" applyBorder="1" applyAlignment="1">
      <alignment horizontal="center"/>
    </xf>
    <xf numFmtId="0" fontId="2" fillId="0" borderId="0" xfId="1" applyFont="1" applyAlignment="1">
      <alignment horizontal="center" vertical="center"/>
    </xf>
    <xf numFmtId="10" fontId="2" fillId="5" borderId="2" xfId="3" applyNumberFormat="1" applyFont="1" applyFill="1" applyBorder="1" applyAlignment="1">
      <alignment horizontal="center" vertical="center"/>
    </xf>
    <xf numFmtId="10" fontId="2" fillId="0" borderId="22" xfId="3" applyNumberFormat="1" applyFont="1" applyFill="1" applyBorder="1"/>
    <xf numFmtId="0" fontId="5" fillId="0" borderId="14" xfId="1" applyFont="1" applyBorder="1"/>
    <xf numFmtId="37" fontId="2" fillId="0" borderId="14" xfId="1" applyNumberFormat="1" applyFont="1" applyFill="1" applyBorder="1"/>
    <xf numFmtId="10" fontId="2" fillId="5" borderId="9" xfId="3" applyNumberFormat="1" applyFont="1" applyFill="1" applyBorder="1" applyAlignment="1">
      <alignment horizontal="center" vertical="center"/>
    </xf>
    <xf numFmtId="10" fontId="2" fillId="0" borderId="23" xfId="3" applyNumberFormat="1" applyFont="1" applyFill="1" applyBorder="1"/>
    <xf numFmtId="44" fontId="2" fillId="6" borderId="0" xfId="2" applyFont="1" applyFill="1" applyBorder="1"/>
    <xf numFmtId="0" fontId="5" fillId="0" borderId="0" xfId="1" applyFont="1" applyBorder="1"/>
    <xf numFmtId="37" fontId="2" fillId="0" borderId="0" xfId="1" applyNumberFormat="1" applyFont="1" applyFill="1" applyBorder="1"/>
    <xf numFmtId="10" fontId="2" fillId="0" borderId="24" xfId="3" applyNumberFormat="1" applyFont="1" applyFill="1" applyBorder="1"/>
    <xf numFmtId="10" fontId="2" fillId="0" borderId="25" xfId="3" applyNumberFormat="1" applyFont="1" applyFill="1" applyBorder="1"/>
    <xf numFmtId="0" fontId="2" fillId="0" borderId="19" xfId="1" applyFont="1" applyBorder="1"/>
    <xf numFmtId="0" fontId="2" fillId="0" borderId="21" xfId="1" applyFont="1" applyBorder="1"/>
    <xf numFmtId="0" fontId="9" fillId="4" borderId="7" xfId="1" applyFont="1" applyFill="1" applyBorder="1"/>
    <xf numFmtId="10" fontId="2" fillId="0" borderId="14" xfId="3" applyNumberFormat="1" applyFont="1" applyBorder="1"/>
    <xf numFmtId="0" fontId="4" fillId="0" borderId="16" xfId="1" applyFont="1" applyBorder="1"/>
    <xf numFmtId="44" fontId="4" fillId="6" borderId="26" xfId="2" applyFont="1" applyFill="1" applyBorder="1"/>
    <xf numFmtId="14" fontId="8" fillId="4" borderId="17" xfId="1" applyNumberFormat="1" applyFont="1" applyFill="1" applyBorder="1" applyAlignment="1">
      <alignment horizontal="center" vertical="center"/>
    </xf>
    <xf numFmtId="14" fontId="8" fillId="4" borderId="0" xfId="1" applyNumberFormat="1" applyFont="1" applyFill="1" applyBorder="1" applyAlignment="1">
      <alignment horizontal="center" vertical="center"/>
    </xf>
    <xf numFmtId="0" fontId="9" fillId="4" borderId="0" xfId="1" applyNumberFormat="1" applyFont="1" applyFill="1" applyBorder="1" applyAlignment="1">
      <alignment horizontal="center"/>
    </xf>
    <xf numFmtId="0" fontId="9" fillId="4" borderId="0" xfId="1" applyFont="1" applyFill="1" applyBorder="1"/>
    <xf numFmtId="0" fontId="9" fillId="4" borderId="27" xfId="1" applyNumberFormat="1" applyFont="1" applyFill="1" applyBorder="1" applyAlignment="1">
      <alignment horizontal="center"/>
    </xf>
    <xf numFmtId="0" fontId="9" fillId="4" borderId="28" xfId="1" applyNumberFormat="1" applyFont="1" applyFill="1" applyBorder="1" applyAlignment="1">
      <alignment horizontal="center"/>
    </xf>
    <xf numFmtId="0" fontId="9" fillId="4" borderId="28" xfId="1" applyFont="1" applyFill="1" applyBorder="1"/>
    <xf numFmtId="0" fontId="9" fillId="4" borderId="29" xfId="1" applyFont="1" applyFill="1" applyBorder="1"/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7" borderId="19" xfId="1" applyFont="1" applyFill="1" applyBorder="1"/>
    <xf numFmtId="0" fontId="11" fillId="7" borderId="19" xfId="1" applyFont="1" applyFill="1" applyBorder="1"/>
    <xf numFmtId="0" fontId="2" fillId="7" borderId="18" xfId="1" applyFont="1" applyFill="1" applyBorder="1"/>
    <xf numFmtId="40" fontId="12" fillId="0" borderId="0" xfId="1" applyNumberFormat="1" applyFont="1" applyFill="1" applyBorder="1"/>
    <xf numFmtId="0" fontId="12" fillId="0" borderId="0" xfId="1" applyFont="1" applyFill="1" applyBorder="1"/>
    <xf numFmtId="0" fontId="12" fillId="0" borderId="0" xfId="1" applyFont="1" applyFill="1" applyBorder="1" applyAlignment="1" applyProtection="1"/>
    <xf numFmtId="40" fontId="2" fillId="6" borderId="0" xfId="1" applyNumberFormat="1" applyFont="1" applyFill="1" applyBorder="1"/>
    <xf numFmtId="0" fontId="2" fillId="6" borderId="0" xfId="1" applyFont="1" applyFill="1" applyBorder="1"/>
    <xf numFmtId="0" fontId="2" fillId="6" borderId="0" xfId="1" applyFont="1" applyFill="1" applyBorder="1" applyAlignment="1" applyProtection="1"/>
    <xf numFmtId="37" fontId="2" fillId="6" borderId="30" xfId="1" applyNumberFormat="1" applyFont="1" applyFill="1" applyBorder="1"/>
    <xf numFmtId="37" fontId="2" fillId="6" borderId="12" xfId="1" applyNumberFormat="1" applyFont="1" applyFill="1" applyBorder="1"/>
    <xf numFmtId="0" fontId="2" fillId="6" borderId="12" xfId="1" applyFont="1" applyFill="1" applyBorder="1"/>
    <xf numFmtId="0" fontId="2" fillId="6" borderId="31" xfId="1" applyFont="1" applyFill="1" applyBorder="1" applyAlignment="1" applyProtection="1"/>
    <xf numFmtId="44" fontId="2" fillId="6" borderId="32" xfId="2" applyFont="1" applyFill="1" applyBorder="1"/>
    <xf numFmtId="0" fontId="2" fillId="6" borderId="33" xfId="1" applyFont="1" applyFill="1" applyBorder="1" applyAlignment="1" applyProtection="1"/>
    <xf numFmtId="37" fontId="2" fillId="6" borderId="32" xfId="1" applyNumberFormat="1" applyFont="1" applyFill="1" applyBorder="1"/>
    <xf numFmtId="37" fontId="2" fillId="6" borderId="0" xfId="1" applyNumberFormat="1" applyFont="1" applyFill="1" applyBorder="1"/>
    <xf numFmtId="10" fontId="12" fillId="0" borderId="0" xfId="3" applyNumberFormat="1" applyFont="1" applyFill="1" applyBorder="1" applyAlignment="1" applyProtection="1">
      <alignment horizontal="center" vertical="center"/>
    </xf>
    <xf numFmtId="0" fontId="2" fillId="6" borderId="33" xfId="1" applyFont="1" applyFill="1" applyBorder="1"/>
    <xf numFmtId="0" fontId="13" fillId="0" borderId="0" xfId="1" applyFont="1" applyFill="1" applyBorder="1" applyAlignment="1">
      <alignment horizontal="center"/>
    </xf>
    <xf numFmtId="0" fontId="13" fillId="0" borderId="0" xfId="1" applyFont="1" applyFill="1" applyBorder="1"/>
    <xf numFmtId="14" fontId="9" fillId="4" borderId="0" xfId="1" applyNumberFormat="1" applyFont="1" applyFill="1" applyBorder="1" applyAlignment="1">
      <alignment horizontal="center"/>
    </xf>
    <xf numFmtId="0" fontId="9" fillId="4" borderId="33" xfId="1" applyFont="1" applyFill="1" applyBorder="1"/>
    <xf numFmtId="14" fontId="13" fillId="0" borderId="0" xfId="1" applyNumberFormat="1" applyFont="1" applyFill="1" applyBorder="1" applyAlignment="1">
      <alignment horizontal="center"/>
    </xf>
    <xf numFmtId="0" fontId="9" fillId="4" borderId="34" xfId="1" applyFont="1" applyFill="1" applyBorder="1"/>
    <xf numFmtId="0" fontId="2" fillId="0" borderId="3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38" fontId="2" fillId="0" borderId="35" xfId="1" applyNumberFormat="1" applyFont="1" applyFill="1" applyBorder="1"/>
    <xf numFmtId="38" fontId="2" fillId="0" borderId="36" xfId="1" applyNumberFormat="1" applyFont="1" applyFill="1" applyBorder="1"/>
    <xf numFmtId="0" fontId="2" fillId="0" borderId="36" xfId="1" applyFont="1" applyFill="1" applyBorder="1"/>
    <xf numFmtId="0" fontId="2" fillId="0" borderId="37" xfId="1" applyFont="1" applyFill="1" applyBorder="1"/>
    <xf numFmtId="44" fontId="4" fillId="6" borderId="35" xfId="2" applyFont="1" applyFill="1" applyBorder="1"/>
    <xf numFmtId="44" fontId="4" fillId="6" borderId="36" xfId="2" applyFont="1" applyFill="1" applyBorder="1"/>
    <xf numFmtId="0" fontId="4" fillId="6" borderId="36" xfId="1" applyFont="1" applyFill="1" applyBorder="1"/>
    <xf numFmtId="0" fontId="4" fillId="6" borderId="37" xfId="1" applyFont="1" applyFill="1" applyBorder="1"/>
    <xf numFmtId="0" fontId="2" fillId="0" borderId="3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38" fontId="2" fillId="0" borderId="32" xfId="1" applyNumberFormat="1" applyFont="1" applyFill="1" applyBorder="1"/>
    <xf numFmtId="38" fontId="2" fillId="0" borderId="0" xfId="1" applyNumberFormat="1" applyFont="1" applyFill="1" applyBorder="1"/>
    <xf numFmtId="0" fontId="2" fillId="0" borderId="0" xfId="1" applyFont="1" applyFill="1" applyBorder="1"/>
    <xf numFmtId="0" fontId="2" fillId="0" borderId="33" xfId="1" applyFont="1" applyFill="1" applyBorder="1"/>
    <xf numFmtId="0" fontId="4" fillId="0" borderId="33" xfId="1" applyFont="1" applyFill="1" applyBorder="1" applyAlignment="1" applyProtection="1"/>
    <xf numFmtId="0" fontId="4" fillId="6" borderId="33" xfId="1" applyFont="1" applyFill="1" applyBorder="1" applyAlignment="1" applyProtection="1"/>
    <xf numFmtId="10" fontId="4" fillId="3" borderId="16" xfId="3" applyNumberFormat="1" applyFont="1" applyFill="1" applyBorder="1" applyAlignment="1">
      <alignment horizontal="center" vertical="center"/>
    </xf>
    <xf numFmtId="10" fontId="2" fillId="0" borderId="26" xfId="3" applyNumberFormat="1" applyFont="1" applyBorder="1"/>
    <xf numFmtId="0" fontId="4" fillId="0" borderId="38" xfId="1" applyFont="1" applyFill="1" applyBorder="1" applyAlignment="1" applyProtection="1"/>
    <xf numFmtId="44" fontId="4" fillId="6" borderId="39" xfId="2" applyFont="1" applyFill="1" applyBorder="1"/>
    <xf numFmtId="0" fontId="4" fillId="6" borderId="26" xfId="1" applyFont="1" applyFill="1" applyBorder="1"/>
    <xf numFmtId="0" fontId="4" fillId="6" borderId="38" xfId="1" applyFont="1" applyFill="1" applyBorder="1" applyAlignment="1" applyProtection="1"/>
    <xf numFmtId="10" fontId="2" fillId="3" borderId="16" xfId="3" applyNumberFormat="1" applyFont="1" applyFill="1" applyBorder="1" applyAlignment="1">
      <alignment horizontal="center" vertical="center"/>
    </xf>
    <xf numFmtId="0" fontId="2" fillId="0" borderId="33" xfId="1" applyFont="1" applyFill="1" applyBorder="1" applyAlignment="1" applyProtection="1"/>
    <xf numFmtId="10" fontId="4" fillId="3" borderId="8" xfId="3" applyNumberFormat="1" applyFont="1" applyFill="1" applyBorder="1" applyAlignment="1">
      <alignment horizontal="center" vertical="center"/>
    </xf>
    <xf numFmtId="10" fontId="4" fillId="3" borderId="9" xfId="3" applyNumberFormat="1" applyFont="1" applyFill="1" applyBorder="1" applyAlignment="1">
      <alignment horizontal="center" vertical="center"/>
    </xf>
    <xf numFmtId="10" fontId="4" fillId="3" borderId="7" xfId="3" applyNumberFormat="1" applyFont="1" applyFill="1" applyBorder="1" applyAlignment="1">
      <alignment horizontal="center" vertical="center"/>
    </xf>
    <xf numFmtId="10" fontId="2" fillId="3" borderId="7" xfId="3" applyNumberFormat="1" applyFont="1" applyFill="1" applyBorder="1" applyAlignment="1">
      <alignment horizontal="center" vertical="center"/>
    </xf>
    <xf numFmtId="10" fontId="2" fillId="3" borderId="40" xfId="3" applyNumberFormat="1" applyFont="1" applyFill="1" applyBorder="1" applyAlignment="1">
      <alignment horizontal="center" vertical="center"/>
    </xf>
    <xf numFmtId="10" fontId="2" fillId="3" borderId="41" xfId="3" applyNumberFormat="1" applyFont="1" applyFill="1" applyBorder="1" applyAlignment="1">
      <alignment horizontal="center" vertical="center"/>
    </xf>
    <xf numFmtId="10" fontId="2" fillId="3" borderId="21" xfId="3" applyNumberFormat="1" applyFont="1" applyFill="1" applyBorder="1" applyAlignment="1">
      <alignment horizontal="center" vertical="center"/>
    </xf>
    <xf numFmtId="10" fontId="14" fillId="0" borderId="32" xfId="3" applyNumberFormat="1" applyFont="1" applyBorder="1" applyAlignment="1">
      <alignment horizontal="center" vertical="center"/>
    </xf>
    <xf numFmtId="10" fontId="14" fillId="0" borderId="0" xfId="3" applyNumberFormat="1" applyFont="1" applyBorder="1" applyAlignment="1">
      <alignment horizontal="center" vertical="center"/>
    </xf>
    <xf numFmtId="10" fontId="14" fillId="0" borderId="33" xfId="3" applyNumberFormat="1" applyFont="1" applyBorder="1" applyAlignment="1">
      <alignment horizontal="center" vertical="center"/>
    </xf>
    <xf numFmtId="10" fontId="2" fillId="0" borderId="32" xfId="3" applyNumberFormat="1" applyFont="1" applyBorder="1"/>
    <xf numFmtId="10" fontId="2" fillId="0" borderId="0" xfId="3" applyNumberFormat="1" applyFont="1" applyBorder="1"/>
    <xf numFmtId="0" fontId="2" fillId="0" borderId="42" xfId="1" applyFont="1" applyBorder="1"/>
    <xf numFmtId="0" fontId="4" fillId="0" borderId="43" xfId="1" applyFont="1" applyFill="1" applyBorder="1" applyAlignment="1" applyProtection="1"/>
    <xf numFmtId="44" fontId="2" fillId="6" borderId="44" xfId="2" applyFont="1" applyFill="1" applyBorder="1"/>
    <xf numFmtId="44" fontId="2" fillId="6" borderId="42" xfId="2" applyFont="1" applyFill="1" applyBorder="1"/>
    <xf numFmtId="0" fontId="2" fillId="6" borderId="42" xfId="1" applyFont="1" applyFill="1" applyBorder="1"/>
    <xf numFmtId="0" fontId="4" fillId="6" borderId="43" xfId="1" applyFont="1" applyFill="1" applyBorder="1" applyAlignment="1" applyProtection="1"/>
    <xf numFmtId="0" fontId="2" fillId="8" borderId="31" xfId="1" applyFont="1" applyFill="1" applyBorder="1" applyAlignment="1" applyProtection="1">
      <alignment horizontal="left" indent="3"/>
    </xf>
    <xf numFmtId="44" fontId="2" fillId="8" borderId="44" xfId="2" applyFont="1" applyFill="1" applyBorder="1"/>
    <xf numFmtId="44" fontId="2" fillId="8" borderId="0" xfId="2" applyFont="1" applyFill="1" applyBorder="1"/>
    <xf numFmtId="0" fontId="2" fillId="8" borderId="0" xfId="1" applyFont="1" applyFill="1" applyBorder="1"/>
    <xf numFmtId="0" fontId="2" fillId="8" borderId="33" xfId="1" applyFont="1" applyFill="1" applyBorder="1" applyAlignment="1" applyProtection="1">
      <alignment horizontal="left" indent="3"/>
    </xf>
    <xf numFmtId="44" fontId="2" fillId="8" borderId="32" xfId="2" applyFont="1" applyFill="1" applyBorder="1"/>
    <xf numFmtId="10" fontId="2" fillId="0" borderId="45" xfId="3" applyNumberFormat="1" applyFont="1" applyBorder="1"/>
    <xf numFmtId="0" fontId="15" fillId="0" borderId="46" xfId="1" applyFont="1" applyFill="1" applyBorder="1"/>
    <xf numFmtId="44" fontId="14" fillId="6" borderId="47" xfId="2" applyFont="1" applyFill="1" applyBorder="1"/>
    <xf numFmtId="44" fontId="14" fillId="6" borderId="45" xfId="2" applyFont="1" applyFill="1" applyBorder="1"/>
    <xf numFmtId="0" fontId="14" fillId="6" borderId="45" xfId="1" applyFont="1" applyFill="1" applyBorder="1"/>
    <xf numFmtId="0" fontId="15" fillId="6" borderId="46" xfId="1" applyFont="1" applyFill="1" applyBorder="1"/>
    <xf numFmtId="0" fontId="2" fillId="0" borderId="48" xfId="1" applyFont="1" applyBorder="1" applyAlignment="1">
      <alignment horizontal="center" vertical="center"/>
    </xf>
    <xf numFmtId="0" fontId="2" fillId="0" borderId="49" xfId="1" applyFont="1" applyBorder="1" applyAlignment="1">
      <alignment horizontal="center" vertical="center"/>
    </xf>
    <xf numFmtId="0" fontId="2" fillId="0" borderId="50" xfId="1" applyFont="1" applyBorder="1" applyAlignment="1">
      <alignment horizontal="center" vertical="center"/>
    </xf>
    <xf numFmtId="0" fontId="2" fillId="0" borderId="48" xfId="1" applyFont="1" applyBorder="1"/>
    <xf numFmtId="0" fontId="2" fillId="0" borderId="49" xfId="1" applyFont="1" applyBorder="1"/>
    <xf numFmtId="0" fontId="2" fillId="0" borderId="45" xfId="1" applyFont="1" applyBorder="1"/>
    <xf numFmtId="0" fontId="4" fillId="0" borderId="46" xfId="1" applyFont="1" applyFill="1" applyBorder="1" applyAlignment="1" applyProtection="1"/>
    <xf numFmtId="0" fontId="2" fillId="6" borderId="47" xfId="1" applyFont="1" applyFill="1" applyBorder="1"/>
    <xf numFmtId="0" fontId="2" fillId="6" borderId="45" xfId="1" applyFont="1" applyFill="1" applyBorder="1"/>
    <xf numFmtId="0" fontId="4" fillId="6" borderId="46" xfId="1" applyFont="1" applyFill="1" applyBorder="1" applyAlignment="1" applyProtection="1"/>
    <xf numFmtId="0" fontId="2" fillId="0" borderId="44" xfId="1" applyFont="1" applyBorder="1" applyAlignment="1">
      <alignment horizontal="center" vertical="center"/>
    </xf>
    <xf numFmtId="0" fontId="2" fillId="0" borderId="42" xfId="1" applyFont="1" applyBorder="1" applyAlignment="1">
      <alignment horizontal="center" vertical="center"/>
    </xf>
    <xf numFmtId="0" fontId="2" fillId="0" borderId="43" xfId="1" applyFont="1" applyBorder="1" applyAlignment="1">
      <alignment horizontal="center" vertical="center"/>
    </xf>
    <xf numFmtId="0" fontId="2" fillId="0" borderId="32" xfId="1" applyFont="1" applyBorder="1"/>
    <xf numFmtId="0" fontId="2" fillId="7" borderId="0" xfId="1" applyFont="1" applyFill="1" applyBorder="1"/>
    <xf numFmtId="0" fontId="11" fillId="7" borderId="0" xfId="1" applyFont="1" applyFill="1"/>
    <xf numFmtId="0" fontId="2" fillId="0" borderId="33" xfId="1" applyFont="1" applyBorder="1"/>
    <xf numFmtId="0" fontId="8" fillId="4" borderId="32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/>
    </xf>
    <xf numFmtId="0" fontId="8" fillId="4" borderId="33" xfId="1" applyFont="1" applyFill="1" applyBorder="1" applyAlignment="1">
      <alignment horizontal="center" vertical="center"/>
    </xf>
    <xf numFmtId="14" fontId="8" fillId="4" borderId="51" xfId="1" applyNumberFormat="1" applyFont="1" applyFill="1" applyBorder="1" applyAlignment="1">
      <alignment horizontal="center" vertical="center"/>
    </xf>
    <xf numFmtId="14" fontId="8" fillId="4" borderId="28" xfId="1" applyNumberFormat="1" applyFont="1" applyFill="1" applyBorder="1" applyAlignment="1">
      <alignment horizontal="center" vertical="center"/>
    </xf>
    <xf numFmtId="14" fontId="8" fillId="4" borderId="34" xfId="1" applyNumberFormat="1" applyFont="1" applyFill="1" applyBorder="1" applyAlignment="1">
      <alignment horizontal="center" vertical="center"/>
    </xf>
    <xf numFmtId="10" fontId="2" fillId="3" borderId="52" xfId="3" applyNumberFormat="1" applyFont="1" applyFill="1" applyBorder="1" applyAlignment="1">
      <alignment horizontal="center" vertical="center"/>
    </xf>
    <xf numFmtId="0" fontId="2" fillId="0" borderId="53" xfId="1" applyFont="1" applyBorder="1"/>
    <xf numFmtId="0" fontId="15" fillId="0" borderId="54" xfId="1" applyFont="1" applyFill="1" applyBorder="1"/>
    <xf numFmtId="44" fontId="2" fillId="0" borderId="54" xfId="2" applyFont="1" applyFill="1" applyBorder="1" applyAlignment="1">
      <alignment horizontal="center" vertical="center"/>
    </xf>
    <xf numFmtId="10" fontId="2" fillId="0" borderId="55" xfId="3" applyNumberFormat="1" applyFont="1" applyBorder="1"/>
    <xf numFmtId="0" fontId="15" fillId="0" borderId="11" xfId="1" applyFont="1" applyFill="1" applyBorder="1"/>
    <xf numFmtId="37" fontId="2" fillId="0" borderId="55" xfId="1" applyNumberFormat="1" applyFont="1" applyBorder="1"/>
    <xf numFmtId="0" fontId="14" fillId="8" borderId="30" xfId="1" applyFont="1" applyFill="1" applyBorder="1"/>
    <xf numFmtId="0" fontId="2" fillId="0" borderId="0" xfId="1" applyFont="1" applyFill="1"/>
    <xf numFmtId="0" fontId="11" fillId="0" borderId="0" xfId="1" applyFont="1" applyFill="1"/>
    <xf numFmtId="0" fontId="2" fillId="0" borderId="30" xfId="1" applyFont="1" applyBorder="1"/>
    <xf numFmtId="0" fontId="2" fillId="0" borderId="12" xfId="1" applyFont="1" applyBorder="1"/>
    <xf numFmtId="0" fontId="2" fillId="0" borderId="31" xfId="1" applyFont="1" applyBorder="1"/>
    <xf numFmtId="0" fontId="14" fillId="8" borderId="12" xfId="1" applyFont="1" applyFill="1" applyBorder="1"/>
    <xf numFmtId="0" fontId="14" fillId="8" borderId="31" xfId="1" applyFont="1" applyFill="1" applyBorder="1"/>
    <xf numFmtId="10" fontId="2" fillId="3" borderId="56" xfId="3" applyNumberFormat="1" applyFont="1" applyFill="1" applyBorder="1" applyAlignment="1">
      <alignment horizontal="center" vertical="center"/>
    </xf>
    <xf numFmtId="10" fontId="2" fillId="3" borderId="57" xfId="3" applyNumberFormat="1" applyFont="1" applyFill="1" applyBorder="1" applyAlignment="1">
      <alignment horizontal="center" vertical="center"/>
    </xf>
    <xf numFmtId="10" fontId="2" fillId="3" borderId="58" xfId="3" applyNumberFormat="1" applyFont="1" applyFill="1" applyBorder="1" applyAlignment="1">
      <alignment horizontal="center" vertical="center"/>
    </xf>
    <xf numFmtId="166" fontId="4" fillId="6" borderId="39" xfId="2" applyNumberFormat="1" applyFont="1" applyFill="1" applyBorder="1"/>
    <xf numFmtId="166" fontId="4" fillId="6" borderId="26" xfId="2" applyNumberFormat="1" applyFont="1" applyFill="1" applyBorder="1"/>
    <xf numFmtId="38" fontId="2" fillId="0" borderId="32" xfId="1" applyNumberFormat="1" applyFont="1" applyBorder="1"/>
    <xf numFmtId="38" fontId="2" fillId="0" borderId="0" xfId="1" applyNumberFormat="1" applyFont="1" applyBorder="1"/>
    <xf numFmtId="166" fontId="2" fillId="6" borderId="32" xfId="2" applyNumberFormat="1" applyFont="1" applyFill="1" applyBorder="1"/>
    <xf numFmtId="166" fontId="2" fillId="6" borderId="0" xfId="2" applyNumberFormat="1" applyFont="1" applyFill="1" applyBorder="1"/>
    <xf numFmtId="0" fontId="2" fillId="8" borderId="33" xfId="1" applyFont="1" applyFill="1" applyBorder="1" applyAlignment="1" applyProtection="1"/>
    <xf numFmtId="38" fontId="2" fillId="0" borderId="48" xfId="1" applyNumberFormat="1" applyFont="1" applyBorder="1"/>
    <xf numFmtId="38" fontId="2" fillId="0" borderId="49" xfId="1" applyNumberFormat="1" applyFont="1" applyBorder="1"/>
    <xf numFmtId="0" fontId="4" fillId="0" borderId="46" xfId="1" applyFont="1" applyBorder="1"/>
    <xf numFmtId="38" fontId="2" fillId="6" borderId="47" xfId="1" applyNumberFormat="1" applyFont="1" applyFill="1" applyBorder="1"/>
    <xf numFmtId="38" fontId="2" fillId="6" borderId="45" xfId="1" applyNumberFormat="1" applyFont="1" applyFill="1" applyBorder="1"/>
    <xf numFmtId="0" fontId="4" fillId="6" borderId="46" xfId="1" applyFont="1" applyFill="1" applyBorder="1"/>
    <xf numFmtId="38" fontId="2" fillId="6" borderId="32" xfId="1" applyNumberFormat="1" applyFont="1" applyFill="1" applyBorder="1"/>
    <xf numFmtId="38" fontId="2" fillId="6" borderId="0" xfId="1" applyNumberFormat="1" applyFont="1" applyFill="1" applyBorder="1"/>
    <xf numFmtId="38" fontId="14" fillId="8" borderId="32" xfId="1" applyNumberFormat="1" applyFont="1" applyFill="1" applyBorder="1"/>
    <xf numFmtId="38" fontId="14" fillId="8" borderId="0" xfId="1" applyNumberFormat="1" applyFont="1" applyFill="1" applyBorder="1"/>
    <xf numFmtId="0" fontId="14" fillId="8" borderId="0" xfId="1" applyFont="1" applyFill="1" applyBorder="1"/>
    <xf numFmtId="0" fontId="14" fillId="8" borderId="33" xfId="1" applyFont="1" applyFill="1" applyBorder="1"/>
    <xf numFmtId="10" fontId="2" fillId="0" borderId="42" xfId="3" applyNumberFormat="1" applyFont="1" applyBorder="1"/>
    <xf numFmtId="0" fontId="2" fillId="0" borderId="43" xfId="1" applyFont="1" applyFill="1" applyBorder="1" applyAlignment="1" applyProtection="1"/>
    <xf numFmtId="166" fontId="2" fillId="6" borderId="44" xfId="2" applyNumberFormat="1" applyFont="1" applyFill="1" applyBorder="1"/>
    <xf numFmtId="166" fontId="2" fillId="6" borderId="42" xfId="2" applyNumberFormat="1" applyFont="1" applyFill="1" applyBorder="1"/>
    <xf numFmtId="0" fontId="2" fillId="6" borderId="43" xfId="1" applyFont="1" applyFill="1" applyBorder="1" applyAlignment="1" applyProtection="1"/>
    <xf numFmtId="0" fontId="16" fillId="6" borderId="33" xfId="1" applyFont="1" applyFill="1" applyBorder="1" applyAlignment="1" applyProtection="1"/>
    <xf numFmtId="38" fontId="2" fillId="0" borderId="0" xfId="1" applyNumberFormat="1" applyFont="1"/>
    <xf numFmtId="166" fontId="2" fillId="8" borderId="32" xfId="2" applyNumberFormat="1" applyFont="1" applyFill="1" applyBorder="1"/>
    <xf numFmtId="166" fontId="2" fillId="8" borderId="0" xfId="2" applyNumberFormat="1" applyFont="1" applyFill="1" applyBorder="1"/>
    <xf numFmtId="38" fontId="2" fillId="8" borderId="0" xfId="1" applyNumberFormat="1" applyFont="1" applyFill="1" applyBorder="1"/>
    <xf numFmtId="166" fontId="4" fillId="6" borderId="32" xfId="2" applyNumberFormat="1" applyFont="1" applyFill="1" applyBorder="1"/>
    <xf numFmtId="166" fontId="4" fillId="6" borderId="0" xfId="2" applyNumberFormat="1" applyFont="1" applyFill="1" applyBorder="1"/>
    <xf numFmtId="38" fontId="4" fillId="6" borderId="0" xfId="1" applyNumberFormat="1" applyFont="1" applyFill="1" applyBorder="1"/>
    <xf numFmtId="38" fontId="2" fillId="6" borderId="42" xfId="1" applyNumberFormat="1" applyFont="1" applyFill="1" applyBorder="1"/>
    <xf numFmtId="38" fontId="2" fillId="0" borderId="48" xfId="1" applyNumberFormat="1" applyFont="1" applyBorder="1" applyAlignment="1">
      <alignment horizontal="center" vertical="center"/>
    </xf>
    <xf numFmtId="38" fontId="2" fillId="0" borderId="49" xfId="1" applyNumberFormat="1" applyFont="1" applyBorder="1" applyAlignment="1">
      <alignment horizontal="center" vertical="center"/>
    </xf>
    <xf numFmtId="38" fontId="2" fillId="0" borderId="50" xfId="1" applyNumberFormat="1" applyFont="1" applyBorder="1" applyAlignment="1">
      <alignment horizontal="center" vertical="center"/>
    </xf>
    <xf numFmtId="38" fontId="2" fillId="0" borderId="45" xfId="1" applyNumberFormat="1" applyFont="1" applyBorder="1"/>
    <xf numFmtId="166" fontId="2" fillId="6" borderId="47" xfId="2" applyNumberFormat="1" applyFont="1" applyFill="1" applyBorder="1"/>
    <xf numFmtId="166" fontId="2" fillId="6" borderId="45" xfId="2" applyNumberFormat="1" applyFont="1" applyFill="1" applyBorder="1"/>
    <xf numFmtId="10" fontId="14" fillId="0" borderId="44" xfId="3" applyNumberFormat="1" applyFont="1" applyBorder="1" applyAlignment="1">
      <alignment horizontal="center" vertical="center"/>
    </xf>
    <xf numFmtId="10" fontId="14" fillId="0" borderId="42" xfId="3" applyNumberFormat="1" applyFont="1" applyBorder="1" applyAlignment="1">
      <alignment horizontal="center" vertical="center"/>
    </xf>
    <xf numFmtId="10" fontId="14" fillId="0" borderId="43" xfId="3" applyNumberFormat="1" applyFont="1" applyBorder="1" applyAlignment="1">
      <alignment horizontal="center" vertical="center"/>
    </xf>
    <xf numFmtId="166" fontId="14" fillId="8" borderId="32" xfId="2" applyNumberFormat="1" applyFont="1" applyFill="1" applyBorder="1"/>
    <xf numFmtId="166" fontId="14" fillId="8" borderId="0" xfId="2" applyNumberFormat="1" applyFont="1" applyFill="1" applyBorder="1"/>
    <xf numFmtId="38" fontId="4" fillId="6" borderId="26" xfId="1" applyNumberFormat="1" applyFont="1" applyFill="1" applyBorder="1"/>
    <xf numFmtId="0" fontId="4" fillId="0" borderId="32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42" xfId="1" applyFont="1" applyFill="1" applyBorder="1"/>
    <xf numFmtId="0" fontId="4" fillId="0" borderId="43" xfId="1" applyFont="1" applyFill="1" applyBorder="1"/>
    <xf numFmtId="38" fontId="2" fillId="0" borderId="0" xfId="1" applyNumberFormat="1" applyFont="1" applyFill="1"/>
    <xf numFmtId="0" fontId="4" fillId="6" borderId="44" xfId="1" applyFont="1" applyFill="1" applyBorder="1" applyAlignment="1">
      <alignment horizontal="center"/>
    </xf>
    <xf numFmtId="0" fontId="4" fillId="6" borderId="42" xfId="1" applyFont="1" applyFill="1" applyBorder="1" applyAlignment="1">
      <alignment horizontal="center"/>
    </xf>
    <xf numFmtId="0" fontId="4" fillId="6" borderId="42" xfId="1" applyFont="1" applyFill="1" applyBorder="1"/>
    <xf numFmtId="0" fontId="4" fillId="6" borderId="43" xfId="1" applyFont="1" applyFill="1" applyBorder="1"/>
    <xf numFmtId="0" fontId="5" fillId="0" borderId="59" xfId="1" applyFont="1" applyBorder="1"/>
    <xf numFmtId="0" fontId="6" fillId="0" borderId="59" xfId="1" applyFont="1" applyBorder="1"/>
    <xf numFmtId="0" fontId="2" fillId="0" borderId="59" xfId="1" applyFont="1" applyBorder="1"/>
    <xf numFmtId="38" fontId="2" fillId="0" borderId="59" xfId="1" applyNumberFormat="1" applyFont="1" applyBorder="1"/>
    <xf numFmtId="10" fontId="14" fillId="0" borderId="60" xfId="3" applyNumberFormat="1" applyFont="1" applyBorder="1" applyAlignment="1">
      <alignment horizontal="center" vertical="center"/>
    </xf>
    <xf numFmtId="10" fontId="14" fillId="0" borderId="59" xfId="3" applyNumberFormat="1" applyFont="1" applyBorder="1" applyAlignment="1">
      <alignment horizontal="center" vertical="center"/>
    </xf>
    <xf numFmtId="10" fontId="14" fillId="0" borderId="61" xfId="3" applyNumberFormat="1" applyFont="1" applyBorder="1" applyAlignment="1">
      <alignment horizontal="center" vertical="center"/>
    </xf>
    <xf numFmtId="0" fontId="2" fillId="0" borderId="60" xfId="1" applyFont="1" applyBorder="1"/>
    <xf numFmtId="0" fontId="2" fillId="7" borderId="59" xfId="1" applyFont="1" applyFill="1" applyBorder="1"/>
    <xf numFmtId="0" fontId="11" fillId="7" borderId="59" xfId="1" applyFont="1" applyFill="1" applyBorder="1"/>
    <xf numFmtId="0" fontId="2" fillId="0" borderId="61" xfId="1" applyFont="1" applyBorder="1"/>
    <xf numFmtId="38" fontId="2" fillId="0" borderId="59" xfId="1" applyNumberFormat="1" applyFont="1" applyFill="1" applyBorder="1"/>
    <xf numFmtId="0" fontId="2" fillId="0" borderId="58" xfId="1" applyFont="1" applyBorder="1"/>
    <xf numFmtId="38" fontId="2" fillId="0" borderId="0" xfId="1" applyNumberFormat="1" applyFont="1" applyAlignment="1">
      <alignment horizontal="center" vertical="center"/>
    </xf>
    <xf numFmtId="38" fontId="2" fillId="0" borderId="30" xfId="1" applyNumberFormat="1" applyFont="1" applyBorder="1" applyAlignment="1">
      <alignment horizontal="center" vertical="center"/>
    </xf>
    <xf numFmtId="38" fontId="2" fillId="0" borderId="12" xfId="1" applyNumberFormat="1" applyFont="1" applyBorder="1" applyAlignment="1">
      <alignment horizontal="center" vertical="center"/>
    </xf>
    <xf numFmtId="38" fontId="2" fillId="0" borderId="31" xfId="1" applyNumberFormat="1" applyFont="1" applyBorder="1" applyAlignment="1">
      <alignment horizontal="center" vertical="center"/>
    </xf>
    <xf numFmtId="38" fontId="2" fillId="0" borderId="30" xfId="1" applyNumberFormat="1" applyFont="1" applyBorder="1"/>
    <xf numFmtId="38" fontId="2" fillId="0" borderId="12" xfId="1" applyNumberFormat="1" applyFont="1" applyBorder="1"/>
    <xf numFmtId="38" fontId="14" fillId="8" borderId="30" xfId="1" applyNumberFormat="1" applyFont="1" applyFill="1" applyBorder="1"/>
    <xf numFmtId="38" fontId="14" fillId="8" borderId="12" xfId="1" applyNumberFormat="1" applyFont="1" applyFill="1" applyBorder="1"/>
    <xf numFmtId="0" fontId="4" fillId="0" borderId="38" xfId="1" applyFont="1" applyBorder="1"/>
    <xf numFmtId="0" fontId="4" fillId="6" borderId="38" xfId="1" applyFont="1" applyFill="1" applyBorder="1"/>
    <xf numFmtId="0" fontId="4" fillId="0" borderId="33" xfId="1" applyFont="1" applyBorder="1"/>
    <xf numFmtId="0" fontId="4" fillId="6" borderId="33" xfId="1" applyFont="1" applyFill="1" applyBorder="1"/>
    <xf numFmtId="0" fontId="2" fillId="0" borderId="43" xfId="1" applyFont="1" applyBorder="1"/>
    <xf numFmtId="0" fontId="2" fillId="6" borderId="43" xfId="1" applyFont="1" applyFill="1" applyBorder="1"/>
    <xf numFmtId="0" fontId="17" fillId="0" borderId="33" xfId="1" applyFont="1" applyBorder="1"/>
    <xf numFmtId="0" fontId="17" fillId="6" borderId="33" xfId="1" applyFont="1" applyFill="1" applyBorder="1"/>
    <xf numFmtId="38" fontId="18" fillId="0" borderId="0" xfId="1" applyNumberFormat="1" applyFont="1"/>
    <xf numFmtId="0" fontId="19" fillId="0" borderId="62" xfId="1" applyFont="1" applyBorder="1"/>
    <xf numFmtId="0" fontId="19" fillId="6" borderId="62" xfId="1" applyFont="1" applyFill="1" applyBorder="1"/>
    <xf numFmtId="38" fontId="2" fillId="0" borderId="42" xfId="1" applyNumberFormat="1" applyFont="1" applyBorder="1"/>
    <xf numFmtId="9" fontId="2" fillId="3" borderId="40" xfId="3" applyFont="1" applyFill="1" applyBorder="1" applyAlignment="1">
      <alignment horizontal="center" vertical="center"/>
    </xf>
    <xf numFmtId="9" fontId="2" fillId="3" borderId="41" xfId="3" applyFont="1" applyFill="1" applyBorder="1" applyAlignment="1">
      <alignment horizontal="center" vertical="center"/>
    </xf>
    <xf numFmtId="9" fontId="2" fillId="3" borderId="21" xfId="3" applyFont="1" applyFill="1" applyBorder="1" applyAlignment="1">
      <alignment horizontal="center" vertical="center"/>
    </xf>
    <xf numFmtId="0" fontId="19" fillId="0" borderId="33" xfId="1" applyFont="1" applyBorder="1"/>
    <xf numFmtId="0" fontId="19" fillId="6" borderId="33" xfId="1" applyFont="1" applyFill="1" applyBorder="1"/>
    <xf numFmtId="0" fontId="9" fillId="4" borderId="32" xfId="1" applyFont="1" applyFill="1" applyBorder="1" applyAlignment="1">
      <alignment horizontal="center"/>
    </xf>
    <xf numFmtId="0" fontId="9" fillId="4" borderId="0" xfId="1" applyFont="1" applyFill="1" applyBorder="1" applyAlignment="1">
      <alignment horizontal="center"/>
    </xf>
    <xf numFmtId="165" fontId="2" fillId="0" borderId="63" xfId="1" applyNumberFormat="1" applyFont="1" applyFill="1" applyBorder="1" applyAlignment="1">
      <alignment horizontal="center" vertical="center"/>
    </xf>
    <xf numFmtId="165" fontId="2" fillId="0" borderId="64" xfId="1" applyNumberFormat="1" applyFont="1" applyFill="1" applyBorder="1" applyAlignment="1">
      <alignment horizontal="center" vertical="center"/>
    </xf>
    <xf numFmtId="0" fontId="9" fillId="7" borderId="64" xfId="1" applyFont="1" applyFill="1" applyBorder="1"/>
    <xf numFmtId="10" fontId="2" fillId="3" borderId="54" xfId="3" applyNumberFormat="1" applyFont="1" applyFill="1" applyBorder="1" applyAlignment="1">
      <alignment horizontal="center" vertical="center"/>
    </xf>
    <xf numFmtId="10" fontId="2" fillId="0" borderId="65" xfId="3" applyNumberFormat="1" applyFont="1" applyFill="1" applyBorder="1" applyAlignment="1">
      <alignment horizontal="center" vertical="center"/>
    </xf>
    <xf numFmtId="10" fontId="2" fillId="0" borderId="29" xfId="3" applyNumberFormat="1" applyFont="1" applyFill="1" applyBorder="1" applyAlignment="1">
      <alignment horizontal="center" vertical="center"/>
    </xf>
    <xf numFmtId="10" fontId="2" fillId="0" borderId="34" xfId="3" applyNumberFormat="1" applyFont="1" applyFill="1" applyBorder="1" applyAlignment="1">
      <alignment horizontal="center" vertical="center"/>
    </xf>
    <xf numFmtId="0" fontId="8" fillId="4" borderId="67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9" fillId="4" borderId="14" xfId="1" applyFont="1" applyFill="1" applyBorder="1" applyAlignment="1">
      <alignment horizontal="center"/>
    </xf>
    <xf numFmtId="37" fontId="17" fillId="0" borderId="0" xfId="1" applyNumberFormat="1" applyFont="1" applyFill="1" applyBorder="1"/>
    <xf numFmtId="0" fontId="17" fillId="0" borderId="0" xfId="1" applyFont="1" applyFill="1" applyBorder="1"/>
    <xf numFmtId="37" fontId="17" fillId="0" borderId="0" xfId="1" applyNumberFormat="1" applyFont="1" applyFill="1" applyBorder="1" applyAlignment="1">
      <alignment horizontal="left"/>
    </xf>
    <xf numFmtId="0" fontId="8" fillId="4" borderId="69" xfId="1" applyFont="1" applyFill="1" applyBorder="1" applyAlignment="1">
      <alignment horizontal="center"/>
    </xf>
    <xf numFmtId="0" fontId="8" fillId="4" borderId="19" xfId="1" applyFont="1" applyFill="1" applyBorder="1" applyAlignment="1">
      <alignment horizontal="center"/>
    </xf>
    <xf numFmtId="0" fontId="8" fillId="4" borderId="20" xfId="1" applyFont="1" applyFill="1" applyBorder="1" applyAlignment="1">
      <alignment horizontal="center"/>
    </xf>
    <xf numFmtId="165" fontId="9" fillId="4" borderId="19" xfId="1" applyNumberFormat="1" applyFont="1" applyFill="1" applyBorder="1" applyAlignment="1">
      <alignment horizontal="center"/>
    </xf>
    <xf numFmtId="0" fontId="10" fillId="4" borderId="19" xfId="1" applyFont="1" applyFill="1" applyBorder="1"/>
    <xf numFmtId="37" fontId="17" fillId="9" borderId="70" xfId="1" applyNumberFormat="1" applyFont="1" applyFill="1" applyBorder="1" applyAlignment="1">
      <alignment horizontal="center" vertical="center"/>
    </xf>
    <xf numFmtId="0" fontId="17" fillId="9" borderId="71" xfId="1" applyFont="1" applyFill="1" applyBorder="1"/>
    <xf numFmtId="37" fontId="17" fillId="9" borderId="72" xfId="1" applyNumberFormat="1" applyFont="1" applyFill="1" applyBorder="1" applyAlignment="1">
      <alignment horizontal="left"/>
    </xf>
    <xf numFmtId="44" fontId="20" fillId="3" borderId="73" xfId="2" applyFont="1" applyFill="1" applyBorder="1"/>
    <xf numFmtId="3" fontId="20" fillId="0" borderId="64" xfId="1" applyNumberFormat="1" applyFont="1" applyBorder="1"/>
    <xf numFmtId="44" fontId="20" fillId="3" borderId="74" xfId="2" applyFont="1" applyFill="1" applyBorder="1"/>
    <xf numFmtId="167" fontId="6" fillId="0" borderId="30" xfId="3" applyNumberFormat="1" applyFont="1" applyBorder="1"/>
    <xf numFmtId="0" fontId="6" fillId="0" borderId="75" xfId="1" applyFont="1" applyBorder="1"/>
    <xf numFmtId="0" fontId="6" fillId="0" borderId="51" xfId="1" applyFont="1" applyBorder="1" applyAlignment="1">
      <alignment horizontal="center" vertical="center"/>
    </xf>
    <xf numFmtId="167" fontId="6" fillId="0" borderId="51" xfId="3" applyNumberFormat="1" applyFont="1" applyBorder="1"/>
    <xf numFmtId="0" fontId="6" fillId="0" borderId="76" xfId="1" applyFont="1" applyBorder="1"/>
    <xf numFmtId="0" fontId="6" fillId="0" borderId="77" xfId="1" applyFont="1" applyBorder="1" applyAlignment="1">
      <alignment wrapText="1"/>
    </xf>
    <xf numFmtId="0" fontId="6" fillId="0" borderId="64" xfId="1" applyFont="1" applyBorder="1" applyAlignment="1">
      <alignment wrapText="1"/>
    </xf>
    <xf numFmtId="0" fontId="5" fillId="0" borderId="75" xfId="1" applyFont="1" applyBorder="1"/>
    <xf numFmtId="10" fontId="2" fillId="3" borderId="75" xfId="3" applyNumberFormat="1" applyFont="1" applyFill="1" applyBorder="1" applyAlignment="1">
      <alignment horizontal="center" vertical="center"/>
    </xf>
    <xf numFmtId="10" fontId="2" fillId="3" borderId="78" xfId="3" applyNumberFormat="1" applyFont="1" applyFill="1" applyBorder="1" applyAlignment="1">
      <alignment horizontal="center" vertical="center"/>
    </xf>
    <xf numFmtId="0" fontId="5" fillId="0" borderId="79" xfId="1" applyFont="1" applyBorder="1"/>
    <xf numFmtId="10" fontId="2" fillId="3" borderId="76" xfId="3" applyNumberFormat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/>
    </xf>
    <xf numFmtId="14" fontId="9" fillId="4" borderId="14" xfId="1" applyNumberFormat="1" applyFont="1" applyFill="1" applyBorder="1" applyAlignment="1">
      <alignment horizontal="center"/>
    </xf>
    <xf numFmtId="14" fontId="9" fillId="4" borderId="16" xfId="1" applyNumberFormat="1" applyFont="1" applyFill="1" applyBorder="1" applyAlignment="1">
      <alignment horizontal="center"/>
    </xf>
    <xf numFmtId="14" fontId="8" fillId="4" borderId="28" xfId="1" applyNumberFormat="1" applyFont="1" applyFill="1" applyBorder="1" applyAlignment="1">
      <alignment horizontal="center"/>
    </xf>
    <xf numFmtId="14" fontId="8" fillId="4" borderId="34" xfId="1" applyNumberFormat="1" applyFont="1" applyFill="1" applyBorder="1" applyAlignment="1">
      <alignment horizontal="center"/>
    </xf>
    <xf numFmtId="0" fontId="9" fillId="4" borderId="29" xfId="1" applyNumberFormat="1" applyFont="1" applyFill="1" applyBorder="1" applyAlignment="1">
      <alignment horizontal="center"/>
    </xf>
    <xf numFmtId="0" fontId="9" fillId="4" borderId="63" xfId="1" applyFont="1" applyFill="1" applyBorder="1"/>
    <xf numFmtId="0" fontId="2" fillId="0" borderId="76" xfId="1" applyFont="1" applyBorder="1"/>
    <xf numFmtId="40" fontId="2" fillId="3" borderId="74" xfId="1" applyNumberFormat="1" applyFont="1" applyFill="1" applyBorder="1" applyAlignment="1">
      <alignment horizontal="center" vertical="center"/>
    </xf>
    <xf numFmtId="40" fontId="2" fillId="3" borderId="78" xfId="1" applyNumberFormat="1" applyFont="1" applyFill="1" applyBorder="1" applyAlignment="1">
      <alignment horizontal="center" vertical="center"/>
    </xf>
    <xf numFmtId="39" fontId="2" fillId="0" borderId="12" xfId="1" applyNumberFormat="1" applyFont="1" applyBorder="1"/>
    <xf numFmtId="40" fontId="2" fillId="3" borderId="80" xfId="1" applyNumberFormat="1" applyFont="1" applyFill="1" applyBorder="1" applyAlignment="1">
      <alignment horizontal="center" vertical="center"/>
    </xf>
    <xf numFmtId="40" fontId="2" fillId="3" borderId="9" xfId="1" applyNumberFormat="1" applyFont="1" applyFill="1" applyBorder="1" applyAlignment="1">
      <alignment horizontal="center" vertical="center"/>
    </xf>
    <xf numFmtId="39" fontId="2" fillId="0" borderId="0" xfId="1" applyNumberFormat="1" applyFont="1" applyBorder="1"/>
    <xf numFmtId="44" fontId="20" fillId="3" borderId="81" xfId="2" applyFont="1" applyFill="1" applyBorder="1"/>
    <xf numFmtId="37" fontId="20" fillId="0" borderId="82" xfId="1" applyNumberFormat="1" applyFont="1" applyBorder="1"/>
    <xf numFmtId="10" fontId="2" fillId="3" borderId="80" xfId="3" applyNumberFormat="1" applyFont="1" applyFill="1" applyBorder="1" applyAlignment="1">
      <alignment horizontal="center" vertical="center"/>
    </xf>
    <xf numFmtId="0" fontId="5" fillId="0" borderId="76" xfId="1" applyFont="1" applyBorder="1"/>
    <xf numFmtId="44" fontId="4" fillId="10" borderId="83" xfId="3" applyNumberFormat="1" applyFont="1" applyFill="1" applyBorder="1" applyAlignment="1">
      <alignment horizontal="center" vertical="center"/>
    </xf>
    <xf numFmtId="44" fontId="20" fillId="3" borderId="14" xfId="2" applyFont="1" applyFill="1" applyBorder="1" applyAlignment="1">
      <alignment horizontal="center" vertical="center"/>
    </xf>
    <xf numFmtId="44" fontId="20" fillId="3" borderId="84" xfId="2" applyFont="1" applyFill="1" applyBorder="1" applyAlignment="1">
      <alignment horizontal="center" vertical="center"/>
    </xf>
    <xf numFmtId="44" fontId="20" fillId="3" borderId="15" xfId="2" applyFont="1" applyFill="1" applyBorder="1" applyAlignment="1">
      <alignment horizontal="center" vertical="center"/>
    </xf>
    <xf numFmtId="44" fontId="20" fillId="3" borderId="78" xfId="2" applyFont="1" applyFill="1" applyBorder="1"/>
    <xf numFmtId="0" fontId="10" fillId="4" borderId="0" xfId="1" applyFont="1" applyFill="1" applyBorder="1" applyAlignment="1">
      <alignment horizontal="center"/>
    </xf>
    <xf numFmtId="0" fontId="14" fillId="0" borderId="0" xfId="1" applyFont="1" applyBorder="1"/>
    <xf numFmtId="0" fontId="14" fillId="0" borderId="33" xfId="1" applyFont="1" applyBorder="1"/>
    <xf numFmtId="10" fontId="2" fillId="0" borderId="12" xfId="3" applyNumberFormat="1" applyFont="1" applyBorder="1"/>
    <xf numFmtId="39" fontId="2" fillId="0" borderId="0" xfId="3" applyNumberFormat="1" applyFont="1" applyBorder="1"/>
    <xf numFmtId="40" fontId="2" fillId="3" borderId="80" xfId="3" applyNumberFormat="1" applyFont="1" applyFill="1" applyBorder="1" applyAlignment="1">
      <alignment horizontal="center" vertical="center"/>
    </xf>
    <xf numFmtId="40" fontId="2" fillId="3" borderId="9" xfId="3" applyNumberFormat="1" applyFont="1" applyFill="1" applyBorder="1" applyAlignment="1">
      <alignment horizontal="center" vertical="center"/>
    </xf>
    <xf numFmtId="0" fontId="16" fillId="0" borderId="33" xfId="1" applyFont="1" applyBorder="1"/>
    <xf numFmtId="10" fontId="2" fillId="3" borderId="11" xfId="3" applyNumberFormat="1" applyFont="1" applyFill="1" applyBorder="1" applyAlignment="1">
      <alignment horizontal="center" vertical="center"/>
    </xf>
    <xf numFmtId="10" fontId="14" fillId="3" borderId="0" xfId="3" applyNumberFormat="1" applyFont="1" applyFill="1" applyBorder="1" applyAlignment="1">
      <alignment horizontal="center" vertical="center"/>
    </xf>
    <xf numFmtId="10" fontId="14" fillId="3" borderId="85" xfId="3" applyNumberFormat="1" applyFont="1" applyFill="1" applyBorder="1" applyAlignment="1">
      <alignment horizontal="center" vertical="center"/>
    </xf>
    <xf numFmtId="10" fontId="14" fillId="3" borderId="33" xfId="3" applyNumberFormat="1" applyFont="1" applyFill="1" applyBorder="1" applyAlignment="1">
      <alignment horizontal="center" vertical="center"/>
    </xf>
    <xf numFmtId="40" fontId="5" fillId="0" borderId="0" xfId="1" applyNumberFormat="1" applyFont="1"/>
    <xf numFmtId="0" fontId="14" fillId="0" borderId="30" xfId="1" applyFont="1" applyBorder="1"/>
    <xf numFmtId="0" fontId="14" fillId="0" borderId="12" xfId="1" applyFont="1" applyBorder="1"/>
    <xf numFmtId="0" fontId="14" fillId="0" borderId="31" xfId="1" applyFont="1" applyBorder="1"/>
    <xf numFmtId="40" fontId="2" fillId="3" borderId="86" xfId="3" applyNumberFormat="1" applyFont="1" applyFill="1" applyBorder="1" applyAlignment="1">
      <alignment horizontal="center" vertical="center"/>
    </xf>
    <xf numFmtId="40" fontId="2" fillId="3" borderId="54" xfId="3" applyNumberFormat="1" applyFont="1" applyFill="1" applyBorder="1" applyAlignment="1">
      <alignment horizontal="center" vertical="center"/>
    </xf>
    <xf numFmtId="0" fontId="8" fillId="4" borderId="12" xfId="1" applyFont="1" applyFill="1" applyBorder="1" applyAlignment="1">
      <alignment horizontal="center"/>
    </xf>
    <xf numFmtId="14" fontId="9" fillId="4" borderId="12" xfId="1" applyNumberFormat="1" applyFont="1" applyFill="1" applyBorder="1" applyAlignment="1">
      <alignment horizontal="center"/>
    </xf>
    <xf numFmtId="14" fontId="9" fillId="4" borderId="31" xfId="1" applyNumberFormat="1" applyFont="1" applyFill="1" applyBorder="1" applyAlignment="1">
      <alignment horizontal="center"/>
    </xf>
    <xf numFmtId="0" fontId="10" fillId="4" borderId="31" xfId="1" applyFont="1" applyFill="1" applyBorder="1"/>
    <xf numFmtId="0" fontId="9" fillId="4" borderId="34" xfId="1" applyNumberFormat="1" applyFont="1" applyFill="1" applyBorder="1" applyAlignment="1">
      <alignment horizontal="center"/>
    </xf>
    <xf numFmtId="14" fontId="8" fillId="4" borderId="51" xfId="1" applyNumberFormat="1" applyFont="1" applyFill="1" applyBorder="1" applyAlignment="1">
      <alignment horizontal="center"/>
    </xf>
    <xf numFmtId="14" fontId="8" fillId="4" borderId="76" xfId="1" applyNumberFormat="1" applyFont="1" applyFill="1" applyBorder="1" applyAlignment="1">
      <alignment horizontal="center"/>
    </xf>
    <xf numFmtId="0" fontId="22" fillId="0" borderId="79" xfId="1" applyFont="1" applyBorder="1" applyAlignment="1">
      <alignment horizontal="center"/>
    </xf>
    <xf numFmtId="0" fontId="11" fillId="0" borderId="76" xfId="1" applyFont="1" applyFill="1" applyBorder="1"/>
    <xf numFmtId="0" fontId="22" fillId="0" borderId="76" xfId="1" applyFont="1" applyBorder="1" applyAlignment="1">
      <alignment horizontal="center"/>
    </xf>
    <xf numFmtId="37" fontId="17" fillId="9" borderId="77" xfId="1" applyNumberFormat="1" applyFont="1" applyFill="1" applyBorder="1" applyAlignment="1">
      <alignment horizontal="center" vertical="center"/>
    </xf>
    <xf numFmtId="0" fontId="17" fillId="9" borderId="87" xfId="1" applyFont="1" applyFill="1" applyBorder="1"/>
    <xf numFmtId="37" fontId="17" fillId="9" borderId="82" xfId="1" applyNumberFormat="1" applyFont="1" applyFill="1" applyBorder="1"/>
    <xf numFmtId="0" fontId="17" fillId="9" borderId="64" xfId="1" applyFont="1" applyFill="1" applyBorder="1"/>
    <xf numFmtId="0" fontId="1" fillId="0" borderId="0" xfId="1"/>
    <xf numFmtId="2" fontId="2" fillId="3" borderId="9" xfId="3" applyNumberFormat="1" applyFont="1" applyFill="1" applyBorder="1" applyAlignment="1">
      <alignment horizontal="center" vertical="center"/>
    </xf>
    <xf numFmtId="44" fontId="4" fillId="10" borderId="88" xfId="3" applyNumberFormat="1" applyFont="1" applyFill="1" applyBorder="1" applyAlignment="1">
      <alignment horizontal="center" vertical="center"/>
    </xf>
    <xf numFmtId="44" fontId="20" fillId="3" borderId="89" xfId="2" applyFont="1" applyFill="1" applyBorder="1" applyAlignment="1">
      <alignment horizontal="center" vertical="center"/>
    </xf>
    <xf numFmtId="44" fontId="4" fillId="10" borderId="90" xfId="3" applyNumberFormat="1" applyFont="1" applyFill="1" applyBorder="1" applyAlignment="1">
      <alignment horizontal="center" vertical="center"/>
    </xf>
    <xf numFmtId="0" fontId="9" fillId="4" borderId="31" xfId="1" applyFont="1" applyFill="1" applyBorder="1"/>
    <xf numFmtId="9" fontId="2" fillId="3" borderId="78" xfId="3" applyFont="1" applyFill="1" applyBorder="1" applyAlignment="1">
      <alignment horizontal="center" vertical="center"/>
    </xf>
    <xf numFmtId="44" fontId="20" fillId="3" borderId="91" xfId="2" applyFont="1" applyFill="1" applyBorder="1" applyAlignment="1">
      <alignment horizontal="center" vertical="center"/>
    </xf>
    <xf numFmtId="0" fontId="8" fillId="4" borderId="68" xfId="1" applyFont="1" applyFill="1" applyBorder="1" applyAlignment="1">
      <alignment horizontal="center" vertical="center" wrapText="1"/>
    </xf>
    <xf numFmtId="0" fontId="8" fillId="4" borderId="66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left"/>
    </xf>
    <xf numFmtId="14" fontId="8" fillId="4" borderId="79" xfId="1" applyNumberFormat="1" applyFont="1" applyFill="1" applyBorder="1" applyAlignment="1">
      <alignment horizontal="center" vertical="center" wrapText="1"/>
    </xf>
    <xf numFmtId="14" fontId="8" fillId="4" borderId="75" xfId="1" applyNumberFormat="1" applyFont="1" applyFill="1" applyBorder="1" applyAlignment="1">
      <alignment horizontal="center" vertical="center" wrapText="1"/>
    </xf>
    <xf numFmtId="14" fontId="8" fillId="4" borderId="76" xfId="1" applyNumberFormat="1" applyFont="1" applyFill="1" applyBorder="1" applyAlignment="1">
      <alignment horizontal="center" vertical="center" wrapText="1"/>
    </xf>
    <xf numFmtId="0" fontId="9" fillId="4" borderId="32" xfId="1" applyFont="1" applyFill="1" applyBorder="1" applyAlignment="1">
      <alignment horizontal="center" vertical="center" wrapText="1"/>
    </xf>
    <xf numFmtId="0" fontId="9" fillId="4" borderId="76" xfId="1" applyFont="1" applyFill="1" applyBorder="1" applyAlignment="1">
      <alignment horizontal="center" vertical="center" wrapText="1"/>
    </xf>
    <xf numFmtId="0" fontId="9" fillId="4" borderId="75" xfId="1" applyFont="1" applyFill="1" applyBorder="1" applyAlignment="1">
      <alignment horizontal="center" vertical="center" wrapText="1"/>
    </xf>
    <xf numFmtId="0" fontId="9" fillId="4" borderId="51" xfId="1" applyFont="1" applyFill="1" applyBorder="1" applyAlignment="1">
      <alignment horizontal="center" vertical="center" wrapText="1"/>
    </xf>
    <xf numFmtId="0" fontId="9" fillId="4" borderId="30" xfId="1" applyFont="1" applyFill="1" applyBorder="1" applyAlignment="1">
      <alignment horizontal="center" vertical="center" wrapText="1"/>
    </xf>
    <xf numFmtId="0" fontId="5" fillId="0" borderId="33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14" fontId="8" fillId="4" borderId="28" xfId="1" applyNumberFormat="1" applyFont="1" applyFill="1" applyBorder="1" applyAlignment="1">
      <alignment horizontal="center" wrapText="1"/>
    </xf>
    <xf numFmtId="14" fontId="8" fillId="4" borderId="12" xfId="1" applyNumberFormat="1" applyFont="1" applyFill="1" applyBorder="1" applyAlignment="1">
      <alignment horizontal="center" wrapText="1"/>
    </xf>
    <xf numFmtId="14" fontId="8" fillId="4" borderId="76" xfId="1" applyNumberFormat="1" applyFont="1" applyFill="1" applyBorder="1" applyAlignment="1">
      <alignment horizontal="center" wrapText="1"/>
    </xf>
    <xf numFmtId="14" fontId="8" fillId="4" borderId="75" xfId="1" applyNumberFormat="1" applyFont="1" applyFill="1" applyBorder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14" fontId="8" fillId="4" borderId="51" xfId="1" applyNumberFormat="1" applyFont="1" applyFill="1" applyBorder="1" applyAlignment="1">
      <alignment horizontal="center" wrapText="1"/>
    </xf>
    <xf numFmtId="14" fontId="8" fillId="4" borderId="30" xfId="1" applyNumberFormat="1" applyFont="1" applyFill="1" applyBorder="1" applyAlignment="1">
      <alignment horizontal="center" wrapText="1"/>
    </xf>
    <xf numFmtId="0" fontId="21" fillId="0" borderId="76" xfId="1" applyFont="1" applyBorder="1" applyAlignment="1">
      <alignment horizontal="center" vertical="center" wrapText="1"/>
    </xf>
    <xf numFmtId="0" fontId="21" fillId="0" borderId="75" xfId="1" applyFont="1" applyBorder="1" applyAlignment="1">
      <alignment horizontal="center" vertical="center" wrapText="1"/>
    </xf>
    <xf numFmtId="14" fontId="8" fillId="4" borderId="79" xfId="1" applyNumberFormat="1" applyFont="1" applyFill="1" applyBorder="1" applyAlignment="1">
      <alignment horizontal="center" wrapText="1"/>
    </xf>
    <xf numFmtId="0" fontId="6" fillId="0" borderId="34" xfId="1" applyFont="1" applyBorder="1" applyAlignment="1">
      <alignment horizontal="center" vertical="center"/>
    </xf>
    <xf numFmtId="0" fontId="21" fillId="0" borderId="63" xfId="1" applyFont="1" applyBorder="1"/>
    <xf numFmtId="0" fontId="21" fillId="0" borderId="82" xfId="1" applyFont="1" applyBorder="1" applyAlignment="1">
      <alignment horizontal="center" vertical="center"/>
    </xf>
    <xf numFmtId="0" fontId="21" fillId="0" borderId="77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79" xfId="1" applyFont="1" applyBorder="1"/>
    <xf numFmtId="0" fontId="5" fillId="0" borderId="0" xfId="1" applyFon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10" fontId="23" fillId="0" borderId="0" xfId="1" applyNumberFormat="1" applyFont="1" applyAlignment="1">
      <alignment horizontal="center" vertical="center"/>
    </xf>
    <xf numFmtId="0" fontId="21" fillId="0" borderId="75" xfId="1" applyFont="1" applyBorder="1"/>
    <xf numFmtId="44" fontId="5" fillId="0" borderId="0" xfId="1" applyNumberFormat="1" applyFont="1"/>
    <xf numFmtId="44" fontId="23" fillId="0" borderId="0" xfId="1" applyNumberFormat="1" applyFont="1"/>
    <xf numFmtId="0" fontId="21" fillId="0" borderId="0" xfId="1" applyFont="1"/>
    <xf numFmtId="0" fontId="21" fillId="0" borderId="0" xfId="1" applyFont="1" applyAlignment="1">
      <alignment horizontal="left" vertical="center" indent="1"/>
    </xf>
    <xf numFmtId="0" fontId="23" fillId="0" borderId="0" xfId="1" applyFont="1"/>
  </cellXfs>
  <cellStyles count="4">
    <cellStyle name="Currency 2" xfId="2" xr:uid="{156AADA5-72EC-4E66-9951-281CEDBFB3DE}"/>
    <cellStyle name="Normal" xfId="0" builtinId="0"/>
    <cellStyle name="Normal 2" xfId="1" xr:uid="{21A70217-B4BD-4EDB-AB58-1FB6EEC57DBB}"/>
    <cellStyle name="Percent 2" xfId="3" xr:uid="{F4D262F4-00B0-4DC2-8DB4-357BC40297E0}"/>
  </cellStyles>
  <dxfs count="10">
    <dxf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Liquidity</a:t>
            </a:r>
            <a:r>
              <a:rPr lang="en-US" baseline="0"/>
              <a:t> Ratios</a:t>
            </a:r>
            <a:endParaRPr lang="en-US"/>
          </a:p>
        </c:rich>
      </c:tx>
      <c:layout>
        <c:manualLayout>
          <c:xMode val="edge"/>
          <c:yMode val="edge"/>
          <c:x val="0.33838402453601868"/>
          <c:y val="4.74453800427292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'Fin. Ratios (Trend Analysis)'!$A$6</c:f>
              <c:strCache>
                <c:ptCount val="1"/>
                <c:pt idx="0">
                  <c:v>Current Ratio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F6F6F6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'Fin. Ratios (Trend Analysis)'!$B$5:$H$5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Analysis)'!$B$6:$H$6</c:f>
              <c:numCache>
                <c:formatCode>#,##0.00_);[Red]\(#,##0.00\)</c:formatCode>
                <c:ptCount val="6"/>
                <c:pt idx="0">
                  <c:v>0.79890806303806294</c:v>
                </c:pt>
                <c:pt idx="1">
                  <c:v>0.7945237177015041</c:v>
                </c:pt>
                <c:pt idx="2">
                  <c:v>0.97217334988396564</c:v>
                </c:pt>
                <c:pt idx="3">
                  <c:v>0.92779729683333523</c:v>
                </c:pt>
                <c:pt idx="4">
                  <c:v>0.82057094513980777</c:v>
                </c:pt>
                <c:pt idx="5">
                  <c:v>0.83186712113834338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4-4130-84D1-B07EB3DBFB35}"/>
            </c:ext>
          </c:extLst>
        </c:ser>
        <c:ser>
          <c:idx val="1"/>
          <c:order val="1"/>
          <c:tx>
            <c:strRef>
              <c:f>'Fin. Ratios (Trend Analysis)'!$A$7</c:f>
              <c:strCache>
                <c:ptCount val="1"/>
                <c:pt idx="0">
                  <c:v>Quick Ratio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Analysis)'!$B$5:$H$5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Analysis)'!$B$7:$H$7</c:f>
              <c:numCache>
                <c:formatCode>#,##0.00_);[Red]\(#,##0.00\)</c:formatCode>
                <c:ptCount val="6"/>
                <c:pt idx="0">
                  <c:v>0.18076332330885295</c:v>
                </c:pt>
                <c:pt idx="1">
                  <c:v>0.20245532844838668</c:v>
                </c:pt>
                <c:pt idx="2">
                  <c:v>0.26182740568838037</c:v>
                </c:pt>
                <c:pt idx="3">
                  <c:v>0.2636789159866787</c:v>
                </c:pt>
                <c:pt idx="4">
                  <c:v>0.17959174819410401</c:v>
                </c:pt>
                <c:pt idx="5">
                  <c:v>0.20194773575718228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74-4130-84D1-B07EB3DBFB35}"/>
            </c:ext>
          </c:extLst>
        </c:ser>
        <c:ser>
          <c:idx val="2"/>
          <c:order val="2"/>
          <c:tx>
            <c:strRef>
              <c:f>'Fin. Ratios (Trend Analysis)'!$A$8</c:f>
              <c:strCache>
                <c:ptCount val="1"/>
                <c:pt idx="0">
                  <c:v>Cash Ratio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Analysis)'!$B$5:$H$5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Analysis)'!$B$8:$H$8</c:f>
              <c:numCache>
                <c:formatCode>#,##0.00_);[Red]\(#,##0.00\)</c:formatCode>
                <c:ptCount val="6"/>
                <c:pt idx="0">
                  <c:v>9.9668288653406822E-2</c:v>
                </c:pt>
                <c:pt idx="1">
                  <c:v>0.12167373698418819</c:v>
                </c:pt>
                <c:pt idx="2">
                  <c:v>0.19149441416158455</c:v>
                </c:pt>
                <c:pt idx="3">
                  <c:v>0.16891930555396606</c:v>
                </c:pt>
                <c:pt idx="4">
                  <c:v>9.3548666999284144E-2</c:v>
                </c:pt>
                <c:pt idx="5">
                  <c:v>0.10676838175620841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74-4130-84D1-B07EB3DBF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818048"/>
        <c:axId val="860825248"/>
      </c:lineChart>
      <c:dateAx>
        <c:axId val="860818048"/>
        <c:scaling>
          <c:orientation val="minMax"/>
          <c:max val="45322"/>
          <c:min val="43496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0825248"/>
        <c:crosses val="autoZero"/>
        <c:auto val="1"/>
        <c:lblOffset val="100"/>
        <c:baseTimeUnit val="years"/>
      </c:dateAx>
      <c:valAx>
        <c:axId val="86082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60818048"/>
        <c:crossesAt val="43466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6F6F6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100" baseline="0">
                <a:solidFill>
                  <a:srgbClr val="F6F6F6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rgbClr val="F6F6F6"/>
                </a:solidFill>
              </a:rPr>
              <a:t>Effeciency</a:t>
            </a:r>
            <a:r>
              <a:rPr lang="en-US" baseline="0">
                <a:solidFill>
                  <a:srgbClr val="F6F6F6"/>
                </a:solidFill>
              </a:rPr>
              <a:t> (Asset Mgt) Ratios</a:t>
            </a:r>
            <a:endParaRPr lang="en-US">
              <a:solidFill>
                <a:srgbClr val="F6F6F6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rgbClr val="F6F6F6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'Fin. Ratios (Trend Analysis)'!$A$12</c:f>
              <c:strCache>
                <c:ptCount val="1"/>
                <c:pt idx="0">
                  <c:v>Total Asset Turnover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Analysis)'!$B$12:$H$12</c:f>
              <c:numCache>
                <c:formatCode>#,##0.00_);[Red]\(#,##0.00\)</c:formatCode>
                <c:ptCount val="6"/>
                <c:pt idx="0">
                  <c:v>2.3335187760778862</c:v>
                </c:pt>
                <c:pt idx="1">
                  <c:v>2.2048077126366308</c:v>
                </c:pt>
                <c:pt idx="2">
                  <c:v>2.205710189468348</c:v>
                </c:pt>
                <c:pt idx="3">
                  <c:v>2.3277056277056278</c:v>
                </c:pt>
                <c:pt idx="4">
                  <c:v>2.5020086596462949</c:v>
                </c:pt>
                <c:pt idx="5">
                  <c:v>2.5583976164723317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90-4F1A-835D-534D6DF139FA}"/>
            </c:ext>
          </c:extLst>
        </c:ser>
        <c:ser>
          <c:idx val="1"/>
          <c:order val="1"/>
          <c:tx>
            <c:strRef>
              <c:f>'Fin. Ratios (Trend Analysis)'!$A$13</c:f>
              <c:strCache>
                <c:ptCount val="1"/>
                <c:pt idx="0">
                  <c:v>Fixed Asset Turnover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Analysis)'!$B$13:$H$13</c:f>
              <c:numCache>
                <c:formatCode>#,##0.00_);[Red]\(#,##0.00\)</c:formatCode>
                <c:ptCount val="6"/>
                <c:pt idx="0">
                  <c:v>3.2511785410233931</c:v>
                </c:pt>
                <c:pt idx="1">
                  <c:v>2.984881704056924</c:v>
                </c:pt>
                <c:pt idx="2">
                  <c:v>3.4287781122829051</c:v>
                </c:pt>
                <c:pt idx="3">
                  <c:v>3.4798339336955859</c:v>
                </c:pt>
                <c:pt idx="4">
                  <c:v>3.6318117248212389</c:v>
                </c:pt>
                <c:pt idx="5">
                  <c:v>3.6789519262542587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0-4F1A-835D-534D6DF139FA}"/>
            </c:ext>
          </c:extLst>
        </c:ser>
        <c:ser>
          <c:idx val="2"/>
          <c:order val="2"/>
          <c:tx>
            <c:strRef>
              <c:f>'Fin. Ratios (Trend Analysis)'!$A$14</c:f>
              <c:strCache>
                <c:ptCount val="1"/>
                <c:pt idx="0">
                  <c:v>Inventory Turnover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Analysis)'!$B$14:$H$14</c:f>
              <c:numCache>
                <c:formatCode>#,##0.00_);[Red]\(#,##0.00\)</c:formatCode>
                <c:ptCount val="6"/>
                <c:pt idx="0">
                  <c:v>8.4624229144548107</c:v>
                </c:pt>
                <c:pt idx="1">
                  <c:v>8.6332395634072245</c:v>
                </c:pt>
                <c:pt idx="2">
                  <c:v>9.1028276491134399</c:v>
                </c:pt>
                <c:pt idx="3">
                  <c:v>7.4028419245810548</c:v>
                </c:pt>
                <c:pt idx="4">
                  <c:v>8.0029694570135739</c:v>
                </c:pt>
                <c:pt idx="5">
                  <c:v>8.7132733367339501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90-4F1A-835D-534D6DF139FA}"/>
            </c:ext>
          </c:extLst>
        </c:ser>
        <c:ser>
          <c:idx val="3"/>
          <c:order val="3"/>
          <c:tx>
            <c:strRef>
              <c:f>'Fin. Ratios (Trend Analysis)'!$A$15</c:f>
              <c:strCache>
                <c:ptCount val="1"/>
                <c:pt idx="0">
                  <c:v>Days Inventory Outstanding (Held)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Analysis)'!$B$15:$H$15</c:f>
              <c:numCache>
                <c:formatCode>#,##0.00_);[Red]\(#,##0.00\)</c:formatCode>
                <c:ptCount val="6"/>
                <c:pt idx="0">
                  <c:v>43.131855225119658</c:v>
                </c:pt>
                <c:pt idx="1">
                  <c:v>42.278451480378919</c:v>
                </c:pt>
                <c:pt idx="2">
                  <c:v>40.097430608339465</c:v>
                </c:pt>
                <c:pt idx="3">
                  <c:v>49.305388892341675</c:v>
                </c:pt>
                <c:pt idx="4">
                  <c:v>45.608071099174872</c:v>
                </c:pt>
                <c:pt idx="5">
                  <c:v>41.890112463385108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90-4F1A-835D-534D6DF139FA}"/>
            </c:ext>
          </c:extLst>
        </c:ser>
        <c:ser>
          <c:idx val="4"/>
          <c:order val="4"/>
          <c:tx>
            <c:strRef>
              <c:f>'Fin. Ratios (Trend Analysis)'!$A$16</c:f>
              <c:strCache>
                <c:ptCount val="1"/>
                <c:pt idx="0">
                  <c:v>Days Sales Outstanding (Collection Period)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Analysis)'!$B$16:$H$16</c:f>
              <c:numCache>
                <c:formatCode>#,##0.00_);[Red]\(#,##0.00\)</c:formatCode>
                <c:ptCount val="6"/>
                <c:pt idx="0">
                  <c:v>4.4814638216712357</c:v>
                </c:pt>
                <c:pt idx="1">
                  <c:v>4.3988216928193067</c:v>
                </c:pt>
                <c:pt idx="2">
                  <c:v>4.270423910955178</c:v>
                </c:pt>
                <c:pt idx="3">
                  <c:v>5.3024587604085882</c:v>
                </c:pt>
                <c:pt idx="4">
                  <c:v>4.7586448878436629</c:v>
                </c:pt>
                <c:pt idx="5">
                  <c:v>4.9719003247452136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90-4F1A-835D-534D6DF139FA}"/>
            </c:ext>
          </c:extLst>
        </c:ser>
        <c:ser>
          <c:idx val="5"/>
          <c:order val="5"/>
          <c:tx>
            <c:strRef>
              <c:f>'Fin. Ratios (Trend Analysis)'!$A$17</c:f>
              <c:strCache>
                <c:ptCount val="1"/>
                <c:pt idx="0">
                  <c:v>Days Payables Outstanding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Analysis)'!$B$17:$H$17</c:f>
              <c:numCache>
                <c:formatCode>#,##0.00_);[Red]\(#,##0.00\)</c:formatCode>
                <c:ptCount val="6"/>
                <c:pt idx="0">
                  <c:v>45.851162368567863</c:v>
                </c:pt>
                <c:pt idx="1">
                  <c:v>44.693275602291862</c:v>
                </c:pt>
                <c:pt idx="2">
                  <c:v>43.836967174451253</c:v>
                </c:pt>
                <c:pt idx="3">
                  <c:v>48.214774036553827</c:v>
                </c:pt>
                <c:pt idx="4">
                  <c:v>43.323475625916565</c:v>
                </c:pt>
                <c:pt idx="5">
                  <c:v>43.355335372546719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90-4F1A-835D-534D6DF139FA}"/>
            </c:ext>
          </c:extLst>
        </c:ser>
        <c:ser>
          <c:idx val="6"/>
          <c:order val="6"/>
          <c:tx>
            <c:strRef>
              <c:f>'Fin. Ratios (Trend Analysis)'!$A$18</c:f>
              <c:strCache>
                <c:ptCount val="1"/>
                <c:pt idx="0">
                  <c:v>Cash Conversion Cycle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Analysis)'!$B$11:$H$11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Analysis)'!$B$18:$H$18</c:f>
              <c:numCache>
                <c:formatCode>#,##0.00_);[Red]\(#,##0.00\)</c:formatCode>
                <c:ptCount val="6"/>
                <c:pt idx="0">
                  <c:v>1.7621566782230289</c:v>
                </c:pt>
                <c:pt idx="1">
                  <c:v>1.9839975709063609</c:v>
                </c:pt>
                <c:pt idx="2">
                  <c:v>0.53088734484339284</c:v>
                </c:pt>
                <c:pt idx="3">
                  <c:v>6.393073616196439</c:v>
                </c:pt>
                <c:pt idx="4">
                  <c:v>7.0432403611019723</c:v>
                </c:pt>
                <c:pt idx="5">
                  <c:v>3.5066774155836029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90-4F1A-835D-534D6DF13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669023"/>
        <c:axId val="309676223"/>
      </c:lineChart>
      <c:dateAx>
        <c:axId val="3096690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76223"/>
        <c:crosses val="autoZero"/>
        <c:auto val="1"/>
        <c:lblOffset val="100"/>
        <c:baseTimeUnit val="years"/>
      </c:dateAx>
      <c:valAx>
        <c:axId val="30967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6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F6F6F6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100" baseline="0">
                <a:solidFill>
                  <a:srgbClr val="F6F6F6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rgbClr val="F6F6F6"/>
                </a:solidFill>
              </a:rPr>
              <a:t>Margin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rgbClr val="F6F6F6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'Fin. Ratios (Trend Analysis)'!$A$30:$B$30</c:f>
              <c:strCache>
                <c:ptCount val="2"/>
                <c:pt idx="0">
                  <c:v>Gross Profit Margin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1.6412681497441366E-3"/>
                  <c:y val="-4.19741636438150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DF3-447D-98E8-AD55BE0F68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'Fin. Ratios (Trend Analysis)'!$C$29:$H$29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Analysis)'!$C$30:$H$30</c:f>
              <c:numCache>
                <c:formatCode>0.00%</c:formatCode>
                <c:ptCount val="6"/>
                <c:pt idx="0">
                  <c:v>0.2679269691575033</c:v>
                </c:pt>
                <c:pt idx="1">
                  <c:v>0.26429061841948809</c:v>
                </c:pt>
                <c:pt idx="2">
                  <c:v>0.26532814539630439</c:v>
                </c:pt>
                <c:pt idx="3">
                  <c:v>0.26601773451563437</c:v>
                </c:pt>
                <c:pt idx="4">
                  <c:v>0.25589130967113188</c:v>
                </c:pt>
                <c:pt idx="5">
                  <c:v>0.25931300204262725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F3-447D-98E8-AD55BE0F6857}"/>
            </c:ext>
          </c:extLst>
        </c:ser>
        <c:ser>
          <c:idx val="1"/>
          <c:order val="1"/>
          <c:tx>
            <c:strRef>
              <c:f>'Fin. Ratios (Trend Analysis)'!$A$31:$B$31</c:f>
              <c:strCache>
                <c:ptCount val="2"/>
                <c:pt idx="0">
                  <c:v>Operating Profit Margin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'Fin. Ratios (Trend Analysis)'!$C$29:$H$29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Analysis)'!$C$31:$H$31</c:f>
              <c:numCache>
                <c:formatCode>0.00%</c:formatCode>
                <c:ptCount val="6"/>
                <c:pt idx="0">
                  <c:v>3.8049436322741138E-2</c:v>
                </c:pt>
                <c:pt idx="1">
                  <c:v>3.6730044148162923E-2</c:v>
                </c:pt>
                <c:pt idx="2">
                  <c:v>4.4682214916336435E-2</c:v>
                </c:pt>
                <c:pt idx="3">
                  <c:v>4.5192486516644967E-2</c:v>
                </c:pt>
                <c:pt idx="4">
                  <c:v>3.5817059201519848E-2</c:v>
                </c:pt>
                <c:pt idx="5">
                  <c:v>3.8277193346517233E-2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F3-447D-98E8-AD55BE0F6857}"/>
            </c:ext>
          </c:extLst>
        </c:ser>
        <c:ser>
          <c:idx val="2"/>
          <c:order val="2"/>
          <c:tx>
            <c:strRef>
              <c:f>'Fin. Ratios (Trend Analysis)'!$A$32:$B$32</c:f>
              <c:strCache>
                <c:ptCount val="2"/>
                <c:pt idx="0">
                  <c:v>Profit Margin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dk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'Fin. Ratios (Trend Analysis)'!$C$29:$H$29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Analysis)'!$C$32:$H$32</c:f>
              <c:numCache>
                <c:formatCode>0.00%</c:formatCode>
                <c:ptCount val="6"/>
                <c:pt idx="0">
                  <c:v>1.3034242733947069E-2</c:v>
                </c:pt>
                <c:pt idx="1">
                  <c:v>2.8539044850084194E-2</c:v>
                </c:pt>
                <c:pt idx="2">
                  <c:v>2.4257855074129205E-2</c:v>
                </c:pt>
                <c:pt idx="3">
                  <c:v>2.3989318586151359E-2</c:v>
                </c:pt>
                <c:pt idx="4">
                  <c:v>1.919534052829916E-2</c:v>
                </c:pt>
                <c:pt idx="5">
                  <c:v>2.402061520402269E-2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F3-447D-98E8-AD55BE0F6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199647"/>
        <c:axId val="1694197727"/>
      </c:lineChart>
      <c:dateAx>
        <c:axId val="16941996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197727"/>
        <c:crosses val="autoZero"/>
        <c:auto val="1"/>
        <c:lblOffset val="100"/>
        <c:baseTimeUnit val="years"/>
      </c:dateAx>
      <c:valAx>
        <c:axId val="169419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419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F6F6F6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100" baseline="0">
                <a:solidFill>
                  <a:srgbClr val="F6F6F6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rgbClr val="F6F6F6"/>
                </a:solidFill>
              </a:rPr>
              <a:t>ROIs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rgbClr val="F6F6F6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'Fin. Ratios (Trend Analysis)'!$A$33</c:f>
              <c:strCache>
                <c:ptCount val="1"/>
                <c:pt idx="0">
                  <c:v>ROA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Analysis)'!$B$29:$H$29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Analysis)'!$B$33:$H$33</c:f>
              <c:numCache>
                <c:formatCode>0.00%</c:formatCode>
                <c:ptCount val="6"/>
                <c:pt idx="0">
                  <c:v>3.0415650151622245E-2</c:v>
                </c:pt>
                <c:pt idx="1">
                  <c:v>6.2923106196748346E-2</c:v>
                </c:pt>
                <c:pt idx="2">
                  <c:v>5.3505798111653256E-2</c:v>
                </c:pt>
                <c:pt idx="3">
                  <c:v>5.5840071877807727E-2</c:v>
                </c:pt>
                <c:pt idx="4">
                  <c:v>4.8026908226663979E-2</c:v>
                </c:pt>
                <c:pt idx="5">
                  <c:v>6.1454284684170697E-2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F-4459-95E8-7650DEDC8223}"/>
            </c:ext>
          </c:extLst>
        </c:ser>
        <c:ser>
          <c:idx val="1"/>
          <c:order val="1"/>
          <c:tx>
            <c:strRef>
              <c:f>'Fin. Ratios (Trend Analysis)'!$A$34</c:f>
              <c:strCache>
                <c:ptCount val="1"/>
                <c:pt idx="0">
                  <c:v>ROE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Analysis)'!$B$29:$H$29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Analysis)'!$B$34:$H$34</c:f>
              <c:numCache>
                <c:formatCode>0.00%</c:formatCode>
                <c:ptCount val="6"/>
                <c:pt idx="0">
                  <c:v>9.2005076142131978E-2</c:v>
                </c:pt>
                <c:pt idx="1">
                  <c:v>0.19929287924038089</c:v>
                </c:pt>
                <c:pt idx="2">
                  <c:v>0.16694470188446092</c:v>
                </c:pt>
                <c:pt idx="3">
                  <c:v>0.16423432188629838</c:v>
                </c:pt>
                <c:pt idx="4">
                  <c:v>0.15229551588802107</c:v>
                </c:pt>
                <c:pt idx="5">
                  <c:v>0.18496082803687053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2F-4459-95E8-7650DEDC8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678623"/>
        <c:axId val="309665663"/>
      </c:lineChart>
      <c:dateAx>
        <c:axId val="3096786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65663"/>
        <c:crosses val="autoZero"/>
        <c:auto val="1"/>
        <c:lblOffset val="100"/>
        <c:baseTimeUnit val="years"/>
      </c:dateAx>
      <c:valAx>
        <c:axId val="30966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7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F6F6F6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100" baseline="0">
                <a:solidFill>
                  <a:srgbClr val="F6F6F6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rgbClr val="F6F6F6"/>
                </a:solidFill>
              </a:rPr>
              <a:t>Size &amp; Valuation</a:t>
            </a:r>
            <a:r>
              <a:rPr lang="en-US" baseline="0">
                <a:solidFill>
                  <a:srgbClr val="F6F6F6"/>
                </a:solidFill>
              </a:rPr>
              <a:t> Metrics</a:t>
            </a:r>
            <a:endParaRPr lang="en-US">
              <a:solidFill>
                <a:srgbClr val="F6F6F6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rgbClr val="F6F6F6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'Fin. Ratios (Trend Analysis)'!$A$42</c:f>
              <c:strCache>
                <c:ptCount val="1"/>
                <c:pt idx="0">
                  <c:v>Market Capitalization (Equity Market Value) in millions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Analysis)'!$B$41:$H$41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Analysis)'!$B$42:$H$42</c:f>
              <c:numCache>
                <c:formatCode>_("$"* #,##0.00_);_("$"* \(#,##0.00\);_("$"* "-"??_);_(@_)</c:formatCode>
                <c:ptCount val="6"/>
                <c:pt idx="0">
                  <c:v>275798.74</c:v>
                </c:pt>
                <c:pt idx="1">
                  <c:v>324292.12357</c:v>
                </c:pt>
                <c:pt idx="2">
                  <c:v>396322.29000000004</c:v>
                </c:pt>
                <c:pt idx="3">
                  <c:v>386015.41000000003</c:v>
                </c:pt>
                <c:pt idx="4">
                  <c:v>387441.91000000003</c:v>
                </c:pt>
                <c:pt idx="5">
                  <c:v>443696.25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B-4114-9929-42ABA05C2711}"/>
            </c:ext>
          </c:extLst>
        </c:ser>
        <c:ser>
          <c:idx val="1"/>
          <c:order val="1"/>
          <c:tx>
            <c:strRef>
              <c:f>'Fin. Ratios (Trend Analysis)'!$A$47</c:f>
              <c:strCache>
                <c:ptCount val="1"/>
                <c:pt idx="0">
                  <c:v>Enterprise Value (Value of Operations) in millions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'Fin. Ratios (Trend Analysis)'!$B$41:$H$41</c:f>
              <c:numCache>
                <c:formatCode>m/d/yyyy</c:formatCode>
                <c:ptCount val="6"/>
                <c:pt idx="0">
                  <c:v>43496</c:v>
                </c:pt>
                <c:pt idx="1">
                  <c:v>43861</c:v>
                </c:pt>
                <c:pt idx="2">
                  <c:v>44227</c:v>
                </c:pt>
                <c:pt idx="3">
                  <c:v>44592</c:v>
                </c:pt>
                <c:pt idx="4">
                  <c:v>44957</c:v>
                </c:pt>
                <c:pt idx="5">
                  <c:v>45322</c:v>
                </c:pt>
              </c:numCache>
            </c:numRef>
          </c:cat>
          <c:val>
            <c:numRef>
              <c:f>'Fin. Ratios (Trend Analysis)'!$B$47:$H$47</c:f>
              <c:numCache>
                <c:formatCode>_("$"* #,##0.00_);_("$"* \(#,##0.00\);_("$"* "-"??_);_(@_)</c:formatCode>
                <c:ptCount val="6"/>
                <c:pt idx="0">
                  <c:v>333247.74</c:v>
                </c:pt>
                <c:pt idx="1">
                  <c:v>394143.12357</c:v>
                </c:pt>
                <c:pt idx="2">
                  <c:v>448433.29000000004</c:v>
                </c:pt>
                <c:pt idx="3">
                  <c:v>437216.41000000003</c:v>
                </c:pt>
                <c:pt idx="4">
                  <c:v>444800.91000000003</c:v>
                </c:pt>
                <c:pt idx="5">
                  <c:v>501638.25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B-4114-9929-42ABA05C2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673343"/>
        <c:axId val="309673823"/>
      </c:lineChart>
      <c:dateAx>
        <c:axId val="3096733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73823"/>
        <c:crosses val="autoZero"/>
        <c:auto val="1"/>
        <c:lblOffset val="100"/>
        <c:baseTimeUnit val="years"/>
      </c:dateAx>
      <c:valAx>
        <c:axId val="30967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F6F6F6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967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F6F6F6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Market Cap. &amp; EV (In Millions)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'Fin. Ratios (Trend Analysis)'!$G$59</c:f>
              <c:strCache>
                <c:ptCount val="1"/>
                <c:pt idx="0">
                  <c:v>Market Capitalization (Equity Market Value)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'Fin. Ratios (Trend Analysis)'!$H$58:$I$58</c:f>
              <c:strCache>
                <c:ptCount val="2"/>
                <c:pt idx="0">
                  <c:v>FY2021 &amp; 2022</c:v>
                </c:pt>
                <c:pt idx="1">
                  <c:v>FY2023</c:v>
                </c:pt>
              </c:strCache>
            </c:strRef>
          </c:cat>
          <c:val>
            <c:numRef>
              <c:f>'Fin. Ratios (Trend Analysis)'!$H$59:$I$59</c:f>
              <c:numCache>
                <c:formatCode>_("$"* #,##0.00_);_("$"* \(#,##0.00\);_("$"* "-"??_);_(@_)</c:formatCode>
                <c:ptCount val="2"/>
                <c:pt idx="0">
                  <c:v>387441.91000000003</c:v>
                </c:pt>
                <c:pt idx="1">
                  <c:v>443696.25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5-495E-844D-4C8A56A2EF11}"/>
            </c:ext>
          </c:extLst>
        </c:ser>
        <c:ser>
          <c:idx val="1"/>
          <c:order val="1"/>
          <c:tx>
            <c:strRef>
              <c:f>'Fin. Ratios (Trend Analysis)'!$G$60</c:f>
              <c:strCache>
                <c:ptCount val="1"/>
                <c:pt idx="0">
                  <c:v>Enterprise Value (Value of Operations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'Fin. Ratios (Trend Analysis)'!$H$58:$I$58</c:f>
              <c:strCache>
                <c:ptCount val="2"/>
                <c:pt idx="0">
                  <c:v>FY2021 &amp; 2022</c:v>
                </c:pt>
                <c:pt idx="1">
                  <c:v>FY2023</c:v>
                </c:pt>
              </c:strCache>
            </c:strRef>
          </c:cat>
          <c:val>
            <c:numRef>
              <c:f>'Fin. Ratios (Trend Analysis)'!$H$60:$I$60</c:f>
              <c:numCache>
                <c:formatCode>_("$"* #,##0.00_);_("$"* \(#,##0.00\);_("$"* "-"??_);_(@_)</c:formatCode>
                <c:ptCount val="2"/>
                <c:pt idx="0">
                  <c:v>444800.91000000003</c:v>
                </c:pt>
                <c:pt idx="1">
                  <c:v>501638.25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5-495E-844D-4C8A56A2E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7990800"/>
        <c:axId val="177989840"/>
      </c:barChart>
      <c:catAx>
        <c:axId val="17799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89840"/>
        <c:crosses val="autoZero"/>
        <c:auto val="1"/>
        <c:lblAlgn val="ctr"/>
        <c:lblOffset val="100"/>
        <c:noMultiLvlLbl val="0"/>
      </c:catAx>
      <c:valAx>
        <c:axId val="1779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9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 sz="1000" b="0" i="0" u="none" strike="noStrike" kern="1200" baseline="0">
          <a:solidFill>
            <a:schemeClr val="bg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200"/>
              <a:t>Capital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0D4-4D9F-95EF-107A15DCC2C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0D4-4D9F-95EF-107A15DCC2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'Fin. Ratios (Trend Analysis)'!$C$58:$C$59</c:f>
              <c:strCache>
                <c:ptCount val="2"/>
                <c:pt idx="0">
                  <c:v>Debt </c:v>
                </c:pt>
                <c:pt idx="1">
                  <c:v>Equity</c:v>
                </c:pt>
              </c:strCache>
            </c:strRef>
          </c:cat>
          <c:val>
            <c:numRef>
              <c:f>'Fin. Ratios (Trend Analysis)'!$D$58:$D$59</c:f>
              <c:numCache>
                <c:formatCode>0.0%</c:formatCode>
                <c:ptCount val="2"/>
                <c:pt idx="0">
                  <c:v>0.12142357513530479</c:v>
                </c:pt>
                <c:pt idx="1">
                  <c:v>0.87857642486469523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D4-4D9F-95EF-107A15DCC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266700</xdr:colOff>
      <xdr:row>3</xdr:row>
      <xdr:rowOff>152400</xdr:rowOff>
    </xdr:from>
    <xdr:to>
      <xdr:col>26</xdr:col>
      <xdr:colOff>374650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CAE42-2226-4AE2-8362-E01AA572A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546100</xdr:colOff>
      <xdr:row>4</xdr:row>
      <xdr:rowOff>44450</xdr:rowOff>
    </xdr:from>
    <xdr:to>
      <xdr:col>38</xdr:col>
      <xdr:colOff>123363</xdr:colOff>
      <xdr:row>18</xdr:row>
      <xdr:rowOff>58966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45E185-E2D6-49CB-91F9-7318AC363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136081</xdr:colOff>
      <xdr:row>19</xdr:row>
      <xdr:rowOff>156028</xdr:rowOff>
    </xdr:from>
    <xdr:to>
      <xdr:col>28</xdr:col>
      <xdr:colOff>374650</xdr:colOff>
      <xdr:row>39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C9FD0F-1B04-496B-BA09-0B7546071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228609</xdr:colOff>
      <xdr:row>21</xdr:row>
      <xdr:rowOff>16328</xdr:rowOff>
    </xdr:from>
    <xdr:to>
      <xdr:col>37</xdr:col>
      <xdr:colOff>482609</xdr:colOff>
      <xdr:row>34</xdr:row>
      <xdr:rowOff>66221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C73F2B-6766-4E21-AC8F-1CE875DA4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87094</xdr:colOff>
      <xdr:row>41</xdr:row>
      <xdr:rowOff>62593</xdr:rowOff>
    </xdr:from>
    <xdr:to>
      <xdr:col>24</xdr:col>
      <xdr:colOff>314787</xdr:colOff>
      <xdr:row>54</xdr:row>
      <xdr:rowOff>160564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8FB5EA-16BB-425B-BF5E-2CA5CE1C1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495300</xdr:colOff>
      <xdr:row>61</xdr:row>
      <xdr:rowOff>139700</xdr:rowOff>
    </xdr:from>
    <xdr:to>
      <xdr:col>28</xdr:col>
      <xdr:colOff>298450</xdr:colOff>
      <xdr:row>85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CB6A57-3327-4309-BFDB-C104312427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152400</xdr:colOff>
      <xdr:row>39</xdr:row>
      <xdr:rowOff>177800</xdr:rowOff>
    </xdr:from>
    <xdr:to>
      <xdr:col>38</xdr:col>
      <xdr:colOff>355600</xdr:colOff>
      <xdr:row>59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2DCEAE-9665-47BF-858D-8BAC3957A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evin robinson" id="{52B6AAE6-81D6-4FF2-80DC-50BD38989A23}" userId="3b1a04007f80a09c" providerId="Windows Live"/>
  <person displayName="Robinson, Kevin Darnell" id="{B231720B-5788-4974-BAA1-C9558089B3EA}" userId="S::krobin69@vols.utk.edu::86fe9151-9023-4035-9d24-b4599dd68a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8-24T19:49:47.58" personId="{B231720B-5788-4974-BAA1-C9558089B3EA}" id="{85FCE99E-A4BD-4004-AFFF-ED7B10657C3F}">
    <text>((Ending/Beginning)^(1/n))-1</text>
  </threadedComment>
  <threadedComment ref="B4" dT="2024-08-26T13:59:28.71" personId="{52B6AAE6-81D6-4FF2-80DC-50BD38989A23}" id="{48333810-4DCC-45B1-ABD7-9149983C0971}">
    <text>Add a year 1 to it.</text>
  </threadedComment>
  <threadedComment ref="A79" dT="2024-08-25T16:50:36.86" personId="{52B6AAE6-81D6-4FF2-80DC-50BD38989A23}" id="{91C67229-06B3-430A-BFEF-A3C1FAA0152B}">
    <text>NOWC (Current Operating Assets-Current Operating Liabilities)</text>
  </threadedComment>
  <threadedComment ref="A79" dT="2024-08-25T16:52:32.81" personId="{52B6AAE6-81D6-4FF2-80DC-50BD38989A23}" id="{B4B8422A-F006-4E0A-B715-619C55424C6C}" parentId="{91C67229-06B3-430A-BFEF-A3C1FAA0152B}">
    <text xml:space="preserve">(excluding cash and equivalents). 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35F8-833A-4731-8D05-9FE39281D3F3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ADED-A069-4E08-8040-7E8EC393F5C3}">
  <sheetPr>
    <tabColor rgb="FFFFFF00"/>
    <outlinePr summaryBelow="0" summaryRight="0"/>
  </sheetPr>
  <dimension ref="A1:XX1000"/>
  <sheetViews>
    <sheetView topLeftCell="A31" workbookViewId="0">
      <selection activeCell="B8" sqref="B8"/>
    </sheetView>
  </sheetViews>
  <sheetFormatPr defaultColWidth="7.69921875" defaultRowHeight="15.6" x14ac:dyDescent="0.3"/>
  <cols>
    <col min="1" max="1" width="52" style="1" customWidth="1"/>
    <col min="2" max="8" width="14.3984375" style="1" customWidth="1"/>
    <col min="9" max="16384" width="7.69921875" style="1"/>
  </cols>
  <sheetData>
    <row r="1" spans="1:8" x14ac:dyDescent="0.3">
      <c r="A1" s="7" t="s">
        <v>280</v>
      </c>
      <c r="B1" s="1" t="s">
        <v>279</v>
      </c>
      <c r="C1" s="11" t="s">
        <v>278</v>
      </c>
    </row>
    <row r="2" spans="1:8" x14ac:dyDescent="0.3">
      <c r="A2" s="7" t="s">
        <v>277</v>
      </c>
      <c r="B2" s="10"/>
      <c r="C2" s="10"/>
      <c r="D2" s="10"/>
      <c r="E2" s="10"/>
      <c r="F2" s="10"/>
      <c r="G2" s="10"/>
      <c r="H2" s="10"/>
    </row>
    <row r="3" spans="1:8" x14ac:dyDescent="0.3">
      <c r="A3" s="7"/>
      <c r="B3" s="7"/>
      <c r="C3" s="7">
        <v>2018</v>
      </c>
      <c r="D3" s="7">
        <v>2019</v>
      </c>
      <c r="E3" s="7">
        <v>2020</v>
      </c>
      <c r="F3" s="7">
        <v>2021</v>
      </c>
      <c r="G3" s="7">
        <v>2022</v>
      </c>
      <c r="H3" s="7">
        <v>2023</v>
      </c>
    </row>
    <row r="4" spans="1:8" x14ac:dyDescent="0.3">
      <c r="A4" s="7"/>
    </row>
    <row r="5" spans="1:8" x14ac:dyDescent="0.3">
      <c r="A5" s="8" t="s">
        <v>276</v>
      </c>
    </row>
    <row r="6" spans="1:8" x14ac:dyDescent="0.3">
      <c r="A6" s="7" t="s">
        <v>275</v>
      </c>
    </row>
    <row r="7" spans="1:8" x14ac:dyDescent="0.3">
      <c r="A7" s="5" t="s">
        <v>274</v>
      </c>
      <c r="B7" s="4"/>
      <c r="C7" s="9">
        <v>7722</v>
      </c>
      <c r="D7" s="9">
        <v>9465</v>
      </c>
      <c r="E7" s="9">
        <v>17741</v>
      </c>
      <c r="F7" s="9">
        <v>14760</v>
      </c>
      <c r="G7" s="9">
        <v>8625</v>
      </c>
      <c r="H7" s="9">
        <v>9867</v>
      </c>
    </row>
    <row r="8" spans="1:8" x14ac:dyDescent="0.3">
      <c r="A8" s="5" t="s">
        <v>273</v>
      </c>
      <c r="B8" s="4"/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x14ac:dyDescent="0.3">
      <c r="A9" s="5" t="s">
        <v>272</v>
      </c>
      <c r="B9" s="4"/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3">
      <c r="A10" s="5" t="s">
        <v>271</v>
      </c>
      <c r="B10" s="4"/>
      <c r="C10" s="9">
        <v>6283</v>
      </c>
      <c r="D10" s="9">
        <v>6284</v>
      </c>
      <c r="E10" s="9">
        <v>6516</v>
      </c>
      <c r="F10" s="9">
        <v>8280</v>
      </c>
      <c r="G10" s="9">
        <v>7933</v>
      </c>
      <c r="H10" s="9">
        <v>8796</v>
      </c>
    </row>
    <row r="11" spans="1:8" x14ac:dyDescent="0.3">
      <c r="A11" s="5" t="s">
        <v>270</v>
      </c>
      <c r="B11" s="4"/>
      <c r="C11" s="9">
        <v>6283</v>
      </c>
      <c r="D11" s="9">
        <v>6284</v>
      </c>
      <c r="E11" s="9">
        <v>6516</v>
      </c>
      <c r="F11" s="9">
        <v>8280</v>
      </c>
      <c r="G11" s="9">
        <v>7933</v>
      </c>
      <c r="H11" s="9">
        <v>8796</v>
      </c>
    </row>
    <row r="12" spans="1:8" x14ac:dyDescent="0.3">
      <c r="A12" s="5" t="s">
        <v>269</v>
      </c>
      <c r="B12" s="4"/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</row>
    <row r="13" spans="1:8" x14ac:dyDescent="0.3">
      <c r="A13" s="5" t="s">
        <v>268</v>
      </c>
      <c r="B13" s="4"/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x14ac:dyDescent="0.3">
      <c r="A14" s="5" t="s">
        <v>83</v>
      </c>
      <c r="B14" s="4"/>
      <c r="C14" s="9">
        <v>44269</v>
      </c>
      <c r="D14" s="9">
        <v>44435</v>
      </c>
      <c r="E14" s="9">
        <v>44949</v>
      </c>
      <c r="F14" s="9">
        <v>56511</v>
      </c>
      <c r="G14" s="9">
        <v>56576</v>
      </c>
      <c r="H14" s="9">
        <v>54892</v>
      </c>
    </row>
    <row r="15" spans="1:8" x14ac:dyDescent="0.3">
      <c r="A15" s="5" t="s">
        <v>267</v>
      </c>
      <c r="B15" s="6"/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</row>
    <row r="16" spans="1:8" x14ac:dyDescent="0.3">
      <c r="A16" s="5" t="s">
        <v>266</v>
      </c>
      <c r="B16" s="6"/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x14ac:dyDescent="0.3">
      <c r="A17" s="5" t="s">
        <v>265</v>
      </c>
      <c r="B17" s="6"/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</row>
    <row r="18" spans="1:8" x14ac:dyDescent="0.3">
      <c r="A18" s="5" t="s">
        <v>264</v>
      </c>
      <c r="B18" s="6"/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x14ac:dyDescent="0.3">
      <c r="A19" s="5" t="s">
        <v>81</v>
      </c>
      <c r="B19" s="4"/>
      <c r="C19" s="9">
        <v>3623</v>
      </c>
      <c r="D19" s="9">
        <v>1622</v>
      </c>
      <c r="E19" s="9">
        <v>20861</v>
      </c>
      <c r="F19" s="9">
        <v>1519</v>
      </c>
      <c r="G19" s="9">
        <v>2521</v>
      </c>
      <c r="H19" s="9">
        <v>3322</v>
      </c>
    </row>
    <row r="20" spans="1:8" x14ac:dyDescent="0.3">
      <c r="A20" s="5" t="s">
        <v>263</v>
      </c>
      <c r="B20" s="6"/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x14ac:dyDescent="0.3">
      <c r="A21" s="5" t="s">
        <v>262</v>
      </c>
      <c r="B21" s="4"/>
      <c r="C21" s="9">
        <v>3623</v>
      </c>
      <c r="D21" s="9">
        <v>1622</v>
      </c>
      <c r="E21" s="9">
        <v>20861</v>
      </c>
      <c r="F21" s="9">
        <v>1519</v>
      </c>
      <c r="G21" s="9">
        <v>2521</v>
      </c>
      <c r="H21" s="9">
        <v>3322</v>
      </c>
    </row>
    <row r="22" spans="1:8" x14ac:dyDescent="0.3">
      <c r="A22" s="5" t="s">
        <v>80</v>
      </c>
      <c r="B22" s="4"/>
      <c r="C22" s="9">
        <v>61897</v>
      </c>
      <c r="D22" s="9">
        <v>61806</v>
      </c>
      <c r="E22" s="9">
        <v>90067</v>
      </c>
      <c r="F22" s="9">
        <v>81070</v>
      </c>
      <c r="G22" s="9">
        <v>75655</v>
      </c>
      <c r="H22" s="9">
        <v>76877</v>
      </c>
    </row>
    <row r="23" spans="1:8" x14ac:dyDescent="0.3">
      <c r="A23" s="5" t="s">
        <v>261</v>
      </c>
      <c r="B23" s="4"/>
      <c r="C23" s="9">
        <v>111395</v>
      </c>
      <c r="D23" s="9">
        <v>127049</v>
      </c>
      <c r="E23" s="9">
        <v>109848</v>
      </c>
      <c r="F23" s="9">
        <v>112624</v>
      </c>
      <c r="G23" s="9">
        <v>119234</v>
      </c>
      <c r="H23" s="9">
        <v>130338</v>
      </c>
    </row>
    <row r="24" spans="1:8" x14ac:dyDescent="0.3">
      <c r="A24" s="5" t="s">
        <v>260</v>
      </c>
      <c r="B24" s="4"/>
      <c r="C24" s="9">
        <v>198570</v>
      </c>
      <c r="D24" s="9">
        <v>221563</v>
      </c>
      <c r="E24" s="9">
        <v>198218</v>
      </c>
      <c r="F24" s="9">
        <v>207433</v>
      </c>
      <c r="G24" s="9">
        <v>220844</v>
      </c>
      <c r="H24" s="9">
        <v>239387</v>
      </c>
    </row>
    <row r="25" spans="1:8" x14ac:dyDescent="0.3">
      <c r="A25" s="5" t="s">
        <v>259</v>
      </c>
      <c r="B25" s="4"/>
      <c r="C25" s="9">
        <v>87175</v>
      </c>
      <c r="D25" s="9">
        <v>94514</v>
      </c>
      <c r="E25" s="9">
        <v>88370</v>
      </c>
      <c r="F25" s="9">
        <v>94809</v>
      </c>
      <c r="G25" s="9">
        <v>101610</v>
      </c>
      <c r="H25" s="9">
        <v>109049</v>
      </c>
    </row>
    <row r="26" spans="1:8" x14ac:dyDescent="0.3">
      <c r="A26" s="5" t="s">
        <v>258</v>
      </c>
      <c r="B26" s="6"/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</row>
    <row r="27" spans="1:8" x14ac:dyDescent="0.3">
      <c r="A27" s="5" t="s">
        <v>257</v>
      </c>
      <c r="B27" s="6"/>
      <c r="C27" s="9">
        <v>0</v>
      </c>
      <c r="D27" s="9">
        <v>0</v>
      </c>
      <c r="E27" s="9">
        <v>14422</v>
      </c>
      <c r="F27" s="9">
        <v>12888</v>
      </c>
      <c r="G27" s="9">
        <v>11169</v>
      </c>
      <c r="H27" s="9">
        <v>8449</v>
      </c>
    </row>
    <row r="28" spans="1:8" x14ac:dyDescent="0.3">
      <c r="A28" s="5" t="s">
        <v>74</v>
      </c>
      <c r="B28" s="4"/>
      <c r="C28" s="9">
        <v>36981</v>
      </c>
      <c r="D28" s="9">
        <v>36273</v>
      </c>
      <c r="E28" s="9">
        <v>33883</v>
      </c>
      <c r="F28" s="9">
        <v>33814</v>
      </c>
      <c r="G28" s="9">
        <v>32474</v>
      </c>
      <c r="H28" s="9">
        <v>32213</v>
      </c>
    </row>
    <row r="29" spans="1:8" x14ac:dyDescent="0.3">
      <c r="A29" s="5" t="s">
        <v>72</v>
      </c>
      <c r="B29" s="4"/>
      <c r="C29" s="9">
        <v>9022</v>
      </c>
      <c r="D29" s="9">
        <v>11367</v>
      </c>
      <c r="E29" s="9">
        <v>4276</v>
      </c>
      <c r="F29" s="9">
        <v>4464</v>
      </c>
      <c r="G29" s="9">
        <v>4665</v>
      </c>
      <c r="H29" s="9">
        <v>4522</v>
      </c>
    </row>
    <row r="30" spans="1:8" x14ac:dyDescent="0.3">
      <c r="A30" s="5" t="s">
        <v>256</v>
      </c>
      <c r="B30" s="6"/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</row>
    <row r="31" spans="1:8" x14ac:dyDescent="0.3">
      <c r="A31" s="5" t="s">
        <v>255</v>
      </c>
      <c r="B31" s="4"/>
      <c r="C31" s="9">
        <v>9022</v>
      </c>
      <c r="D31" s="9">
        <v>11367</v>
      </c>
      <c r="E31" s="9">
        <v>4276</v>
      </c>
      <c r="F31" s="9">
        <v>4464</v>
      </c>
      <c r="G31" s="9">
        <v>4665</v>
      </c>
      <c r="H31" s="9">
        <v>4522</v>
      </c>
    </row>
    <row r="32" spans="1:8" x14ac:dyDescent="0.3">
      <c r="A32" s="5" t="s">
        <v>254</v>
      </c>
      <c r="B32" s="4"/>
      <c r="C32" s="9">
        <v>219295</v>
      </c>
      <c r="D32" s="9">
        <v>236495</v>
      </c>
      <c r="E32" s="9">
        <v>252496</v>
      </c>
      <c r="F32" s="9">
        <v>244860</v>
      </c>
      <c r="G32" s="9">
        <v>243197</v>
      </c>
      <c r="H32" s="9">
        <v>252399</v>
      </c>
    </row>
    <row r="33" spans="1:8" x14ac:dyDescent="0.3">
      <c r="A33" s="7" t="s">
        <v>253</v>
      </c>
    </row>
    <row r="34" spans="1:8" x14ac:dyDescent="0.3">
      <c r="A34" s="5" t="s">
        <v>252</v>
      </c>
      <c r="B34" s="4"/>
      <c r="C34" s="4">
        <v>7830</v>
      </c>
      <c r="D34" s="4">
        <v>8241</v>
      </c>
      <c r="E34" s="4">
        <v>5296</v>
      </c>
      <c r="F34" s="4">
        <v>5207</v>
      </c>
      <c r="G34" s="4">
        <v>6603</v>
      </c>
      <c r="H34" s="4">
        <v>6537</v>
      </c>
    </row>
    <row r="35" spans="1:8" x14ac:dyDescent="0.3">
      <c r="A35" s="5" t="s">
        <v>251</v>
      </c>
      <c r="B35" s="4"/>
      <c r="C35" s="4">
        <v>5225</v>
      </c>
      <c r="D35" s="4">
        <v>575</v>
      </c>
      <c r="E35" s="4">
        <v>224</v>
      </c>
      <c r="F35" s="4">
        <v>410</v>
      </c>
      <c r="G35" s="4">
        <v>372</v>
      </c>
      <c r="H35" s="4">
        <v>878</v>
      </c>
    </row>
    <row r="36" spans="1:8" x14ac:dyDescent="0.3">
      <c r="A36" s="5" t="s">
        <v>250</v>
      </c>
      <c r="B36" s="4"/>
      <c r="C36" s="4">
        <v>2605</v>
      </c>
      <c r="D36" s="4">
        <v>7666</v>
      </c>
      <c r="E36" s="4">
        <v>5072</v>
      </c>
      <c r="F36" s="4">
        <v>4797</v>
      </c>
      <c r="G36" s="4">
        <v>6231</v>
      </c>
      <c r="H36" s="4">
        <v>5659</v>
      </c>
    </row>
    <row r="37" spans="1:8" x14ac:dyDescent="0.3">
      <c r="A37" s="5" t="s">
        <v>70</v>
      </c>
      <c r="B37" s="4"/>
      <c r="C37" s="4">
        <v>47060</v>
      </c>
      <c r="D37" s="4">
        <v>46973</v>
      </c>
      <c r="E37" s="4">
        <v>49141</v>
      </c>
      <c r="F37" s="4">
        <v>55261</v>
      </c>
      <c r="G37" s="4">
        <v>53742</v>
      </c>
      <c r="H37" s="4">
        <v>56812</v>
      </c>
    </row>
    <row r="38" spans="1:8" x14ac:dyDescent="0.3">
      <c r="A38" s="5" t="s">
        <v>249</v>
      </c>
      <c r="B38" s="4"/>
      <c r="C38" s="4">
        <v>428</v>
      </c>
      <c r="D38" s="4">
        <v>280</v>
      </c>
      <c r="E38" s="4">
        <v>242</v>
      </c>
      <c r="F38" s="4">
        <v>851</v>
      </c>
      <c r="G38" s="4">
        <v>727</v>
      </c>
      <c r="H38" s="4">
        <v>307</v>
      </c>
    </row>
    <row r="39" spans="1:8" x14ac:dyDescent="0.3">
      <c r="A39" s="5" t="s">
        <v>248</v>
      </c>
      <c r="B39" s="4"/>
      <c r="C39" s="4">
        <v>22159</v>
      </c>
      <c r="D39" s="4">
        <v>22296</v>
      </c>
      <c r="E39" s="4">
        <v>37966</v>
      </c>
      <c r="F39" s="4">
        <v>26060</v>
      </c>
      <c r="G39" s="4">
        <v>31126</v>
      </c>
      <c r="H39" s="4">
        <v>28759</v>
      </c>
    </row>
    <row r="40" spans="1:8" x14ac:dyDescent="0.3">
      <c r="A40" s="5" t="s">
        <v>247</v>
      </c>
      <c r="B40" s="4"/>
      <c r="C40" s="4">
        <v>20227</v>
      </c>
      <c r="D40" s="4">
        <v>20306</v>
      </c>
      <c r="E40" s="4">
        <v>22922</v>
      </c>
      <c r="F40" s="4">
        <v>23480</v>
      </c>
      <c r="G40" s="4">
        <v>25689</v>
      </c>
      <c r="H40" s="4">
        <v>26095</v>
      </c>
    </row>
    <row r="41" spans="1:8" x14ac:dyDescent="0.3">
      <c r="A41" s="5" t="s">
        <v>246</v>
      </c>
      <c r="B41" s="4"/>
      <c r="C41" s="4">
        <v>1932</v>
      </c>
      <c r="D41" s="4">
        <v>1990</v>
      </c>
      <c r="E41" s="4">
        <v>15044</v>
      </c>
      <c r="F41" s="4">
        <v>2580</v>
      </c>
      <c r="G41" s="4">
        <v>5437</v>
      </c>
      <c r="H41" s="4">
        <v>2664</v>
      </c>
    </row>
    <row r="42" spans="1:8" x14ac:dyDescent="0.3">
      <c r="A42" s="5" t="s">
        <v>245</v>
      </c>
      <c r="B42" s="4"/>
      <c r="C42" s="4">
        <v>77477</v>
      </c>
      <c r="D42" s="4">
        <v>77790</v>
      </c>
      <c r="E42" s="4">
        <v>92645</v>
      </c>
      <c r="F42" s="4">
        <v>87379</v>
      </c>
      <c r="G42" s="4">
        <v>92198</v>
      </c>
      <c r="H42" s="4">
        <v>92415</v>
      </c>
    </row>
    <row r="43" spans="1:8" x14ac:dyDescent="0.3">
      <c r="A43" s="5" t="s">
        <v>244</v>
      </c>
      <c r="B43" s="4"/>
      <c r="C43" s="4">
        <v>50203</v>
      </c>
      <c r="D43" s="4">
        <v>64192</v>
      </c>
      <c r="E43" s="4">
        <v>57950</v>
      </c>
      <c r="F43" s="4">
        <v>52116</v>
      </c>
      <c r="G43" s="4">
        <v>52320</v>
      </c>
      <c r="H43" s="4">
        <v>54784</v>
      </c>
    </row>
    <row r="44" spans="1:8" x14ac:dyDescent="0.3">
      <c r="A44" s="5" t="s">
        <v>243</v>
      </c>
      <c r="B44" s="4"/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 x14ac:dyDescent="0.3">
      <c r="A45" s="5" t="s">
        <v>242</v>
      </c>
      <c r="B45" s="4"/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x14ac:dyDescent="0.3">
      <c r="A46" s="5" t="s">
        <v>241</v>
      </c>
      <c r="B46" s="4"/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 x14ac:dyDescent="0.3">
      <c r="A47" s="5" t="s">
        <v>240</v>
      </c>
      <c r="B47" s="4"/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 x14ac:dyDescent="0.3">
      <c r="A48" s="5" t="s">
        <v>239</v>
      </c>
      <c r="B48" s="4"/>
      <c r="C48" s="4">
        <v>45661</v>
      </c>
      <c r="D48" s="4">
        <v>49180</v>
      </c>
      <c r="E48" s="4">
        <v>44306</v>
      </c>
      <c r="F48" s="4">
        <v>34864</v>
      </c>
      <c r="G48" s="4">
        <v>34649</v>
      </c>
      <c r="H48" s="4">
        <v>36132</v>
      </c>
    </row>
    <row r="49" spans="1:8" x14ac:dyDescent="0.3">
      <c r="A49" s="5" t="s">
        <v>238</v>
      </c>
      <c r="B49" s="4"/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 x14ac:dyDescent="0.3">
      <c r="A50" s="5" t="s">
        <v>237</v>
      </c>
      <c r="B50" s="4"/>
      <c r="C50" s="4">
        <v>0</v>
      </c>
      <c r="D50" s="4">
        <v>17964</v>
      </c>
      <c r="E50" s="4">
        <v>14375</v>
      </c>
      <c r="F50" s="4">
        <v>13009</v>
      </c>
      <c r="G50" s="4">
        <v>12828</v>
      </c>
      <c r="H50" s="4">
        <v>12943</v>
      </c>
    </row>
    <row r="51" spans="1:8" x14ac:dyDescent="0.3">
      <c r="A51" s="5" t="s">
        <v>236</v>
      </c>
      <c r="B51" s="4"/>
      <c r="C51" s="4">
        <v>7412</v>
      </c>
      <c r="D51" s="4">
        <v>4818</v>
      </c>
      <c r="E51" s="4">
        <v>4338</v>
      </c>
      <c r="F51" s="4">
        <v>4243</v>
      </c>
      <c r="G51" s="4">
        <v>4843</v>
      </c>
      <c r="H51" s="4">
        <v>5709</v>
      </c>
    </row>
    <row r="52" spans="1:8" x14ac:dyDescent="0.3">
      <c r="A52" s="5" t="s">
        <v>60</v>
      </c>
      <c r="B52" s="4"/>
      <c r="C52" s="4">
        <v>5685</v>
      </c>
      <c r="D52" s="4">
        <v>6757</v>
      </c>
      <c r="E52" s="4">
        <v>5925</v>
      </c>
      <c r="F52" s="4">
        <v>6557</v>
      </c>
      <c r="G52" s="4">
        <v>7419</v>
      </c>
      <c r="H52" s="4">
        <v>7381</v>
      </c>
    </row>
    <row r="53" spans="1:8" x14ac:dyDescent="0.3">
      <c r="A53" s="5" t="s">
        <v>235</v>
      </c>
      <c r="B53" s="4"/>
      <c r="C53" s="4">
        <v>6296</v>
      </c>
      <c r="D53" s="4">
        <v>6204</v>
      </c>
      <c r="E53" s="4">
        <v>8445</v>
      </c>
      <c r="F53" s="4">
        <v>6917</v>
      </c>
      <c r="G53" s="4">
        <v>7269</v>
      </c>
      <c r="H53" s="4">
        <v>7248</v>
      </c>
    </row>
    <row r="54" spans="1:8" x14ac:dyDescent="0.3">
      <c r="A54" s="5" t="s">
        <v>234</v>
      </c>
      <c r="B54" s="4"/>
      <c r="C54" s="4">
        <v>6296</v>
      </c>
      <c r="D54" s="4">
        <v>6204</v>
      </c>
      <c r="E54" s="4">
        <v>8445</v>
      </c>
      <c r="F54" s="4">
        <v>6917</v>
      </c>
      <c r="G54" s="4">
        <v>7269</v>
      </c>
      <c r="H54" s="4">
        <v>7248</v>
      </c>
    </row>
    <row r="55" spans="1:8" x14ac:dyDescent="0.3">
      <c r="A55" s="5" t="s">
        <v>233</v>
      </c>
      <c r="B55" s="4"/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3">
      <c r="A56" s="5" t="s">
        <v>58</v>
      </c>
      <c r="B56" s="4"/>
      <c r="C56" s="4">
        <v>0</v>
      </c>
      <c r="D56" s="4">
        <v>0</v>
      </c>
      <c r="E56" s="4">
        <v>0</v>
      </c>
      <c r="F56" s="4">
        <v>0</v>
      </c>
      <c r="G56" s="4">
        <v>237</v>
      </c>
      <c r="H56" s="4">
        <v>222</v>
      </c>
    </row>
    <row r="57" spans="1:8" x14ac:dyDescent="0.3">
      <c r="A57" s="5" t="s">
        <v>232</v>
      </c>
      <c r="B57" s="4"/>
      <c r="C57" s="4">
        <v>139661</v>
      </c>
      <c r="D57" s="4">
        <v>154943</v>
      </c>
      <c r="E57" s="4">
        <v>164965</v>
      </c>
      <c r="F57" s="4">
        <v>152969</v>
      </c>
      <c r="G57" s="4">
        <v>159443</v>
      </c>
      <c r="H57" s="4">
        <v>162050</v>
      </c>
    </row>
    <row r="58" spans="1:8" x14ac:dyDescent="0.3">
      <c r="A58" s="7" t="s">
        <v>231</v>
      </c>
    </row>
    <row r="59" spans="1:8" x14ac:dyDescent="0.3">
      <c r="A59" s="5" t="s">
        <v>230</v>
      </c>
      <c r="B59" s="4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 x14ac:dyDescent="0.3">
      <c r="A60" s="5" t="s">
        <v>229</v>
      </c>
      <c r="B60" s="4"/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 x14ac:dyDescent="0.3">
      <c r="A61" s="5" t="s">
        <v>228</v>
      </c>
      <c r="B61" s="4"/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</row>
    <row r="62" spans="1:8" x14ac:dyDescent="0.3">
      <c r="A62" s="5" t="s">
        <v>227</v>
      </c>
      <c r="B62" s="4"/>
      <c r="C62" s="4">
        <v>72496</v>
      </c>
      <c r="D62" s="4">
        <v>74669</v>
      </c>
      <c r="E62" s="4">
        <v>80925</v>
      </c>
      <c r="F62" s="4">
        <v>83253</v>
      </c>
      <c r="G62" s="4">
        <v>76693</v>
      </c>
      <c r="H62" s="4">
        <v>83861</v>
      </c>
    </row>
    <row r="63" spans="1:8" x14ac:dyDescent="0.3">
      <c r="A63" s="5" t="s">
        <v>226</v>
      </c>
      <c r="B63" s="4"/>
      <c r="C63" s="4">
        <v>288</v>
      </c>
      <c r="D63" s="4">
        <v>284</v>
      </c>
      <c r="E63" s="4">
        <v>282</v>
      </c>
      <c r="F63" s="4">
        <v>276</v>
      </c>
      <c r="G63" s="4">
        <v>269</v>
      </c>
      <c r="H63" s="4">
        <v>268</v>
      </c>
    </row>
    <row r="64" spans="1:8" x14ac:dyDescent="0.3">
      <c r="A64" s="5" t="s">
        <v>225</v>
      </c>
      <c r="B64" s="4"/>
      <c r="C64" s="4">
        <v>2965</v>
      </c>
      <c r="D64" s="4">
        <v>3247</v>
      </c>
      <c r="E64" s="4">
        <v>3646</v>
      </c>
      <c r="F64" s="4">
        <v>4839</v>
      </c>
      <c r="G64" s="4">
        <v>4969</v>
      </c>
      <c r="H64" s="4">
        <v>5081</v>
      </c>
    </row>
    <row r="65" spans="1:8" x14ac:dyDescent="0.3">
      <c r="A65" s="5" t="s">
        <v>224</v>
      </c>
      <c r="B65" s="4"/>
      <c r="C65" s="4">
        <v>69243</v>
      </c>
      <c r="D65" s="4">
        <v>71138</v>
      </c>
      <c r="E65" s="4">
        <v>76997</v>
      </c>
      <c r="F65" s="4">
        <v>78138</v>
      </c>
      <c r="G65" s="4">
        <v>71455</v>
      </c>
      <c r="H65" s="4">
        <v>78512</v>
      </c>
    </row>
    <row r="66" spans="1:8" x14ac:dyDescent="0.3">
      <c r="A66" s="5" t="s">
        <v>223</v>
      </c>
      <c r="B66" s="4"/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 x14ac:dyDescent="0.3">
      <c r="A67" s="5" t="s">
        <v>52</v>
      </c>
      <c r="B67" s="4"/>
      <c r="C67" s="4">
        <v>72496</v>
      </c>
      <c r="D67" s="4">
        <v>74669</v>
      </c>
      <c r="E67" s="4">
        <v>80925</v>
      </c>
      <c r="F67" s="4">
        <v>83253</v>
      </c>
      <c r="G67" s="4">
        <v>76693</v>
      </c>
      <c r="H67" s="4">
        <v>83861</v>
      </c>
    </row>
    <row r="68" spans="1:8" x14ac:dyDescent="0.3">
      <c r="A68" s="5" t="s">
        <v>51</v>
      </c>
      <c r="B68" s="4"/>
      <c r="C68" s="4">
        <v>7138</v>
      </c>
      <c r="D68" s="4">
        <v>6883</v>
      </c>
      <c r="E68" s="4">
        <v>6606</v>
      </c>
      <c r="F68" s="4">
        <v>8638</v>
      </c>
      <c r="G68" s="4">
        <v>7061</v>
      </c>
      <c r="H68" s="4">
        <v>6488</v>
      </c>
    </row>
    <row r="69" spans="1:8" x14ac:dyDescent="0.3">
      <c r="A69" s="5" t="s">
        <v>222</v>
      </c>
      <c r="B69" s="4"/>
      <c r="C69" s="4">
        <v>79634</v>
      </c>
      <c r="D69" s="4">
        <v>81552</v>
      </c>
      <c r="E69" s="4">
        <v>87531</v>
      </c>
      <c r="F69" s="4">
        <v>91891</v>
      </c>
      <c r="G69" s="4">
        <v>83754</v>
      </c>
      <c r="H69" s="4">
        <v>90349</v>
      </c>
    </row>
    <row r="70" spans="1:8" x14ac:dyDescent="0.3">
      <c r="A70" s="5" t="s">
        <v>221</v>
      </c>
      <c r="B70" s="4"/>
      <c r="C70" s="4">
        <v>219295</v>
      </c>
      <c r="D70" s="4">
        <v>236495</v>
      </c>
      <c r="E70" s="4">
        <v>252496</v>
      </c>
      <c r="F70" s="4">
        <v>244860</v>
      </c>
      <c r="G70" s="4">
        <v>243197</v>
      </c>
      <c r="H70" s="4">
        <v>252399</v>
      </c>
    </row>
    <row r="71" spans="1:8" x14ac:dyDescent="0.3">
      <c r="A71" s="7"/>
    </row>
    <row r="72" spans="1:8" x14ac:dyDescent="0.3">
      <c r="A72" s="8" t="s">
        <v>220</v>
      </c>
    </row>
    <row r="73" spans="1:8" x14ac:dyDescent="0.3">
      <c r="A73" s="5" t="s">
        <v>49</v>
      </c>
      <c r="B73" s="4"/>
      <c r="C73" s="4">
        <v>511729</v>
      </c>
      <c r="D73" s="4">
        <v>521426</v>
      </c>
      <c r="E73" s="4">
        <v>556933</v>
      </c>
      <c r="F73" s="4">
        <v>569962</v>
      </c>
      <c r="G73" s="4">
        <v>608481</v>
      </c>
      <c r="H73" s="4">
        <v>645737</v>
      </c>
    </row>
    <row r="74" spans="1:8" x14ac:dyDescent="0.3">
      <c r="A74" s="5" t="s">
        <v>48</v>
      </c>
      <c r="B74" s="4"/>
      <c r="C74" s="4">
        <v>374623</v>
      </c>
      <c r="D74" s="4">
        <v>383618</v>
      </c>
      <c r="E74" s="4">
        <v>409163</v>
      </c>
      <c r="F74" s="4">
        <v>418342</v>
      </c>
      <c r="G74" s="4">
        <v>452776</v>
      </c>
      <c r="H74" s="4">
        <v>478289</v>
      </c>
    </row>
    <row r="75" spans="1:8" x14ac:dyDescent="0.3">
      <c r="A75" s="5" t="s">
        <v>219</v>
      </c>
      <c r="B75" s="4"/>
      <c r="C75" s="4">
        <v>106957</v>
      </c>
      <c r="D75" s="4">
        <v>107669</v>
      </c>
      <c r="E75" s="4">
        <v>111733</v>
      </c>
      <c r="F75" s="4">
        <v>115204</v>
      </c>
      <c r="G75" s="4">
        <v>122966</v>
      </c>
      <c r="H75" s="4">
        <v>130878</v>
      </c>
    </row>
    <row r="76" spans="1:8" x14ac:dyDescent="0.3">
      <c r="A76" s="5" t="s">
        <v>45</v>
      </c>
      <c r="B76" s="4"/>
      <c r="C76" s="4">
        <v>30149</v>
      </c>
      <c r="D76" s="4">
        <v>30139</v>
      </c>
      <c r="E76" s="4">
        <v>36037</v>
      </c>
      <c r="F76" s="4">
        <v>36416</v>
      </c>
      <c r="G76" s="4">
        <v>32739</v>
      </c>
      <c r="H76" s="4">
        <v>36570</v>
      </c>
    </row>
    <row r="77" spans="1:8" x14ac:dyDescent="0.3">
      <c r="A77" s="5" t="s">
        <v>193</v>
      </c>
      <c r="B77" s="4"/>
      <c r="C77" s="4">
        <v>10678</v>
      </c>
      <c r="D77" s="4">
        <v>10987</v>
      </c>
      <c r="E77" s="4">
        <v>11152</v>
      </c>
      <c r="F77" s="4">
        <v>10658</v>
      </c>
      <c r="G77" s="4">
        <v>10945</v>
      </c>
      <c r="H77" s="4">
        <v>11853</v>
      </c>
    </row>
    <row r="78" spans="1:8" x14ac:dyDescent="0.3">
      <c r="A78" s="5" t="s">
        <v>218</v>
      </c>
      <c r="B78" s="6"/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 x14ac:dyDescent="0.3">
      <c r="A79" s="5" t="s">
        <v>217</v>
      </c>
      <c r="B79" s="6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 x14ac:dyDescent="0.3">
      <c r="A80" s="5" t="s">
        <v>216</v>
      </c>
      <c r="B80" s="6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11" x14ac:dyDescent="0.3">
      <c r="A81" s="5" t="s">
        <v>43</v>
      </c>
      <c r="B81" s="4"/>
      <c r="C81" s="4">
        <v>19471</v>
      </c>
      <c r="D81" s="4">
        <v>19152</v>
      </c>
      <c r="E81" s="4">
        <v>24885</v>
      </c>
      <c r="F81" s="4">
        <v>25758</v>
      </c>
      <c r="G81" s="4">
        <v>21794</v>
      </c>
      <c r="H81" s="4">
        <v>24717</v>
      </c>
    </row>
    <row r="82" spans="1:11" x14ac:dyDescent="0.3">
      <c r="A82" s="5" t="s">
        <v>42</v>
      </c>
      <c r="B82" s="4"/>
      <c r="C82" s="4">
        <v>2346</v>
      </c>
      <c r="D82" s="4">
        <v>2599</v>
      </c>
      <c r="E82" s="4">
        <v>2315</v>
      </c>
      <c r="F82" s="4">
        <v>1994</v>
      </c>
      <c r="G82" s="4">
        <v>2128</v>
      </c>
      <c r="H82" s="4">
        <v>2683</v>
      </c>
    </row>
    <row r="83" spans="1:11" x14ac:dyDescent="0.3">
      <c r="A83" s="5" t="s">
        <v>215</v>
      </c>
      <c r="B83" s="4"/>
      <c r="C83" s="4">
        <v>-625</v>
      </c>
      <c r="D83" s="4">
        <v>4685</v>
      </c>
      <c r="E83" s="4">
        <v>3549</v>
      </c>
      <c r="F83" s="4">
        <v>383</v>
      </c>
      <c r="G83" s="4">
        <v>1124</v>
      </c>
      <c r="H83" s="4">
        <v>-93</v>
      </c>
    </row>
    <row r="84" spans="1:11" x14ac:dyDescent="0.3">
      <c r="A84" s="5" t="s">
        <v>214</v>
      </c>
      <c r="B84" s="4"/>
      <c r="C84" s="4">
        <v>-842</v>
      </c>
      <c r="D84" s="4">
        <v>4496</v>
      </c>
      <c r="E84" s="4">
        <v>3428</v>
      </c>
      <c r="F84" s="4">
        <v>225</v>
      </c>
      <c r="G84" s="4">
        <v>870</v>
      </c>
      <c r="H84" s="4">
        <v>-639</v>
      </c>
    </row>
    <row r="85" spans="1:11" x14ac:dyDescent="0.3">
      <c r="A85" s="5" t="s">
        <v>213</v>
      </c>
      <c r="B85" s="4"/>
      <c r="C85" s="4">
        <v>217</v>
      </c>
      <c r="D85" s="4">
        <v>189</v>
      </c>
      <c r="E85" s="4">
        <v>121</v>
      </c>
      <c r="F85" s="4">
        <v>158</v>
      </c>
      <c r="G85" s="4">
        <v>254</v>
      </c>
      <c r="H85" s="4">
        <v>546</v>
      </c>
    </row>
    <row r="86" spans="1:11" x14ac:dyDescent="0.3">
      <c r="A86" s="5" t="s">
        <v>40</v>
      </c>
      <c r="B86" s="4"/>
      <c r="C86" s="4">
        <v>-5040</v>
      </c>
      <c r="D86" s="4">
        <v>-1122</v>
      </c>
      <c r="E86" s="4">
        <v>-5555</v>
      </c>
      <c r="F86" s="4">
        <v>-5451</v>
      </c>
      <c r="G86" s="4">
        <v>-3774</v>
      </c>
      <c r="H86" s="4">
        <v>-93</v>
      </c>
    </row>
    <row r="87" spans="1:11" x14ac:dyDescent="0.3">
      <c r="A87" s="5" t="s">
        <v>39</v>
      </c>
      <c r="B87" s="4"/>
      <c r="C87" s="4">
        <v>11460</v>
      </c>
      <c r="D87" s="4">
        <v>20116</v>
      </c>
      <c r="E87" s="4">
        <v>20564</v>
      </c>
      <c r="F87" s="4">
        <v>18696</v>
      </c>
      <c r="G87" s="4">
        <v>17016</v>
      </c>
      <c r="H87" s="4">
        <v>21848</v>
      </c>
    </row>
    <row r="88" spans="1:11" x14ac:dyDescent="0.3">
      <c r="A88" s="5" t="s">
        <v>212</v>
      </c>
      <c r="B88" s="4"/>
      <c r="C88" s="4">
        <v>15875</v>
      </c>
      <c r="D88" s="4">
        <v>17098</v>
      </c>
      <c r="E88" s="4">
        <v>20003</v>
      </c>
      <c r="F88" s="4">
        <v>15536</v>
      </c>
      <c r="G88" s="4">
        <v>15089</v>
      </c>
      <c r="H88" s="4">
        <v>20092</v>
      </c>
    </row>
    <row r="89" spans="1:11" x14ac:dyDescent="0.3">
      <c r="A89" s="5" t="s">
        <v>211</v>
      </c>
      <c r="B89" s="4"/>
      <c r="C89" s="4">
        <v>-4415</v>
      </c>
      <c r="D89" s="4">
        <v>3018</v>
      </c>
      <c r="E89" s="4">
        <v>561</v>
      </c>
      <c r="F89" s="4">
        <v>3160</v>
      </c>
      <c r="G89" s="4">
        <v>1927</v>
      </c>
      <c r="H89" s="4">
        <v>1756</v>
      </c>
    </row>
    <row r="90" spans="1:11" x14ac:dyDescent="0.3">
      <c r="A90" s="5" t="s">
        <v>38</v>
      </c>
      <c r="B90" s="4"/>
      <c r="C90" s="4">
        <v>4281</v>
      </c>
      <c r="D90" s="4">
        <v>4915</v>
      </c>
      <c r="E90" s="4">
        <v>6858</v>
      </c>
      <c r="F90" s="4">
        <v>4756</v>
      </c>
      <c r="G90" s="4">
        <v>5724</v>
      </c>
      <c r="H90" s="4">
        <v>5578</v>
      </c>
    </row>
    <row r="91" spans="1:11" x14ac:dyDescent="0.3">
      <c r="A91" s="5" t="s">
        <v>210</v>
      </c>
      <c r="B91" s="4"/>
      <c r="C91" s="4">
        <v>-470</v>
      </c>
      <c r="D91" s="4">
        <v>329</v>
      </c>
      <c r="E91" s="4">
        <v>1998</v>
      </c>
      <c r="F91" s="4">
        <v>-759</v>
      </c>
      <c r="G91" s="4">
        <v>430</v>
      </c>
      <c r="H91" s="4">
        <v>-171</v>
      </c>
    </row>
    <row r="92" spans="1:11" x14ac:dyDescent="0.3">
      <c r="A92" s="5" t="s">
        <v>209</v>
      </c>
      <c r="B92" s="4"/>
      <c r="C92" s="4">
        <v>-361</v>
      </c>
      <c r="D92" s="4">
        <v>663</v>
      </c>
      <c r="E92" s="4">
        <v>2316</v>
      </c>
      <c r="F92" s="4">
        <v>-671</v>
      </c>
      <c r="G92" s="4">
        <v>608</v>
      </c>
      <c r="H92" s="4">
        <v>-438</v>
      </c>
      <c r="I92" s="3"/>
      <c r="J92" s="3"/>
      <c r="K92" s="3"/>
    </row>
    <row r="93" spans="1:11" x14ac:dyDescent="0.3">
      <c r="A93" s="5" t="s">
        <v>208</v>
      </c>
      <c r="B93" s="4"/>
      <c r="C93" s="4">
        <v>-93</v>
      </c>
      <c r="D93" s="4">
        <v>-369</v>
      </c>
      <c r="E93" s="4">
        <v>-341</v>
      </c>
      <c r="F93" s="4">
        <v>-129</v>
      </c>
      <c r="G93" s="4">
        <v>-297</v>
      </c>
      <c r="H93" s="4">
        <v>126</v>
      </c>
      <c r="I93" s="3"/>
      <c r="J93" s="3"/>
      <c r="K93" s="3"/>
    </row>
    <row r="94" spans="1:11" x14ac:dyDescent="0.3">
      <c r="A94" s="5" t="s">
        <v>207</v>
      </c>
      <c r="B94" s="4"/>
      <c r="C94" s="4">
        <v>-16</v>
      </c>
      <c r="D94" s="4">
        <v>35</v>
      </c>
      <c r="E94" s="4">
        <v>23</v>
      </c>
      <c r="F94" s="4">
        <v>41</v>
      </c>
      <c r="G94" s="4">
        <v>119</v>
      </c>
      <c r="H94" s="4">
        <v>141</v>
      </c>
      <c r="I94" s="3"/>
      <c r="J94" s="3"/>
      <c r="K94" s="3"/>
    </row>
    <row r="95" spans="1:11" x14ac:dyDescent="0.3">
      <c r="A95" s="5" t="s">
        <v>206</v>
      </c>
      <c r="B95" s="4"/>
      <c r="C95" s="4">
        <v>2763</v>
      </c>
      <c r="D95" s="4">
        <v>2794</v>
      </c>
      <c r="E95" s="4">
        <v>2991</v>
      </c>
      <c r="F95" s="4">
        <v>3313</v>
      </c>
      <c r="G95" s="4">
        <v>2030</v>
      </c>
      <c r="H95" s="4">
        <v>3215</v>
      </c>
      <c r="I95" s="3"/>
      <c r="J95" s="3"/>
      <c r="K95" s="3"/>
    </row>
    <row r="96" spans="1:11" x14ac:dyDescent="0.3">
      <c r="A96" s="5" t="s">
        <v>205</v>
      </c>
      <c r="B96" s="4"/>
      <c r="C96" s="4">
        <v>1495</v>
      </c>
      <c r="D96" s="4">
        <v>1205</v>
      </c>
      <c r="E96" s="4">
        <v>1127</v>
      </c>
      <c r="F96" s="4">
        <v>1553</v>
      </c>
      <c r="G96" s="4">
        <v>2654</v>
      </c>
      <c r="H96" s="4">
        <v>1772</v>
      </c>
      <c r="I96" s="3"/>
      <c r="J96" s="3"/>
      <c r="K96" s="3"/>
    </row>
    <row r="97" spans="1:11" x14ac:dyDescent="0.3">
      <c r="A97" s="5" t="s">
        <v>204</v>
      </c>
      <c r="B97" s="4"/>
      <c r="C97" s="4">
        <v>493</v>
      </c>
      <c r="D97" s="4">
        <v>587</v>
      </c>
      <c r="E97" s="4">
        <v>742</v>
      </c>
      <c r="F97" s="4">
        <v>649</v>
      </c>
      <c r="G97" s="4">
        <v>610</v>
      </c>
      <c r="H97" s="4">
        <v>762</v>
      </c>
      <c r="I97" s="3"/>
      <c r="J97" s="3"/>
      <c r="K97" s="3"/>
    </row>
    <row r="98" spans="1:11" x14ac:dyDescent="0.3">
      <c r="A98" s="5" t="s">
        <v>203</v>
      </c>
      <c r="B98" s="4"/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3"/>
      <c r="J98" s="3"/>
      <c r="K98" s="3"/>
    </row>
    <row r="99" spans="1:11" x14ac:dyDescent="0.3">
      <c r="A99" s="5" t="s">
        <v>37</v>
      </c>
      <c r="B99" s="4"/>
      <c r="C99" s="4">
        <v>509</v>
      </c>
      <c r="D99" s="4">
        <v>320</v>
      </c>
      <c r="E99" s="4">
        <v>196</v>
      </c>
      <c r="F99" s="4">
        <v>267</v>
      </c>
      <c r="G99" s="4">
        <v>-388</v>
      </c>
      <c r="H99" s="4">
        <v>759</v>
      </c>
      <c r="I99" s="3"/>
      <c r="J99" s="3"/>
      <c r="K99" s="3"/>
    </row>
    <row r="100" spans="1:11" x14ac:dyDescent="0.3">
      <c r="A100" s="5" t="s">
        <v>194</v>
      </c>
      <c r="B100" s="4"/>
      <c r="C100" s="4">
        <v>6670</v>
      </c>
      <c r="D100" s="4">
        <v>14881</v>
      </c>
      <c r="E100" s="4">
        <v>13510</v>
      </c>
      <c r="F100" s="4">
        <v>13673</v>
      </c>
      <c r="G100" s="4">
        <v>11680</v>
      </c>
      <c r="H100" s="4">
        <v>15511</v>
      </c>
      <c r="I100" s="3"/>
      <c r="J100" s="3"/>
      <c r="K100" s="3"/>
    </row>
    <row r="101" spans="1:11" x14ac:dyDescent="0.3">
      <c r="A101" s="5" t="s">
        <v>202</v>
      </c>
      <c r="B101" s="4"/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3"/>
      <c r="J101" s="3"/>
      <c r="K101" s="3"/>
    </row>
    <row r="102" spans="1:11" x14ac:dyDescent="0.3">
      <c r="A102" s="5" t="s">
        <v>201</v>
      </c>
      <c r="B102" s="4"/>
      <c r="C102" s="4">
        <v>6670</v>
      </c>
      <c r="D102" s="4">
        <v>14881</v>
      </c>
      <c r="E102" s="4">
        <v>13510</v>
      </c>
      <c r="F102" s="4">
        <v>13673</v>
      </c>
      <c r="G102" s="4">
        <v>11680</v>
      </c>
      <c r="H102" s="4">
        <v>15511</v>
      </c>
      <c r="I102" s="3"/>
      <c r="J102" s="3"/>
      <c r="K102" s="3"/>
    </row>
    <row r="103" spans="1:11" x14ac:dyDescent="0.3">
      <c r="A103" s="5" t="s">
        <v>200</v>
      </c>
      <c r="B103" s="4"/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3"/>
      <c r="J103" s="3"/>
      <c r="K103" s="3"/>
    </row>
    <row r="104" spans="1:11" x14ac:dyDescent="0.3">
      <c r="A104" s="5" t="s">
        <v>199</v>
      </c>
      <c r="B104" s="4"/>
      <c r="C104" s="4">
        <v>6670</v>
      </c>
      <c r="D104" s="4">
        <v>14881</v>
      </c>
      <c r="E104" s="4">
        <v>13510</v>
      </c>
      <c r="F104" s="4">
        <v>13673</v>
      </c>
      <c r="G104" s="4">
        <v>11680</v>
      </c>
      <c r="H104" s="4">
        <v>15511</v>
      </c>
      <c r="I104" s="3"/>
      <c r="J104" s="3"/>
      <c r="K104" s="3"/>
    </row>
    <row r="105" spans="1:11" x14ac:dyDescent="0.3">
      <c r="A105" s="5" t="s">
        <v>192</v>
      </c>
      <c r="B105" s="4"/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3"/>
      <c r="J105" s="3"/>
      <c r="K105" s="3"/>
    </row>
    <row r="106" spans="1:11" x14ac:dyDescent="0.3">
      <c r="A106" s="5" t="s">
        <v>198</v>
      </c>
      <c r="B106" s="4"/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3"/>
      <c r="J106" s="3"/>
      <c r="K106" s="3"/>
    </row>
    <row r="107" spans="1:11" x14ac:dyDescent="0.3">
      <c r="A107" s="5" t="s">
        <v>197</v>
      </c>
      <c r="B107" s="4"/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3"/>
      <c r="J107" s="3"/>
      <c r="K107" s="3"/>
    </row>
    <row r="108" spans="1:11" x14ac:dyDescent="0.3">
      <c r="A108" s="5" t="s">
        <v>196</v>
      </c>
      <c r="B108" s="4"/>
      <c r="C108" s="4">
        <v>6670</v>
      </c>
      <c r="D108" s="4">
        <v>14881</v>
      </c>
      <c r="E108" s="4">
        <v>13510</v>
      </c>
      <c r="F108" s="4">
        <v>13673</v>
      </c>
      <c r="G108" s="4">
        <v>11680</v>
      </c>
      <c r="H108" s="4">
        <v>15511</v>
      </c>
      <c r="I108" s="3"/>
      <c r="J108" s="3"/>
      <c r="K108" s="3"/>
    </row>
    <row r="109" spans="1:11" x14ac:dyDescent="0.3">
      <c r="A109" s="5" t="s">
        <v>33</v>
      </c>
      <c r="B109" s="4"/>
      <c r="C109" s="4">
        <v>6670</v>
      </c>
      <c r="D109" s="4">
        <v>14881</v>
      </c>
      <c r="E109" s="4">
        <v>13510</v>
      </c>
      <c r="F109" s="4">
        <v>13673</v>
      </c>
      <c r="G109" s="4">
        <v>11680</v>
      </c>
      <c r="H109" s="4">
        <v>15511</v>
      </c>
      <c r="I109" s="3"/>
      <c r="J109" s="3"/>
      <c r="K109" s="3"/>
    </row>
    <row r="110" spans="1:11" x14ac:dyDescent="0.3">
      <c r="A110" s="7"/>
      <c r="I110" s="3"/>
      <c r="J110" s="3"/>
      <c r="K110" s="3"/>
    </row>
    <row r="111" spans="1:11" x14ac:dyDescent="0.3">
      <c r="A111" s="8" t="s">
        <v>26</v>
      </c>
      <c r="I111" s="3"/>
      <c r="J111" s="3"/>
      <c r="K111" s="3"/>
    </row>
    <row r="112" spans="1:11" x14ac:dyDescent="0.3">
      <c r="A112" s="7" t="s">
        <v>195</v>
      </c>
      <c r="I112" s="3"/>
      <c r="J112" s="3"/>
      <c r="K112" s="3"/>
    </row>
    <row r="113" spans="1:11" x14ac:dyDescent="0.3">
      <c r="A113" s="5" t="s">
        <v>194</v>
      </c>
      <c r="B113" s="4"/>
      <c r="C113" s="4">
        <v>7179</v>
      </c>
      <c r="D113" s="4">
        <v>15201</v>
      </c>
      <c r="E113" s="4">
        <v>13706</v>
      </c>
      <c r="F113" s="4">
        <v>13940</v>
      </c>
      <c r="G113" s="4">
        <v>11292</v>
      </c>
      <c r="H113" s="4">
        <v>16270</v>
      </c>
      <c r="I113" s="3"/>
      <c r="J113" s="3"/>
      <c r="K113" s="3"/>
    </row>
    <row r="114" spans="1:11" x14ac:dyDescent="0.3">
      <c r="A114" s="5" t="s">
        <v>193</v>
      </c>
      <c r="B114" s="4"/>
      <c r="C114" s="4">
        <v>10678</v>
      </c>
      <c r="D114" s="4">
        <v>10987</v>
      </c>
      <c r="E114" s="4">
        <v>11152</v>
      </c>
      <c r="F114" s="4">
        <v>10658</v>
      </c>
      <c r="G114" s="4">
        <v>10945</v>
      </c>
      <c r="H114" s="4">
        <v>11853</v>
      </c>
      <c r="I114" s="3"/>
      <c r="J114" s="3"/>
      <c r="K114" s="3"/>
    </row>
    <row r="115" spans="1:11" x14ac:dyDescent="0.3">
      <c r="A115" s="5" t="s">
        <v>192</v>
      </c>
      <c r="B115" s="4"/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3"/>
      <c r="J115" s="3"/>
      <c r="K115" s="3"/>
    </row>
    <row r="116" spans="1:11" x14ac:dyDescent="0.3">
      <c r="A116" s="5" t="s">
        <v>191</v>
      </c>
      <c r="B116" s="4"/>
      <c r="C116" s="4">
        <v>-499</v>
      </c>
      <c r="D116" s="4">
        <v>320</v>
      </c>
      <c r="E116" s="4">
        <v>1911</v>
      </c>
      <c r="F116" s="4">
        <v>-755</v>
      </c>
      <c r="G116" s="4">
        <v>449</v>
      </c>
      <c r="H116" s="4">
        <v>-175</v>
      </c>
      <c r="I116" s="3"/>
      <c r="J116" s="3"/>
      <c r="K116" s="3"/>
    </row>
    <row r="117" spans="1:11" x14ac:dyDescent="0.3">
      <c r="A117" s="5" t="s">
        <v>190</v>
      </c>
      <c r="B117" s="6"/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3"/>
      <c r="J117" s="3"/>
      <c r="K117" s="3"/>
    </row>
    <row r="118" spans="1:11" x14ac:dyDescent="0.3">
      <c r="A118" s="5" t="s">
        <v>189</v>
      </c>
      <c r="B118" s="4"/>
      <c r="C118" s="4">
        <v>4850</v>
      </c>
      <c r="D118" s="4">
        <v>15</v>
      </c>
      <c r="E118" s="4">
        <v>8401</v>
      </c>
      <c r="F118" s="4">
        <v>433</v>
      </c>
      <c r="G118" s="4">
        <v>0</v>
      </c>
      <c r="H118" s="6">
        <v>0</v>
      </c>
      <c r="I118" s="3"/>
      <c r="J118" s="3"/>
      <c r="K118" s="3"/>
    </row>
    <row r="119" spans="1:11" x14ac:dyDescent="0.3">
      <c r="A119" s="5" t="s">
        <v>188</v>
      </c>
      <c r="B119" s="4"/>
      <c r="C119" s="4">
        <v>5250</v>
      </c>
      <c r="D119" s="4">
        <v>-941</v>
      </c>
      <c r="E119" s="4">
        <v>-7068</v>
      </c>
      <c r="F119" s="4">
        <v>6502</v>
      </c>
      <c r="G119" s="4">
        <v>3602</v>
      </c>
      <c r="H119" s="4">
        <v>5835</v>
      </c>
      <c r="I119" s="3"/>
      <c r="J119" s="3"/>
      <c r="K119" s="3"/>
    </row>
    <row r="120" spans="1:11" x14ac:dyDescent="0.3">
      <c r="A120" s="5" t="s">
        <v>187</v>
      </c>
      <c r="B120" s="4"/>
      <c r="C120" s="4">
        <v>-368</v>
      </c>
      <c r="D120" s="4">
        <v>154</v>
      </c>
      <c r="E120" s="4">
        <v>-1086</v>
      </c>
      <c r="F120" s="4">
        <v>-1796</v>
      </c>
      <c r="G120" s="4">
        <v>240</v>
      </c>
      <c r="H120" s="4">
        <v>-797</v>
      </c>
      <c r="I120" s="3"/>
      <c r="J120" s="3"/>
      <c r="K120" s="3"/>
    </row>
    <row r="121" spans="1:11" x14ac:dyDescent="0.3">
      <c r="A121" s="5" t="s">
        <v>186</v>
      </c>
      <c r="B121" s="4"/>
      <c r="C121" s="4">
        <v>-1311</v>
      </c>
      <c r="D121" s="4">
        <v>-300</v>
      </c>
      <c r="E121" s="4">
        <v>-2395</v>
      </c>
      <c r="F121" s="4">
        <v>-11764</v>
      </c>
      <c r="G121" s="4">
        <v>-528</v>
      </c>
      <c r="H121" s="4">
        <v>2017</v>
      </c>
      <c r="I121" s="3"/>
      <c r="J121" s="3"/>
      <c r="K121" s="3"/>
    </row>
    <row r="122" spans="1:11" x14ac:dyDescent="0.3">
      <c r="A122" s="5" t="s">
        <v>185</v>
      </c>
      <c r="B122" s="4"/>
      <c r="C122" s="4">
        <v>2014</v>
      </c>
      <c r="D122" s="4">
        <v>-88</v>
      </c>
      <c r="E122" s="4">
        <v>11589</v>
      </c>
      <c r="F122" s="4">
        <v>6924</v>
      </c>
      <c r="G122" s="4">
        <v>2968</v>
      </c>
      <c r="H122" s="4">
        <v>1191</v>
      </c>
      <c r="I122" s="3"/>
      <c r="J122" s="3"/>
      <c r="K122" s="3"/>
    </row>
    <row r="123" spans="1:11" x14ac:dyDescent="0.3">
      <c r="A123" s="5" t="s">
        <v>184</v>
      </c>
      <c r="B123" s="4"/>
      <c r="C123" s="4">
        <v>-40</v>
      </c>
      <c r="D123" s="4">
        <v>-93</v>
      </c>
      <c r="E123" s="4">
        <v>-136</v>
      </c>
      <c r="F123" s="4">
        <v>39</v>
      </c>
      <c r="G123" s="4">
        <v>-127</v>
      </c>
      <c r="H123" s="4">
        <v>-468</v>
      </c>
      <c r="I123" s="3"/>
      <c r="J123" s="3"/>
      <c r="K123" s="3"/>
    </row>
    <row r="124" spans="1:11" x14ac:dyDescent="0.3">
      <c r="A124" s="5" t="s">
        <v>183</v>
      </c>
      <c r="B124" s="4"/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3"/>
      <c r="J124" s="3"/>
      <c r="K124" s="3"/>
    </row>
    <row r="125" spans="1:11" x14ac:dyDescent="0.3">
      <c r="A125" s="5" t="s">
        <v>23</v>
      </c>
      <c r="B125" s="4"/>
      <c r="C125" s="4">
        <v>27753</v>
      </c>
      <c r="D125" s="4">
        <v>25255</v>
      </c>
      <c r="E125" s="4">
        <v>36074</v>
      </c>
      <c r="F125" s="4">
        <v>24181</v>
      </c>
      <c r="G125" s="4">
        <v>28841</v>
      </c>
      <c r="H125" s="4">
        <v>35726</v>
      </c>
      <c r="I125" s="3"/>
      <c r="J125" s="3"/>
      <c r="K125" s="3"/>
    </row>
    <row r="126" spans="1:11" x14ac:dyDescent="0.3">
      <c r="A126" s="7" t="s">
        <v>182</v>
      </c>
      <c r="I126" s="3"/>
      <c r="J126" s="3"/>
      <c r="K126" s="3"/>
    </row>
    <row r="127" spans="1:11" x14ac:dyDescent="0.3">
      <c r="A127" s="5" t="s">
        <v>181</v>
      </c>
      <c r="B127" s="6"/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3"/>
      <c r="J127" s="3"/>
      <c r="K127" s="3"/>
    </row>
    <row r="128" spans="1:11" x14ac:dyDescent="0.3">
      <c r="A128" s="5" t="s">
        <v>180</v>
      </c>
      <c r="B128" s="4"/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3"/>
      <c r="J128" s="3"/>
      <c r="K128" s="3"/>
    </row>
    <row r="129" spans="1:11" x14ac:dyDescent="0.3">
      <c r="A129" s="5" t="s">
        <v>179</v>
      </c>
      <c r="B129" s="4"/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3"/>
      <c r="J129" s="3"/>
      <c r="K129" s="3"/>
    </row>
    <row r="130" spans="1:11" x14ac:dyDescent="0.3">
      <c r="A130" s="5" t="s">
        <v>22</v>
      </c>
      <c r="B130" s="4"/>
      <c r="C130" s="4">
        <v>10344</v>
      </c>
      <c r="D130" s="4">
        <v>10705</v>
      </c>
      <c r="E130" s="4">
        <v>10264</v>
      </c>
      <c r="F130" s="4">
        <v>13106</v>
      </c>
      <c r="G130" s="4">
        <v>16857</v>
      </c>
      <c r="H130" s="4">
        <v>20606</v>
      </c>
      <c r="I130" s="3"/>
      <c r="J130" s="3"/>
      <c r="K130" s="3"/>
    </row>
    <row r="131" spans="1:11" x14ac:dyDescent="0.3">
      <c r="A131" s="5" t="s">
        <v>178</v>
      </c>
      <c r="B131" s="4"/>
      <c r="C131" s="4">
        <v>519</v>
      </c>
      <c r="D131" s="4">
        <v>321</v>
      </c>
      <c r="E131" s="4">
        <v>215</v>
      </c>
      <c r="F131" s="4">
        <v>394</v>
      </c>
      <c r="G131" s="4">
        <v>170</v>
      </c>
      <c r="H131" s="4">
        <v>250</v>
      </c>
      <c r="I131" s="3"/>
      <c r="J131" s="3"/>
      <c r="K131" s="3"/>
    </row>
    <row r="132" spans="1:11" x14ac:dyDescent="0.3">
      <c r="A132" s="5" t="s">
        <v>20</v>
      </c>
      <c r="B132" s="6"/>
      <c r="C132" s="4">
        <v>14656</v>
      </c>
      <c r="D132" s="4">
        <v>56</v>
      </c>
      <c r="E132" s="4">
        <v>180</v>
      </c>
      <c r="F132" s="4">
        <v>359</v>
      </c>
      <c r="G132" s="4">
        <v>740</v>
      </c>
      <c r="H132" s="4">
        <v>9</v>
      </c>
      <c r="I132" s="3"/>
      <c r="J132" s="3"/>
      <c r="K132" s="3"/>
    </row>
    <row r="133" spans="1:11" x14ac:dyDescent="0.3">
      <c r="A133" s="5" t="s">
        <v>177</v>
      </c>
      <c r="B133" s="4"/>
      <c r="C133" s="4">
        <v>445</v>
      </c>
      <c r="D133" s="4">
        <v>1312</v>
      </c>
      <c r="E133" s="4">
        <v>158</v>
      </c>
      <c r="F133" s="4">
        <v>7056</v>
      </c>
      <c r="G133" s="4">
        <v>-295</v>
      </c>
      <c r="H133" s="4">
        <v>-922</v>
      </c>
      <c r="I133" s="3"/>
      <c r="J133" s="3"/>
      <c r="K133" s="3"/>
    </row>
    <row r="134" spans="1:11" x14ac:dyDescent="0.3">
      <c r="A134" s="5" t="s">
        <v>176</v>
      </c>
      <c r="B134" s="4"/>
      <c r="C134" s="4">
        <v>-24036</v>
      </c>
      <c r="D134" s="4">
        <v>-9128</v>
      </c>
      <c r="E134" s="4">
        <v>-10071</v>
      </c>
      <c r="F134" s="4">
        <v>-6015</v>
      </c>
      <c r="G134" s="4">
        <v>-17722</v>
      </c>
      <c r="H134" s="4">
        <v>-21287</v>
      </c>
      <c r="I134" s="3"/>
      <c r="J134" s="3"/>
      <c r="K134" s="3"/>
    </row>
    <row r="135" spans="1:11" x14ac:dyDescent="0.3">
      <c r="A135" s="7" t="s">
        <v>175</v>
      </c>
      <c r="I135" s="3"/>
      <c r="J135" s="3"/>
      <c r="K135" s="3"/>
    </row>
    <row r="136" spans="1:11" x14ac:dyDescent="0.3">
      <c r="A136" s="5" t="s">
        <v>174</v>
      </c>
      <c r="B136" s="4"/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3"/>
      <c r="J136" s="3"/>
      <c r="K136" s="3"/>
    </row>
    <row r="137" spans="1:11" x14ac:dyDescent="0.3">
      <c r="A137" s="5" t="s">
        <v>173</v>
      </c>
      <c r="B137" s="4"/>
      <c r="C137" s="4">
        <v>7410</v>
      </c>
      <c r="D137" s="4">
        <v>5717</v>
      </c>
      <c r="E137" s="4">
        <v>2625</v>
      </c>
      <c r="F137" s="4">
        <v>9787</v>
      </c>
      <c r="G137" s="4">
        <v>9920</v>
      </c>
      <c r="H137" s="4">
        <v>2779</v>
      </c>
      <c r="I137" s="3"/>
      <c r="J137" s="3"/>
      <c r="K137" s="3"/>
    </row>
    <row r="138" spans="1:11" x14ac:dyDescent="0.3">
      <c r="A138" s="5" t="s">
        <v>18</v>
      </c>
      <c r="B138" s="4"/>
      <c r="C138" s="4">
        <v>6102</v>
      </c>
      <c r="D138" s="4">
        <v>6048</v>
      </c>
      <c r="E138" s="4">
        <v>6116</v>
      </c>
      <c r="F138" s="4">
        <v>6152</v>
      </c>
      <c r="G138" s="4">
        <v>6114</v>
      </c>
      <c r="H138" s="4">
        <v>6140</v>
      </c>
      <c r="I138" s="3"/>
      <c r="J138" s="3"/>
      <c r="K138" s="3"/>
    </row>
    <row r="139" spans="1:11" x14ac:dyDescent="0.3">
      <c r="A139" s="5" t="s">
        <v>172</v>
      </c>
      <c r="B139" s="4"/>
      <c r="C139" s="4">
        <v>15872</v>
      </c>
      <c r="D139" s="4">
        <v>5492</v>
      </c>
      <c r="E139" s="4">
        <v>0</v>
      </c>
      <c r="F139" s="4">
        <v>6945</v>
      </c>
      <c r="G139" s="4">
        <v>5041</v>
      </c>
      <c r="H139" s="4">
        <v>4967</v>
      </c>
      <c r="I139" s="3"/>
      <c r="J139" s="3"/>
      <c r="K139" s="3"/>
    </row>
    <row r="140" spans="1:11" x14ac:dyDescent="0.3">
      <c r="A140" s="5" t="s">
        <v>171</v>
      </c>
      <c r="B140" s="4"/>
      <c r="C140" s="4">
        <v>3784</v>
      </c>
      <c r="D140" s="4">
        <v>1907</v>
      </c>
      <c r="E140" s="4">
        <v>5382</v>
      </c>
      <c r="F140" s="4">
        <v>13010</v>
      </c>
      <c r="G140" s="4">
        <v>2689</v>
      </c>
      <c r="H140" s="4">
        <v>4217</v>
      </c>
      <c r="I140" s="3"/>
      <c r="J140" s="3"/>
      <c r="K140" s="3"/>
    </row>
    <row r="141" spans="1:11" x14ac:dyDescent="0.3">
      <c r="A141" s="5" t="s">
        <v>170</v>
      </c>
      <c r="B141" s="4"/>
      <c r="C141" s="4">
        <v>-53</v>
      </c>
      <c r="D141" s="4">
        <v>-4656</v>
      </c>
      <c r="E141" s="4">
        <v>-324</v>
      </c>
      <c r="F141" s="4">
        <v>193</v>
      </c>
      <c r="G141" s="4">
        <v>-34</v>
      </c>
      <c r="H141" s="4">
        <v>512</v>
      </c>
      <c r="I141" s="3"/>
      <c r="J141" s="3"/>
      <c r="K141" s="3"/>
    </row>
    <row r="142" spans="1:11" x14ac:dyDescent="0.3">
      <c r="A142" s="5" t="s">
        <v>169</v>
      </c>
      <c r="B142" s="4"/>
      <c r="C142" s="4">
        <v>-1060</v>
      </c>
      <c r="D142" s="4">
        <v>-1463</v>
      </c>
      <c r="E142" s="4">
        <v>-1670</v>
      </c>
      <c r="F142" s="4">
        <v>-1017</v>
      </c>
      <c r="G142" s="4">
        <v>-3323</v>
      </c>
      <c r="H142" s="4">
        <v>-5757</v>
      </c>
      <c r="I142" s="3"/>
      <c r="J142" s="3"/>
      <c r="K142" s="3"/>
    </row>
    <row r="143" spans="1:11" x14ac:dyDescent="0.3">
      <c r="A143" s="5" t="s">
        <v>168</v>
      </c>
      <c r="B143" s="4"/>
      <c r="C143" s="4">
        <v>-2537</v>
      </c>
      <c r="D143" s="4">
        <v>-14299</v>
      </c>
      <c r="E143" s="4">
        <v>-16117</v>
      </c>
      <c r="F143" s="4">
        <v>-22828</v>
      </c>
      <c r="G143" s="4">
        <v>-17039</v>
      </c>
      <c r="H143" s="4">
        <v>-13414</v>
      </c>
      <c r="I143" s="3"/>
      <c r="J143" s="3"/>
      <c r="K143" s="3"/>
    </row>
    <row r="144" spans="1:11" x14ac:dyDescent="0.3">
      <c r="A144" s="5" t="s">
        <v>167</v>
      </c>
      <c r="B144" s="4"/>
      <c r="C144" s="4">
        <v>-438</v>
      </c>
      <c r="D144" s="4">
        <v>-69</v>
      </c>
      <c r="E144" s="4">
        <v>235</v>
      </c>
      <c r="F144" s="4">
        <v>-140</v>
      </c>
      <c r="G144" s="4">
        <v>-73</v>
      </c>
      <c r="H144" s="4">
        <v>69</v>
      </c>
      <c r="I144" s="3"/>
      <c r="J144" s="3"/>
      <c r="K144" s="3"/>
    </row>
    <row r="145" spans="1:11" x14ac:dyDescent="0.3">
      <c r="A145" s="5" t="s">
        <v>166</v>
      </c>
      <c r="B145" s="4"/>
      <c r="C145" s="4">
        <v>742</v>
      </c>
      <c r="D145" s="4">
        <v>1759</v>
      </c>
      <c r="E145" s="4">
        <v>10121</v>
      </c>
      <c r="F145" s="4">
        <v>-4802</v>
      </c>
      <c r="G145" s="4">
        <v>-5993</v>
      </c>
      <c r="H145" s="4">
        <v>1094</v>
      </c>
      <c r="I145" s="3"/>
      <c r="J145" s="3"/>
      <c r="K145" s="3"/>
    </row>
    <row r="146" spans="1:11" x14ac:dyDescent="0.3">
      <c r="A146" s="7" t="s">
        <v>165</v>
      </c>
      <c r="I146" s="3"/>
      <c r="J146" s="3"/>
      <c r="K146" s="3"/>
    </row>
    <row r="147" spans="1:11" x14ac:dyDescent="0.3">
      <c r="A147" s="5" t="s">
        <v>164</v>
      </c>
      <c r="B147" s="4"/>
      <c r="C147" s="4">
        <v>2348</v>
      </c>
      <c r="D147" s="4">
        <v>2464</v>
      </c>
      <c r="E147" s="4">
        <v>2216</v>
      </c>
      <c r="F147" s="4">
        <v>2237</v>
      </c>
      <c r="G147" s="4">
        <v>2051</v>
      </c>
      <c r="H147" s="4">
        <v>2519</v>
      </c>
      <c r="I147" s="3"/>
      <c r="J147" s="3"/>
      <c r="K147" s="3"/>
    </row>
    <row r="148" spans="1:11" x14ac:dyDescent="0.3">
      <c r="A148" s="5" t="s">
        <v>15</v>
      </c>
      <c r="B148" s="4"/>
      <c r="C148" s="4">
        <v>3982</v>
      </c>
      <c r="D148" s="4">
        <v>3616</v>
      </c>
      <c r="E148" s="4">
        <v>5271</v>
      </c>
      <c r="F148" s="4">
        <v>5918</v>
      </c>
      <c r="G148" s="4">
        <v>3310</v>
      </c>
      <c r="H148" s="4">
        <v>5879</v>
      </c>
      <c r="I148" s="3"/>
      <c r="J148" s="3"/>
      <c r="K148" s="3"/>
    </row>
    <row r="149" spans="1:11" x14ac:dyDescent="0.3">
      <c r="A149" s="7"/>
      <c r="I149" s="3"/>
      <c r="J149" s="3"/>
      <c r="K149" s="3"/>
    </row>
    <row r="150" spans="1:11" x14ac:dyDescent="0.3">
      <c r="A150" s="8" t="s">
        <v>163</v>
      </c>
      <c r="I150" s="3"/>
      <c r="J150" s="3"/>
      <c r="K150" s="3"/>
    </row>
    <row r="151" spans="1:11" x14ac:dyDescent="0.3">
      <c r="A151" s="5" t="s">
        <v>162</v>
      </c>
      <c r="B151" s="6"/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3"/>
      <c r="J151" s="3"/>
      <c r="K151" s="3"/>
    </row>
    <row r="152" spans="1:11" x14ac:dyDescent="0.3">
      <c r="A152" s="5" t="s">
        <v>161</v>
      </c>
      <c r="B152" s="6"/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3"/>
      <c r="J152" s="3"/>
      <c r="K152" s="3"/>
    </row>
    <row r="153" spans="1:11" x14ac:dyDescent="0.3">
      <c r="A153" s="5" t="s">
        <v>11</v>
      </c>
      <c r="B153" s="4"/>
      <c r="C153" s="4">
        <v>3</v>
      </c>
      <c r="D153" s="4">
        <v>3</v>
      </c>
      <c r="E153" s="4">
        <v>3</v>
      </c>
      <c r="F153" s="4">
        <v>3</v>
      </c>
      <c r="G153" s="4">
        <v>3</v>
      </c>
      <c r="H153" s="4">
        <v>3</v>
      </c>
      <c r="I153" s="3"/>
      <c r="J153" s="3"/>
      <c r="K153" s="3"/>
    </row>
    <row r="154" spans="1:11" x14ac:dyDescent="0.3">
      <c r="A154" s="5" t="s">
        <v>10</v>
      </c>
      <c r="B154" s="4"/>
      <c r="C154" s="4">
        <v>3500</v>
      </c>
      <c r="D154" s="4">
        <v>3700</v>
      </c>
      <c r="E154" s="4">
        <v>3200</v>
      </c>
      <c r="F154" s="4">
        <v>3900</v>
      </c>
      <c r="G154" s="4">
        <v>4100</v>
      </c>
      <c r="H154" s="4">
        <v>4400</v>
      </c>
      <c r="I154" s="3"/>
      <c r="J154" s="3"/>
      <c r="K154" s="3"/>
    </row>
    <row r="155" spans="1:11" x14ac:dyDescent="0.3">
      <c r="A155" s="5" t="s">
        <v>160</v>
      </c>
      <c r="B155" s="6"/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3"/>
      <c r="J155" s="3"/>
      <c r="K155" s="3"/>
    </row>
    <row r="156" spans="1:11" x14ac:dyDescent="0.3">
      <c r="A156" s="5" t="s">
        <v>159</v>
      </c>
      <c r="B156" s="6"/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3"/>
      <c r="J156" s="3"/>
      <c r="K156" s="3"/>
    </row>
    <row r="157" spans="1:11" x14ac:dyDescent="0.3">
      <c r="A157" s="5" t="s">
        <v>158</v>
      </c>
      <c r="B157" s="4"/>
      <c r="C157" s="4">
        <v>223.96799999999999</v>
      </c>
      <c r="D157" s="4">
        <v>217.84</v>
      </c>
      <c r="E157" s="4">
        <v>214.673</v>
      </c>
      <c r="F157" s="4">
        <v>209.87</v>
      </c>
      <c r="G157" s="4">
        <v>205.465</v>
      </c>
      <c r="H157" s="4">
        <v>200.34399999999999</v>
      </c>
      <c r="I157" s="3"/>
      <c r="J157" s="3"/>
      <c r="K157" s="3"/>
    </row>
    <row r="158" spans="1:11" x14ac:dyDescent="0.3">
      <c r="A158" s="5" t="s">
        <v>157</v>
      </c>
      <c r="B158" s="4"/>
      <c r="C158" s="4">
        <v>2354476548</v>
      </c>
      <c r="D158" s="4">
        <v>1515368398</v>
      </c>
      <c r="E158" s="4">
        <v>2288428565</v>
      </c>
      <c r="F158" s="4">
        <v>2092396457</v>
      </c>
      <c r="G158" s="4">
        <v>1995829615</v>
      </c>
      <c r="H158" s="4">
        <v>1576430301</v>
      </c>
      <c r="I158" s="3"/>
      <c r="J158" s="3"/>
      <c r="K158" s="3"/>
    </row>
    <row r="159" spans="1:11" x14ac:dyDescent="0.3">
      <c r="A159" s="5" t="s">
        <v>156</v>
      </c>
      <c r="B159" s="6"/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3"/>
      <c r="J159" s="3"/>
      <c r="K159" s="3"/>
    </row>
    <row r="160" spans="1:11" x14ac:dyDescent="0.3">
      <c r="A160" s="5" t="s">
        <v>155</v>
      </c>
      <c r="B160" s="4"/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3"/>
      <c r="J160" s="3"/>
      <c r="K160" s="3"/>
    </row>
    <row r="161" spans="1:11" x14ac:dyDescent="0.3">
      <c r="A161" s="5" t="s">
        <v>154</v>
      </c>
      <c r="B161" s="4"/>
      <c r="C161" s="4">
        <v>6203</v>
      </c>
      <c r="D161" s="4">
        <v>3766</v>
      </c>
      <c r="E161" s="4">
        <v>3627</v>
      </c>
      <c r="F161" s="4">
        <v>4899</v>
      </c>
      <c r="G161" s="4">
        <v>4290</v>
      </c>
      <c r="H161" s="4">
        <v>3600</v>
      </c>
      <c r="I161" s="3"/>
      <c r="J161" s="3"/>
      <c r="K161" s="3"/>
    </row>
    <row r="162" spans="1:11" x14ac:dyDescent="0.3">
      <c r="A162" s="5" t="s">
        <v>153</v>
      </c>
      <c r="B162" s="4"/>
      <c r="C162" s="4">
        <v>3874</v>
      </c>
      <c r="D162" s="4">
        <v>3470</v>
      </c>
      <c r="E162" s="4">
        <v>5272</v>
      </c>
      <c r="F162" s="4">
        <v>4176</v>
      </c>
      <c r="G162" s="4">
        <v>3316</v>
      </c>
      <c r="H162" s="4">
        <v>4409</v>
      </c>
      <c r="I162" s="3"/>
      <c r="J162" s="3"/>
      <c r="K162" s="3"/>
    </row>
    <row r="163" spans="1:11" x14ac:dyDescent="0.3">
      <c r="A163" s="5" t="s">
        <v>152</v>
      </c>
      <c r="B163" s="4"/>
      <c r="C163" s="4">
        <v>3511</v>
      </c>
      <c r="D163" s="4">
        <v>5204</v>
      </c>
      <c r="E163" s="4">
        <v>4856</v>
      </c>
      <c r="F163" s="4">
        <v>1412</v>
      </c>
      <c r="G163" s="4">
        <v>3375</v>
      </c>
      <c r="H163" s="4">
        <v>2583</v>
      </c>
      <c r="I163" s="3"/>
      <c r="J163" s="3"/>
      <c r="K163" s="3"/>
    </row>
    <row r="164" spans="1:11" x14ac:dyDescent="0.3">
      <c r="A164" s="5" t="s">
        <v>151</v>
      </c>
      <c r="B164" s="4"/>
      <c r="C164" s="4">
        <v>5188</v>
      </c>
      <c r="D164" s="4">
        <v>4859</v>
      </c>
      <c r="E164" s="4">
        <v>1929</v>
      </c>
      <c r="F164" s="4">
        <v>3239</v>
      </c>
      <c r="G164" s="4">
        <v>2362</v>
      </c>
      <c r="H164" s="4">
        <v>4094</v>
      </c>
      <c r="I164" s="3"/>
      <c r="J164" s="3"/>
      <c r="K164" s="3"/>
    </row>
    <row r="165" spans="1:11" x14ac:dyDescent="0.3">
      <c r="A165" s="5" t="s">
        <v>150</v>
      </c>
      <c r="B165" s="4"/>
      <c r="C165" s="4">
        <v>1800</v>
      </c>
      <c r="D165" s="4">
        <v>1500</v>
      </c>
      <c r="E165" s="4">
        <v>750</v>
      </c>
      <c r="F165" s="4">
        <v>8021</v>
      </c>
      <c r="G165" s="4">
        <v>8021</v>
      </c>
      <c r="H165" s="4">
        <v>6271</v>
      </c>
      <c r="I165" s="3"/>
      <c r="J165" s="3"/>
      <c r="K165" s="3"/>
    </row>
    <row r="166" spans="1:11" x14ac:dyDescent="0.3">
      <c r="A166" s="5" t="s">
        <v>149</v>
      </c>
      <c r="B166" s="4"/>
      <c r="C166" s="4">
        <v>7420</v>
      </c>
      <c r="D166" s="4">
        <v>4818</v>
      </c>
      <c r="E166" s="4">
        <v>4338</v>
      </c>
      <c r="F166" s="4">
        <v>4243</v>
      </c>
      <c r="G166" s="4">
        <v>4843</v>
      </c>
      <c r="H166" s="4">
        <v>5709</v>
      </c>
      <c r="I166" s="3"/>
      <c r="J166" s="3"/>
      <c r="K166" s="3"/>
    </row>
    <row r="167" spans="1:11" x14ac:dyDescent="0.3">
      <c r="A167" s="5" t="s">
        <v>148</v>
      </c>
      <c r="B167" s="4"/>
      <c r="C167" s="4">
        <v>-265</v>
      </c>
      <c r="D167" s="4">
        <v>-104</v>
      </c>
      <c r="E167" s="4">
        <v>3</v>
      </c>
      <c r="F167" s="4">
        <v>0</v>
      </c>
      <c r="G167" s="4">
        <v>0</v>
      </c>
      <c r="H167" s="4">
        <v>0</v>
      </c>
      <c r="I167" s="3"/>
      <c r="J167" s="3"/>
      <c r="K167" s="3"/>
    </row>
    <row r="168" spans="1:11" x14ac:dyDescent="0.3">
      <c r="A168" s="5" t="s">
        <v>9</v>
      </c>
      <c r="B168" s="4"/>
      <c r="C168" s="4">
        <v>2.08</v>
      </c>
      <c r="D168" s="4">
        <v>2.12</v>
      </c>
      <c r="E168" s="4">
        <v>2.16</v>
      </c>
      <c r="F168" s="4">
        <v>2.2000000000000002</v>
      </c>
      <c r="G168" s="4">
        <v>2.2400000000000002</v>
      </c>
      <c r="H168" s="4">
        <v>2.2799999999999998</v>
      </c>
      <c r="I168" s="3"/>
      <c r="J168" s="3"/>
      <c r="K168" s="3"/>
    </row>
    <row r="169" spans="1:11" x14ac:dyDescent="0.3">
      <c r="A169" s="5" t="s">
        <v>8</v>
      </c>
      <c r="B169" s="4"/>
      <c r="C169" s="4">
        <v>6102</v>
      </c>
      <c r="D169" s="4">
        <v>6048</v>
      </c>
      <c r="E169" s="4">
        <v>6116</v>
      </c>
      <c r="F169" s="4">
        <v>6152</v>
      </c>
      <c r="G169" s="4">
        <v>6114</v>
      </c>
      <c r="H169" s="4">
        <v>6140</v>
      </c>
      <c r="I169" s="3"/>
      <c r="J169" s="3"/>
      <c r="K169" s="3"/>
    </row>
    <row r="170" spans="1:11" x14ac:dyDescent="0.3">
      <c r="A170" s="5" t="s">
        <v>7</v>
      </c>
      <c r="B170" s="4"/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3"/>
      <c r="J170" s="3"/>
      <c r="K170" s="3"/>
    </row>
    <row r="171" spans="1:11" x14ac:dyDescent="0.3">
      <c r="A171" s="5" t="s">
        <v>147</v>
      </c>
      <c r="B171" s="4"/>
      <c r="C171" s="4">
        <v>2200</v>
      </c>
      <c r="D171" s="4">
        <v>2200</v>
      </c>
      <c r="E171" s="4">
        <v>2300</v>
      </c>
      <c r="F171" s="4">
        <v>2300</v>
      </c>
      <c r="G171" s="4">
        <v>2100</v>
      </c>
      <c r="H171" s="4">
        <v>2100</v>
      </c>
      <c r="I171" s="3"/>
      <c r="J171" s="3"/>
      <c r="K171" s="3"/>
    </row>
    <row r="172" spans="1:11" x14ac:dyDescent="0.3">
      <c r="A172" s="5" t="s">
        <v>146</v>
      </c>
      <c r="B172" s="4"/>
      <c r="C172" s="4">
        <v>219295</v>
      </c>
      <c r="D172" s="4">
        <v>236495</v>
      </c>
      <c r="E172" s="4">
        <v>252496</v>
      </c>
      <c r="F172" s="4">
        <v>244860</v>
      </c>
      <c r="G172" s="4">
        <v>243197</v>
      </c>
      <c r="H172" s="4">
        <v>252399</v>
      </c>
      <c r="I172" s="3"/>
      <c r="J172" s="3"/>
      <c r="K172" s="3"/>
    </row>
    <row r="173" spans="1:11" x14ac:dyDescent="0.3">
      <c r="A173" s="5" t="s">
        <v>145</v>
      </c>
      <c r="B173" s="6"/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3"/>
      <c r="J173" s="3"/>
      <c r="K173" s="3"/>
    </row>
    <row r="174" spans="1:11" x14ac:dyDescent="0.3">
      <c r="A174" s="5" t="s">
        <v>144</v>
      </c>
      <c r="B174" s="6"/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3"/>
      <c r="J174" s="3"/>
      <c r="K174" s="3"/>
    </row>
    <row r="175" spans="1:11" x14ac:dyDescent="0.3">
      <c r="A175" s="5" t="s">
        <v>143</v>
      </c>
      <c r="B175" s="4"/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3"/>
      <c r="J175" s="3"/>
      <c r="K175" s="3"/>
    </row>
    <row r="176" spans="1:11" x14ac:dyDescent="0.3">
      <c r="A176" s="5" t="s">
        <v>142</v>
      </c>
      <c r="B176" s="6"/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3"/>
      <c r="J176" s="3"/>
      <c r="K176" s="3"/>
    </row>
    <row r="177" spans="1:11" x14ac:dyDescent="0.3">
      <c r="A177" s="5" t="s">
        <v>141</v>
      </c>
      <c r="B177" s="6"/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3"/>
      <c r="J177" s="3"/>
      <c r="K177" s="3"/>
    </row>
    <row r="178" spans="1:11" x14ac:dyDescent="0.3">
      <c r="A178" s="5" t="s">
        <v>61</v>
      </c>
      <c r="B178" s="4"/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3"/>
      <c r="J178" s="3"/>
      <c r="K178" s="3"/>
    </row>
    <row r="179" spans="1:11" x14ac:dyDescent="0.3">
      <c r="A179" s="5" t="s">
        <v>140</v>
      </c>
      <c r="B179" s="6"/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3"/>
      <c r="J179" s="3"/>
      <c r="K179" s="3"/>
    </row>
    <row r="180" spans="1:11" x14ac:dyDescent="0.3">
      <c r="A180" s="5" t="s">
        <v>139</v>
      </c>
      <c r="B180" s="6"/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3"/>
      <c r="J180" s="3"/>
      <c r="K180" s="3"/>
    </row>
    <row r="181" spans="1:11" x14ac:dyDescent="0.3">
      <c r="A181" s="5" t="s">
        <v>138</v>
      </c>
      <c r="B181" s="4"/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3"/>
      <c r="J181" s="3"/>
      <c r="K181" s="3"/>
    </row>
    <row r="182" spans="1:11" x14ac:dyDescent="0.3">
      <c r="A182" s="5" t="s">
        <v>137</v>
      </c>
      <c r="B182" s="4"/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3"/>
      <c r="J182" s="3"/>
      <c r="K182" s="3"/>
    </row>
    <row r="183" spans="1:11" x14ac:dyDescent="0.3">
      <c r="A183" s="5" t="s">
        <v>6</v>
      </c>
      <c r="B183" s="4"/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3"/>
      <c r="J183" s="3"/>
      <c r="K183" s="3"/>
    </row>
    <row r="184" spans="1:11" x14ac:dyDescent="0.3">
      <c r="A184" s="5" t="s">
        <v>5</v>
      </c>
      <c r="B184" s="4"/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3"/>
      <c r="J184" s="3"/>
      <c r="K184" s="3"/>
    </row>
    <row r="185" spans="1:11" x14ac:dyDescent="0.3">
      <c r="A185" s="5" t="s">
        <v>136</v>
      </c>
      <c r="B185" s="4"/>
      <c r="C185" s="4">
        <v>12760</v>
      </c>
      <c r="D185" s="4">
        <v>26535</v>
      </c>
      <c r="E185" s="4">
        <v>17647</v>
      </c>
      <c r="F185" s="4">
        <v>18109</v>
      </c>
      <c r="G185" s="4">
        <v>18474</v>
      </c>
      <c r="H185" s="4">
        <v>19528</v>
      </c>
      <c r="I185" s="3"/>
      <c r="J185" s="3"/>
      <c r="K185" s="3"/>
    </row>
    <row r="186" spans="1:11" x14ac:dyDescent="0.3">
      <c r="A186" s="5" t="s">
        <v>4</v>
      </c>
      <c r="B186" s="4"/>
      <c r="C186" s="4">
        <v>93.15</v>
      </c>
      <c r="D186" s="4">
        <v>118.84</v>
      </c>
      <c r="E186" s="4">
        <v>144.15</v>
      </c>
      <c r="F186" s="4">
        <v>144.69</v>
      </c>
      <c r="G186" s="4">
        <v>141.79</v>
      </c>
      <c r="H186" s="4">
        <v>157.65</v>
      </c>
      <c r="I186" s="3"/>
      <c r="J186" s="3"/>
      <c r="K186" s="3"/>
    </row>
    <row r="187" spans="1:11" x14ac:dyDescent="0.3">
      <c r="A187" s="5" t="s">
        <v>135</v>
      </c>
      <c r="B187" s="4"/>
      <c r="C187" s="4">
        <v>109.98</v>
      </c>
      <c r="D187" s="4">
        <v>125.38</v>
      </c>
      <c r="E187" s="4">
        <v>153.65969999999999</v>
      </c>
      <c r="F187" s="4">
        <v>152.57</v>
      </c>
      <c r="G187" s="4">
        <v>160.77000000000001</v>
      </c>
      <c r="H187" s="4">
        <v>169.94</v>
      </c>
      <c r="I187" s="3"/>
      <c r="J187" s="3"/>
      <c r="K187" s="3"/>
    </row>
    <row r="188" spans="1:11" x14ac:dyDescent="0.3">
      <c r="A188" s="5" t="s">
        <v>134</v>
      </c>
      <c r="B188" s="4"/>
      <c r="C188" s="4">
        <v>81.78</v>
      </c>
      <c r="D188" s="4">
        <v>91.64</v>
      </c>
      <c r="E188" s="4">
        <v>102</v>
      </c>
      <c r="F188" s="4">
        <v>126.28</v>
      </c>
      <c r="G188" s="4">
        <v>117.27</v>
      </c>
      <c r="H188" s="4">
        <v>136.09</v>
      </c>
      <c r="I188" s="3"/>
      <c r="J188" s="3"/>
      <c r="K188" s="3"/>
    </row>
    <row r="189" spans="1:11" x14ac:dyDescent="0.3">
      <c r="A189" s="5" t="s">
        <v>3</v>
      </c>
      <c r="B189" s="4"/>
      <c r="C189" s="4">
        <v>95.83</v>
      </c>
      <c r="D189" s="4">
        <v>114.49</v>
      </c>
      <c r="E189" s="4">
        <v>140.49</v>
      </c>
      <c r="F189" s="4">
        <v>139.81</v>
      </c>
      <c r="G189" s="4">
        <v>143.87</v>
      </c>
      <c r="H189" s="4">
        <v>165.25</v>
      </c>
      <c r="I189" s="3"/>
      <c r="J189" s="3"/>
      <c r="K189" s="3"/>
    </row>
    <row r="190" spans="1:11" x14ac:dyDescent="0.3">
      <c r="A190" s="5" t="s">
        <v>2</v>
      </c>
      <c r="B190" s="6"/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3"/>
      <c r="J190" s="3"/>
      <c r="K190" s="3"/>
    </row>
    <row r="191" spans="1:11" x14ac:dyDescent="0.3">
      <c r="A191" s="5" t="s">
        <v>133</v>
      </c>
      <c r="B191" s="4"/>
      <c r="C191" s="4">
        <v>1856</v>
      </c>
      <c r="D191" s="4">
        <v>2587</v>
      </c>
      <c r="E191" s="4">
        <v>2189</v>
      </c>
      <c r="F191" s="4">
        <v>2164</v>
      </c>
      <c r="G191" s="4">
        <v>2166</v>
      </c>
      <c r="H191" s="4">
        <v>2181</v>
      </c>
      <c r="I191" s="3"/>
      <c r="J191" s="3"/>
      <c r="K191" s="3"/>
    </row>
    <row r="192" spans="1:11" x14ac:dyDescent="0.3">
      <c r="A192" s="5" t="s">
        <v>132</v>
      </c>
      <c r="B192" s="4"/>
      <c r="C192" s="4">
        <v>1655</v>
      </c>
      <c r="D192" s="4">
        <v>2358</v>
      </c>
      <c r="E192" s="4">
        <v>2017</v>
      </c>
      <c r="F192" s="4">
        <v>2040</v>
      </c>
      <c r="G192" s="4">
        <v>2077</v>
      </c>
      <c r="H192" s="4">
        <v>2107</v>
      </c>
      <c r="I192" s="3"/>
      <c r="J192" s="3"/>
      <c r="K192" s="3"/>
    </row>
    <row r="193" spans="1:11" x14ac:dyDescent="0.3">
      <c r="A193" s="5" t="s">
        <v>131</v>
      </c>
      <c r="B193" s="4"/>
      <c r="C193" s="4">
        <v>1420</v>
      </c>
      <c r="D193" s="4">
        <v>2138</v>
      </c>
      <c r="E193" s="4">
        <v>1861</v>
      </c>
      <c r="F193" s="4">
        <v>1876</v>
      </c>
      <c r="G193" s="4">
        <v>1917</v>
      </c>
      <c r="H193" s="4">
        <v>1970</v>
      </c>
      <c r="I193" s="3"/>
      <c r="J193" s="3"/>
      <c r="K193" s="3"/>
    </row>
    <row r="194" spans="1:11" x14ac:dyDescent="0.3">
      <c r="A194" s="5" t="s">
        <v>130</v>
      </c>
      <c r="B194" s="4"/>
      <c r="C194" s="4">
        <v>1233</v>
      </c>
      <c r="D194" s="4">
        <v>1932</v>
      </c>
      <c r="E194" s="4">
        <v>1697</v>
      </c>
      <c r="F194" s="4">
        <v>1713</v>
      </c>
      <c r="G194" s="4">
        <v>1735</v>
      </c>
      <c r="H194" s="4">
        <v>1815</v>
      </c>
      <c r="I194" s="3"/>
      <c r="J194" s="3"/>
      <c r="K194" s="3"/>
    </row>
    <row r="195" spans="1:11" x14ac:dyDescent="0.3">
      <c r="A195" s="5" t="s">
        <v>129</v>
      </c>
      <c r="B195" s="4"/>
      <c r="C195" s="4">
        <v>1063</v>
      </c>
      <c r="D195" s="4">
        <v>1728</v>
      </c>
      <c r="E195" s="4">
        <v>1527</v>
      </c>
      <c r="F195" s="4">
        <v>1551</v>
      </c>
      <c r="G195" s="4">
        <v>1556</v>
      </c>
      <c r="H195" s="4">
        <v>1645</v>
      </c>
      <c r="I195" s="3"/>
      <c r="J195" s="3"/>
      <c r="K195" s="3"/>
    </row>
    <row r="196" spans="1:11" x14ac:dyDescent="0.3">
      <c r="A196" s="5" t="s">
        <v>1</v>
      </c>
      <c r="B196" s="4"/>
      <c r="C196" s="4">
        <v>3000</v>
      </c>
      <c r="D196" s="4">
        <v>3361</v>
      </c>
      <c r="E196" s="4">
        <v>3403</v>
      </c>
      <c r="F196" s="4">
        <v>3097</v>
      </c>
      <c r="G196" s="4">
        <v>3205</v>
      </c>
      <c r="H196" s="4">
        <v>3359</v>
      </c>
      <c r="I196" s="3"/>
      <c r="J196" s="3"/>
      <c r="K196" s="3"/>
    </row>
    <row r="197" spans="1:11" x14ac:dyDescent="0.3">
      <c r="A197" s="5" t="s">
        <v>128</v>
      </c>
      <c r="B197" s="6"/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3"/>
      <c r="J197" s="3"/>
      <c r="K197" s="3"/>
    </row>
    <row r="198" spans="1:11" x14ac:dyDescent="0.3">
      <c r="A198" s="5" t="s">
        <v>0</v>
      </c>
      <c r="B198" s="4"/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3"/>
      <c r="J198" s="3"/>
      <c r="K198" s="3"/>
    </row>
    <row r="199" spans="1:11" x14ac:dyDescent="0.3">
      <c r="A199" s="5" t="s">
        <v>127</v>
      </c>
      <c r="B199" s="6"/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3"/>
      <c r="J199" s="3"/>
      <c r="K199" s="3"/>
    </row>
    <row r="200" spans="1:11" x14ac:dyDescent="0.3">
      <c r="A200" s="5" t="s">
        <v>126</v>
      </c>
      <c r="B200" s="4"/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3"/>
      <c r="J200" s="3"/>
      <c r="K200" s="3"/>
    </row>
    <row r="201" spans="1:11" x14ac:dyDescent="0.3">
      <c r="A201" s="5" t="s">
        <v>125</v>
      </c>
      <c r="B201" s="4"/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3"/>
      <c r="J201" s="3"/>
      <c r="K201" s="3"/>
    </row>
    <row r="202" spans="1:11" x14ac:dyDescent="0.3">
      <c r="A202" s="5" t="s">
        <v>124</v>
      </c>
      <c r="B202" s="4"/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3"/>
      <c r="J202" s="3"/>
      <c r="K202" s="3"/>
    </row>
    <row r="203" spans="1:11" x14ac:dyDescent="0.3">
      <c r="A203" s="7"/>
      <c r="I203" s="3"/>
      <c r="J203" s="3"/>
      <c r="K203" s="3"/>
    </row>
    <row r="204" spans="1:11" x14ac:dyDescent="0.3">
      <c r="A204" s="8" t="s">
        <v>123</v>
      </c>
      <c r="I204" s="3"/>
      <c r="J204" s="3"/>
      <c r="K204" s="3"/>
    </row>
    <row r="205" spans="1:11" x14ac:dyDescent="0.3">
      <c r="A205" s="5" t="s">
        <v>122</v>
      </c>
      <c r="B205" s="4"/>
      <c r="C205" s="4">
        <v>6283</v>
      </c>
      <c r="D205" s="4">
        <v>6284</v>
      </c>
      <c r="E205" s="4">
        <v>6516</v>
      </c>
      <c r="F205" s="4">
        <v>8280</v>
      </c>
      <c r="G205" s="4">
        <v>7933</v>
      </c>
      <c r="H205" s="4">
        <v>8796</v>
      </c>
      <c r="I205" s="3"/>
      <c r="J205" s="3"/>
      <c r="K205" s="3"/>
    </row>
    <row r="206" spans="1:11" x14ac:dyDescent="0.3">
      <c r="A206" s="5" t="s">
        <v>121</v>
      </c>
      <c r="B206" s="4"/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3"/>
      <c r="J206" s="3"/>
      <c r="K206" s="3"/>
    </row>
    <row r="207" spans="1:11" x14ac:dyDescent="0.3">
      <c r="A207" s="5" t="s">
        <v>120</v>
      </c>
      <c r="B207" s="4"/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3"/>
      <c r="J207" s="3"/>
      <c r="K207" s="3"/>
    </row>
    <row r="208" spans="1:11" x14ac:dyDescent="0.3">
      <c r="A208" s="5" t="s">
        <v>84</v>
      </c>
      <c r="B208" s="4"/>
      <c r="C208" s="4">
        <v>6283</v>
      </c>
      <c r="D208" s="4">
        <v>6284</v>
      </c>
      <c r="E208" s="4">
        <v>6516</v>
      </c>
      <c r="F208" s="4">
        <v>8280</v>
      </c>
      <c r="G208" s="4">
        <v>7933</v>
      </c>
      <c r="H208" s="4">
        <v>8796</v>
      </c>
      <c r="I208" s="3"/>
      <c r="J208" s="3"/>
      <c r="K208" s="3"/>
    </row>
    <row r="209" spans="1:11" x14ac:dyDescent="0.3">
      <c r="A209" s="5" t="s">
        <v>119</v>
      </c>
      <c r="B209" s="6"/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3"/>
      <c r="J209" s="3"/>
      <c r="K209" s="3"/>
    </row>
    <row r="210" spans="1:11" x14ac:dyDescent="0.3">
      <c r="A210" s="5" t="s">
        <v>118</v>
      </c>
      <c r="B210" s="6"/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3"/>
      <c r="J210" s="3"/>
      <c r="K210" s="3"/>
    </row>
    <row r="211" spans="1:11" x14ac:dyDescent="0.3">
      <c r="A211" s="5" t="s">
        <v>117</v>
      </c>
      <c r="B211" s="6"/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3"/>
      <c r="J211" s="3"/>
      <c r="K211" s="3"/>
    </row>
    <row r="212" spans="1:11" x14ac:dyDescent="0.3">
      <c r="A212" s="5" t="s">
        <v>116</v>
      </c>
      <c r="B212" s="6"/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3"/>
      <c r="J212" s="3"/>
      <c r="K212" s="3"/>
    </row>
    <row r="213" spans="1:11" x14ac:dyDescent="0.3">
      <c r="A213" s="5" t="s">
        <v>83</v>
      </c>
      <c r="B213" s="4"/>
      <c r="C213" s="4">
        <v>44269</v>
      </c>
      <c r="D213" s="4">
        <v>44435</v>
      </c>
      <c r="E213" s="4">
        <v>44949</v>
      </c>
      <c r="F213" s="4">
        <v>56511</v>
      </c>
      <c r="G213" s="4">
        <v>56576</v>
      </c>
      <c r="H213" s="4">
        <v>54892</v>
      </c>
      <c r="I213" s="3"/>
      <c r="J213" s="3"/>
      <c r="K213" s="3"/>
    </row>
    <row r="214" spans="1:11" x14ac:dyDescent="0.3">
      <c r="A214" s="5" t="s">
        <v>115</v>
      </c>
      <c r="B214" s="4"/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3"/>
      <c r="J214" s="3"/>
      <c r="K214" s="3"/>
    </row>
    <row r="215" spans="1:11" x14ac:dyDescent="0.3">
      <c r="A215" s="5" t="s">
        <v>114</v>
      </c>
      <c r="B215" s="4"/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3"/>
      <c r="J215" s="3"/>
      <c r="K215" s="3"/>
    </row>
    <row r="216" spans="1:11" x14ac:dyDescent="0.3">
      <c r="A216" s="5" t="s">
        <v>113</v>
      </c>
      <c r="B216" s="4"/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3"/>
      <c r="J216" s="3"/>
      <c r="K216" s="3"/>
    </row>
    <row r="217" spans="1:11" x14ac:dyDescent="0.3">
      <c r="A217" s="5" t="s">
        <v>112</v>
      </c>
      <c r="B217" s="4"/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3"/>
      <c r="J217" s="3"/>
      <c r="K217" s="3"/>
    </row>
    <row r="218" spans="1:11" x14ac:dyDescent="0.3">
      <c r="A218" s="5" t="s">
        <v>111</v>
      </c>
      <c r="B218" s="4"/>
      <c r="C218" s="4">
        <v>45661</v>
      </c>
      <c r="D218" s="4">
        <v>49180</v>
      </c>
      <c r="E218" s="4">
        <v>44306</v>
      </c>
      <c r="F218" s="4">
        <v>34864</v>
      </c>
      <c r="G218" s="4">
        <v>34649</v>
      </c>
      <c r="H218" s="4">
        <v>36132</v>
      </c>
      <c r="I218" s="3"/>
      <c r="J218" s="3"/>
      <c r="K218" s="3"/>
    </row>
    <row r="219" spans="1:11" x14ac:dyDescent="0.3">
      <c r="A219" s="5" t="s">
        <v>110</v>
      </c>
      <c r="B219" s="4"/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3"/>
      <c r="J219" s="3"/>
      <c r="K219" s="3"/>
    </row>
    <row r="220" spans="1:11" x14ac:dyDescent="0.3">
      <c r="A220" s="5" t="s">
        <v>109</v>
      </c>
      <c r="B220" s="4"/>
      <c r="C220" s="4">
        <v>0</v>
      </c>
      <c r="D220" s="4">
        <v>17964</v>
      </c>
      <c r="E220" s="4">
        <v>14375</v>
      </c>
      <c r="F220" s="4">
        <v>13009</v>
      </c>
      <c r="G220" s="4">
        <v>12828</v>
      </c>
      <c r="H220" s="4">
        <v>12943</v>
      </c>
      <c r="I220" s="3"/>
      <c r="J220" s="3"/>
      <c r="K220" s="3"/>
    </row>
    <row r="221" spans="1:11" x14ac:dyDescent="0.3">
      <c r="A221" s="5" t="s">
        <v>108</v>
      </c>
      <c r="B221" s="4"/>
      <c r="C221" s="4">
        <v>7412</v>
      </c>
      <c r="D221" s="4">
        <v>4818</v>
      </c>
      <c r="E221" s="4">
        <v>4338</v>
      </c>
      <c r="F221" s="4">
        <v>4243</v>
      </c>
      <c r="G221" s="4">
        <v>4843</v>
      </c>
      <c r="H221" s="4">
        <v>5709</v>
      </c>
      <c r="I221" s="3"/>
      <c r="J221" s="3"/>
      <c r="K221" s="3"/>
    </row>
    <row r="222" spans="1:11" x14ac:dyDescent="0.3">
      <c r="A222" s="5" t="s">
        <v>107</v>
      </c>
      <c r="B222" s="4"/>
      <c r="C222" s="4">
        <v>50203</v>
      </c>
      <c r="D222" s="4">
        <v>64192</v>
      </c>
      <c r="E222" s="4">
        <v>57950</v>
      </c>
      <c r="F222" s="4">
        <v>52116</v>
      </c>
      <c r="G222" s="4">
        <v>52320</v>
      </c>
      <c r="H222" s="4">
        <v>54784</v>
      </c>
      <c r="I222" s="3"/>
      <c r="J222" s="3"/>
      <c r="K222" s="3"/>
    </row>
    <row r="223" spans="1:11" x14ac:dyDescent="0.3">
      <c r="A223" s="7" t="s">
        <v>106</v>
      </c>
      <c r="I223" s="3"/>
      <c r="J223" s="3"/>
      <c r="K223" s="3"/>
    </row>
    <row r="224" spans="1:11" x14ac:dyDescent="0.3">
      <c r="A224" s="5" t="s">
        <v>104</v>
      </c>
      <c r="B224" s="6"/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3"/>
      <c r="J224" s="3"/>
      <c r="K224" s="3"/>
    </row>
    <row r="225" spans="1:11" x14ac:dyDescent="0.3">
      <c r="A225" s="5" t="s">
        <v>22</v>
      </c>
      <c r="B225" s="4"/>
      <c r="C225" s="4">
        <v>10344</v>
      </c>
      <c r="D225" s="4">
        <v>10705</v>
      </c>
      <c r="E225" s="4">
        <v>10264</v>
      </c>
      <c r="F225" s="4">
        <v>13106</v>
      </c>
      <c r="G225" s="4">
        <v>16857</v>
      </c>
      <c r="H225" s="4">
        <v>20606</v>
      </c>
      <c r="I225" s="3"/>
      <c r="J225" s="3"/>
      <c r="K225" s="3"/>
    </row>
    <row r="226" spans="1:11" x14ac:dyDescent="0.3">
      <c r="A226" s="5" t="s">
        <v>101</v>
      </c>
      <c r="B226" s="6"/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3"/>
      <c r="J226" s="3"/>
      <c r="K226" s="3"/>
    </row>
    <row r="227" spans="1:11" x14ac:dyDescent="0.3">
      <c r="A227" s="5" t="s">
        <v>100</v>
      </c>
      <c r="B227" s="6"/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3"/>
      <c r="J227" s="3"/>
      <c r="K227" s="3"/>
    </row>
    <row r="228" spans="1:11" x14ac:dyDescent="0.3">
      <c r="A228" s="5" t="s">
        <v>99</v>
      </c>
      <c r="B228" s="4"/>
      <c r="C228" s="4">
        <v>198570</v>
      </c>
      <c r="D228" s="4">
        <v>221563</v>
      </c>
      <c r="E228" s="4">
        <v>198218</v>
      </c>
      <c r="F228" s="4">
        <v>207433</v>
      </c>
      <c r="G228" s="4">
        <v>220844</v>
      </c>
      <c r="H228" s="4">
        <v>239387</v>
      </c>
      <c r="I228" s="3"/>
      <c r="J228" s="3"/>
      <c r="K228" s="3"/>
    </row>
    <row r="229" spans="1:11" x14ac:dyDescent="0.3">
      <c r="A229" s="7" t="s">
        <v>105</v>
      </c>
      <c r="I229" s="3"/>
      <c r="J229" s="3"/>
      <c r="K229" s="3"/>
    </row>
    <row r="230" spans="1:11" x14ac:dyDescent="0.3">
      <c r="A230" s="5" t="s">
        <v>104</v>
      </c>
      <c r="B230" s="6"/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3"/>
      <c r="J230" s="3"/>
      <c r="K230" s="3"/>
    </row>
    <row r="231" spans="1:11" x14ac:dyDescent="0.3">
      <c r="A231" s="5" t="s">
        <v>103</v>
      </c>
      <c r="B231" s="6"/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3"/>
      <c r="J231" s="3"/>
      <c r="K231" s="3"/>
    </row>
    <row r="232" spans="1:11" x14ac:dyDescent="0.3">
      <c r="A232" s="5" t="s">
        <v>102</v>
      </c>
      <c r="B232" s="6"/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3"/>
      <c r="J232" s="3"/>
      <c r="K232" s="3"/>
    </row>
    <row r="233" spans="1:11" x14ac:dyDescent="0.3">
      <c r="A233" s="5" t="s">
        <v>101</v>
      </c>
      <c r="B233" s="6"/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3"/>
      <c r="J233" s="3"/>
      <c r="K233" s="3"/>
    </row>
    <row r="234" spans="1:11" x14ac:dyDescent="0.3">
      <c r="A234" s="5" t="s">
        <v>100</v>
      </c>
      <c r="B234" s="6"/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3"/>
      <c r="J234" s="3"/>
      <c r="K234" s="3"/>
    </row>
    <row r="235" spans="1:11" x14ac:dyDescent="0.3">
      <c r="A235" s="5" t="s">
        <v>99</v>
      </c>
      <c r="B235" s="4"/>
      <c r="C235" s="4">
        <v>87175</v>
      </c>
      <c r="D235" s="4">
        <v>94514</v>
      </c>
      <c r="E235" s="4">
        <v>88370</v>
      </c>
      <c r="F235" s="4">
        <v>94809</v>
      </c>
      <c r="G235" s="4">
        <v>101610</v>
      </c>
      <c r="H235" s="4">
        <v>109049</v>
      </c>
      <c r="I235" s="3"/>
      <c r="J235" s="3"/>
      <c r="K235" s="3"/>
    </row>
    <row r="236" spans="1:11" x14ac:dyDescent="0.3">
      <c r="A236" s="5" t="s">
        <v>98</v>
      </c>
      <c r="B236" s="4"/>
      <c r="C236" s="4">
        <v>-361</v>
      </c>
      <c r="D236" s="4">
        <v>663</v>
      </c>
      <c r="E236" s="4">
        <v>2316</v>
      </c>
      <c r="F236" s="4">
        <v>-671</v>
      </c>
      <c r="G236" s="4">
        <v>608</v>
      </c>
      <c r="H236" s="4">
        <v>-438</v>
      </c>
      <c r="I236" s="3"/>
      <c r="J236" s="3"/>
      <c r="K236" s="3"/>
    </row>
    <row r="237" spans="1:11" x14ac:dyDescent="0.3">
      <c r="A237" s="5" t="s">
        <v>97</v>
      </c>
      <c r="B237" s="4"/>
      <c r="C237" s="4">
        <v>-93</v>
      </c>
      <c r="D237" s="4">
        <v>-369</v>
      </c>
      <c r="E237" s="4">
        <v>-341</v>
      </c>
      <c r="F237" s="4">
        <v>-129</v>
      </c>
      <c r="G237" s="4">
        <v>-297</v>
      </c>
      <c r="H237" s="4">
        <v>126</v>
      </c>
      <c r="I237" s="3"/>
      <c r="J237" s="3"/>
      <c r="K237" s="3"/>
    </row>
    <row r="238" spans="1:11" x14ac:dyDescent="0.3">
      <c r="A238" s="5" t="s">
        <v>96</v>
      </c>
      <c r="B238" s="4"/>
      <c r="C238" s="4">
        <v>-16</v>
      </c>
      <c r="D238" s="4">
        <v>35</v>
      </c>
      <c r="E238" s="4">
        <v>23</v>
      </c>
      <c r="F238" s="4">
        <v>41</v>
      </c>
      <c r="G238" s="4">
        <v>119</v>
      </c>
      <c r="H238" s="4">
        <v>141</v>
      </c>
      <c r="I238" s="3"/>
      <c r="J238" s="3"/>
      <c r="K238" s="3"/>
    </row>
    <row r="239" spans="1:11" x14ac:dyDescent="0.3">
      <c r="A239" s="5" t="s">
        <v>95</v>
      </c>
      <c r="B239" s="4"/>
      <c r="C239" s="4">
        <v>2763</v>
      </c>
      <c r="D239" s="4">
        <v>2794</v>
      </c>
      <c r="E239" s="4">
        <v>2991</v>
      </c>
      <c r="F239" s="4">
        <v>3313</v>
      </c>
      <c r="G239" s="4">
        <v>2030</v>
      </c>
      <c r="H239" s="4">
        <v>3215</v>
      </c>
      <c r="I239" s="3"/>
      <c r="J239" s="3"/>
      <c r="K239" s="3"/>
    </row>
    <row r="240" spans="1:11" x14ac:dyDescent="0.3">
      <c r="A240" s="5" t="s">
        <v>94</v>
      </c>
      <c r="B240" s="4"/>
      <c r="C240" s="4">
        <v>1495</v>
      </c>
      <c r="D240" s="4">
        <v>1205</v>
      </c>
      <c r="E240" s="4">
        <v>1127</v>
      </c>
      <c r="F240" s="4">
        <v>1553</v>
      </c>
      <c r="G240" s="4">
        <v>2654</v>
      </c>
      <c r="H240" s="4">
        <v>1772</v>
      </c>
      <c r="I240" s="3"/>
      <c r="J240" s="3"/>
      <c r="K240" s="3"/>
    </row>
    <row r="241" spans="1:11" x14ac:dyDescent="0.3">
      <c r="A241" s="5" t="s">
        <v>93</v>
      </c>
      <c r="B241" s="4"/>
      <c r="C241" s="4">
        <v>493</v>
      </c>
      <c r="D241" s="4">
        <v>587</v>
      </c>
      <c r="E241" s="4">
        <v>742</v>
      </c>
      <c r="F241" s="4">
        <v>649</v>
      </c>
      <c r="G241" s="4">
        <v>610</v>
      </c>
      <c r="H241" s="4">
        <v>762</v>
      </c>
      <c r="I241" s="3"/>
      <c r="J241" s="3"/>
      <c r="K241" s="3"/>
    </row>
    <row r="242" spans="1:11" x14ac:dyDescent="0.3">
      <c r="A242" s="5" t="s">
        <v>92</v>
      </c>
      <c r="B242" s="4"/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3"/>
      <c r="J242" s="3"/>
      <c r="K242" s="3"/>
    </row>
    <row r="243" spans="1:11" x14ac:dyDescent="0.3">
      <c r="A243" s="5" t="s">
        <v>38</v>
      </c>
      <c r="B243" s="4"/>
      <c r="C243" s="4">
        <v>4281</v>
      </c>
      <c r="D243" s="4">
        <v>4915</v>
      </c>
      <c r="E243" s="4">
        <v>6858</v>
      </c>
      <c r="F243" s="4">
        <v>4756</v>
      </c>
      <c r="G243" s="4">
        <v>5724</v>
      </c>
      <c r="H243" s="4">
        <v>5578</v>
      </c>
      <c r="I243" s="3"/>
      <c r="J243" s="3"/>
      <c r="K243" s="3"/>
    </row>
    <row r="244" spans="1:11" x14ac:dyDescent="0.3">
      <c r="A244" s="7" t="s">
        <v>91</v>
      </c>
      <c r="I244" s="3"/>
      <c r="J244" s="3"/>
      <c r="K244" s="3"/>
    </row>
    <row r="245" spans="1:11" x14ac:dyDescent="0.3">
      <c r="A245" s="5" t="s">
        <v>90</v>
      </c>
      <c r="B245" s="6"/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3"/>
      <c r="J245" s="3"/>
      <c r="K245" s="3"/>
    </row>
    <row r="246" spans="1:11" x14ac:dyDescent="0.3">
      <c r="A246" s="5" t="s">
        <v>57</v>
      </c>
      <c r="B246" s="6"/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3"/>
      <c r="J246" s="3"/>
      <c r="K246" s="3"/>
    </row>
    <row r="247" spans="1:11" x14ac:dyDescent="0.3">
      <c r="A247" s="5" t="s">
        <v>89</v>
      </c>
      <c r="B247" s="6"/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3"/>
      <c r="J247" s="3"/>
      <c r="K247" s="3"/>
    </row>
    <row r="248" spans="1:11" x14ac:dyDescent="0.3">
      <c r="A248" s="5" t="s">
        <v>88</v>
      </c>
      <c r="B248" s="6"/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3"/>
      <c r="J248" s="3"/>
      <c r="K248" s="3"/>
    </row>
    <row r="249" spans="1:11" x14ac:dyDescent="0.3">
      <c r="A249" s="5" t="s">
        <v>87</v>
      </c>
      <c r="B249" s="6"/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3"/>
      <c r="J249" s="3"/>
      <c r="K249" s="3"/>
    </row>
    <row r="250" spans="1:11" x14ac:dyDescent="0.3">
      <c r="A250" s="7"/>
      <c r="I250" s="3"/>
      <c r="J250" s="3"/>
      <c r="K250" s="3"/>
    </row>
    <row r="251" spans="1:11" x14ac:dyDescent="0.3">
      <c r="A251" s="8" t="s">
        <v>86</v>
      </c>
      <c r="I251" s="3"/>
      <c r="J251" s="3"/>
      <c r="K251" s="3"/>
    </row>
    <row r="252" spans="1:11" x14ac:dyDescent="0.3">
      <c r="A252" s="5" t="s">
        <v>85</v>
      </c>
      <c r="B252" s="4"/>
      <c r="C252" s="4">
        <v>7722</v>
      </c>
      <c r="D252" s="4">
        <v>9465</v>
      </c>
      <c r="E252" s="4">
        <v>17741</v>
      </c>
      <c r="F252" s="4">
        <v>14760</v>
      </c>
      <c r="G252" s="4">
        <v>8625</v>
      </c>
      <c r="H252" s="4">
        <v>9867</v>
      </c>
      <c r="I252" s="3"/>
      <c r="J252" s="3"/>
      <c r="K252" s="3"/>
    </row>
    <row r="253" spans="1:11" x14ac:dyDescent="0.3">
      <c r="A253" s="5" t="s">
        <v>84</v>
      </c>
      <c r="B253" s="4"/>
      <c r="C253" s="4">
        <v>6283</v>
      </c>
      <c r="D253" s="4">
        <v>6284</v>
      </c>
      <c r="E253" s="4">
        <v>6516</v>
      </c>
      <c r="F253" s="4">
        <v>8280</v>
      </c>
      <c r="G253" s="4">
        <v>7933</v>
      </c>
      <c r="H253" s="4">
        <v>8796</v>
      </c>
      <c r="I253" s="3"/>
      <c r="J253" s="3"/>
      <c r="K253" s="3"/>
    </row>
    <row r="254" spans="1:11" x14ac:dyDescent="0.3">
      <c r="A254" s="5" t="s">
        <v>83</v>
      </c>
      <c r="B254" s="4"/>
      <c r="C254" s="4">
        <v>44269</v>
      </c>
      <c r="D254" s="4">
        <v>44435</v>
      </c>
      <c r="E254" s="4">
        <v>44949</v>
      </c>
      <c r="F254" s="4">
        <v>56511</v>
      </c>
      <c r="G254" s="4">
        <v>56576</v>
      </c>
      <c r="H254" s="4">
        <v>54892</v>
      </c>
      <c r="I254" s="3"/>
      <c r="J254" s="3"/>
      <c r="K254" s="3"/>
    </row>
    <row r="255" spans="1:11" x14ac:dyDescent="0.3">
      <c r="A255" s="5" t="s">
        <v>82</v>
      </c>
      <c r="B255" s="6"/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3"/>
      <c r="J255" s="3"/>
      <c r="K255" s="3"/>
    </row>
    <row r="256" spans="1:11" x14ac:dyDescent="0.3">
      <c r="A256" s="5" t="s">
        <v>81</v>
      </c>
      <c r="B256" s="4"/>
      <c r="C256" s="4">
        <v>3623</v>
      </c>
      <c r="D256" s="4">
        <v>1622</v>
      </c>
      <c r="E256" s="4">
        <v>20861</v>
      </c>
      <c r="F256" s="4">
        <v>1519</v>
      </c>
      <c r="G256" s="4">
        <v>2521</v>
      </c>
      <c r="H256" s="4">
        <v>3322</v>
      </c>
      <c r="I256" s="3"/>
      <c r="J256" s="3"/>
      <c r="K256" s="3"/>
    </row>
    <row r="257" spans="1:11" x14ac:dyDescent="0.3">
      <c r="A257" s="5" t="s">
        <v>80</v>
      </c>
      <c r="B257" s="4"/>
      <c r="C257" s="4">
        <v>61897</v>
      </c>
      <c r="D257" s="4">
        <v>61806</v>
      </c>
      <c r="E257" s="4">
        <v>90067</v>
      </c>
      <c r="F257" s="4">
        <v>81070</v>
      </c>
      <c r="G257" s="4">
        <v>75655</v>
      </c>
      <c r="H257" s="4">
        <v>76877</v>
      </c>
      <c r="I257" s="3"/>
      <c r="J257" s="3"/>
      <c r="K257" s="3"/>
    </row>
    <row r="258" spans="1:11" x14ac:dyDescent="0.3">
      <c r="A258" s="5" t="s">
        <v>79</v>
      </c>
      <c r="B258" s="4"/>
      <c r="C258" s="4">
        <v>198570</v>
      </c>
      <c r="D258" s="4">
        <v>221563</v>
      </c>
      <c r="E258" s="4">
        <v>198218</v>
      </c>
      <c r="F258" s="4">
        <v>207433</v>
      </c>
      <c r="G258" s="4">
        <v>220844</v>
      </c>
      <c r="H258" s="4">
        <v>239387</v>
      </c>
      <c r="I258" s="3"/>
      <c r="J258" s="3"/>
      <c r="K258" s="3"/>
    </row>
    <row r="259" spans="1:11" x14ac:dyDescent="0.3">
      <c r="A259" s="5" t="s">
        <v>78</v>
      </c>
      <c r="B259" s="4"/>
      <c r="C259" s="4">
        <v>87175</v>
      </c>
      <c r="D259" s="4">
        <v>94514</v>
      </c>
      <c r="E259" s="4">
        <v>88370</v>
      </c>
      <c r="F259" s="4">
        <v>94809</v>
      </c>
      <c r="G259" s="4">
        <v>101610</v>
      </c>
      <c r="H259" s="4">
        <v>109049</v>
      </c>
      <c r="I259" s="3"/>
      <c r="J259" s="3"/>
      <c r="K259" s="3"/>
    </row>
    <row r="260" spans="1:11" x14ac:dyDescent="0.3">
      <c r="A260" s="5" t="s">
        <v>77</v>
      </c>
      <c r="B260" s="4"/>
      <c r="C260" s="4">
        <v>111395</v>
      </c>
      <c r="D260" s="4">
        <v>127049</v>
      </c>
      <c r="E260" s="4">
        <v>109848</v>
      </c>
      <c r="F260" s="4">
        <v>112624</v>
      </c>
      <c r="G260" s="4">
        <v>119234</v>
      </c>
      <c r="H260" s="4">
        <v>130338</v>
      </c>
      <c r="I260" s="3"/>
      <c r="J260" s="3"/>
      <c r="K260" s="3"/>
    </row>
    <row r="261" spans="1:11" x14ac:dyDescent="0.3">
      <c r="A261" s="5" t="s">
        <v>76</v>
      </c>
      <c r="B261" s="6"/>
      <c r="C261" s="6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3"/>
      <c r="J261" s="3"/>
      <c r="K261" s="3"/>
    </row>
    <row r="262" spans="1:11" x14ac:dyDescent="0.3">
      <c r="A262" s="5" t="s">
        <v>75</v>
      </c>
      <c r="B262" s="6"/>
      <c r="C262" s="6">
        <v>0</v>
      </c>
      <c r="D262" s="6">
        <v>0</v>
      </c>
      <c r="E262" s="4">
        <v>14422</v>
      </c>
      <c r="F262" s="4">
        <v>12888</v>
      </c>
      <c r="G262" s="4">
        <v>11169</v>
      </c>
      <c r="H262" s="4">
        <v>8449</v>
      </c>
      <c r="I262" s="3"/>
      <c r="J262" s="3"/>
      <c r="K262" s="3"/>
    </row>
    <row r="263" spans="1:11" x14ac:dyDescent="0.3">
      <c r="A263" s="5" t="s">
        <v>74</v>
      </c>
      <c r="B263" s="4"/>
      <c r="C263" s="4">
        <v>36981</v>
      </c>
      <c r="D263" s="4">
        <v>36273</v>
      </c>
      <c r="E263" s="4">
        <v>33883</v>
      </c>
      <c r="F263" s="4">
        <v>33814</v>
      </c>
      <c r="G263" s="4">
        <v>32474</v>
      </c>
      <c r="H263" s="4">
        <v>32213</v>
      </c>
      <c r="I263" s="3"/>
      <c r="J263" s="3"/>
      <c r="K263" s="3"/>
    </row>
    <row r="264" spans="1:11" x14ac:dyDescent="0.3">
      <c r="A264" s="5" t="s">
        <v>73</v>
      </c>
      <c r="B264" s="6"/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3"/>
      <c r="J264" s="3"/>
      <c r="K264" s="3"/>
    </row>
    <row r="265" spans="1:11" x14ac:dyDescent="0.3">
      <c r="A265" s="5" t="s">
        <v>72</v>
      </c>
      <c r="B265" s="4"/>
      <c r="C265" s="4">
        <v>9022</v>
      </c>
      <c r="D265" s="4">
        <v>11367</v>
      </c>
      <c r="E265" s="4">
        <v>4276</v>
      </c>
      <c r="F265" s="4">
        <v>4464</v>
      </c>
      <c r="G265" s="4">
        <v>4665</v>
      </c>
      <c r="H265" s="4">
        <v>4522</v>
      </c>
      <c r="I265" s="3"/>
      <c r="J265" s="3"/>
      <c r="K265" s="3"/>
    </row>
    <row r="266" spans="1:11" x14ac:dyDescent="0.3">
      <c r="A266" s="5" t="s">
        <v>71</v>
      </c>
      <c r="B266" s="4"/>
      <c r="C266" s="4">
        <v>219295</v>
      </c>
      <c r="D266" s="4">
        <v>236495</v>
      </c>
      <c r="E266" s="4">
        <v>252496</v>
      </c>
      <c r="F266" s="4">
        <v>244860</v>
      </c>
      <c r="G266" s="4">
        <v>243197</v>
      </c>
      <c r="H266" s="4">
        <v>252399</v>
      </c>
      <c r="I266" s="3"/>
      <c r="J266" s="3"/>
      <c r="K266" s="3"/>
    </row>
    <row r="267" spans="1:11" x14ac:dyDescent="0.3">
      <c r="A267" s="5" t="s">
        <v>70</v>
      </c>
      <c r="B267" s="4"/>
      <c r="C267" s="4">
        <v>47060</v>
      </c>
      <c r="D267" s="4">
        <v>46973</v>
      </c>
      <c r="E267" s="4">
        <v>49141</v>
      </c>
      <c r="F267" s="4">
        <v>55261</v>
      </c>
      <c r="G267" s="4">
        <v>53742</v>
      </c>
      <c r="H267" s="4">
        <v>56812</v>
      </c>
      <c r="I267" s="3"/>
      <c r="J267" s="3"/>
      <c r="K267" s="3"/>
    </row>
    <row r="268" spans="1:11" x14ac:dyDescent="0.3">
      <c r="A268" s="5" t="s">
        <v>69</v>
      </c>
      <c r="B268" s="4"/>
      <c r="C268" s="4">
        <v>5225</v>
      </c>
      <c r="D268" s="4">
        <v>575</v>
      </c>
      <c r="E268" s="4">
        <v>224</v>
      </c>
      <c r="F268" s="4">
        <v>410</v>
      </c>
      <c r="G268" s="4">
        <v>372</v>
      </c>
      <c r="H268" s="4">
        <v>878</v>
      </c>
      <c r="I268" s="3"/>
      <c r="J268" s="3"/>
      <c r="K268" s="3"/>
    </row>
    <row r="269" spans="1:11" x14ac:dyDescent="0.3">
      <c r="A269" s="5" t="s">
        <v>68</v>
      </c>
      <c r="B269" s="4"/>
      <c r="C269" s="4">
        <v>20227</v>
      </c>
      <c r="D269" s="4">
        <v>20306</v>
      </c>
      <c r="E269" s="4">
        <v>22922</v>
      </c>
      <c r="F269" s="4">
        <v>23480</v>
      </c>
      <c r="G269" s="4">
        <v>25689</v>
      </c>
      <c r="H269" s="4">
        <v>26095</v>
      </c>
      <c r="I269" s="3"/>
      <c r="J269" s="3"/>
      <c r="K269" s="3"/>
    </row>
    <row r="270" spans="1:11" x14ac:dyDescent="0.3">
      <c r="A270" s="5" t="s">
        <v>67</v>
      </c>
      <c r="B270" s="4"/>
      <c r="C270" s="4">
        <v>428</v>
      </c>
      <c r="D270" s="4">
        <v>280</v>
      </c>
      <c r="E270" s="4">
        <v>242</v>
      </c>
      <c r="F270" s="4">
        <v>851</v>
      </c>
      <c r="G270" s="4">
        <v>727</v>
      </c>
      <c r="H270" s="4">
        <v>307</v>
      </c>
      <c r="I270" s="3"/>
      <c r="J270" s="3"/>
      <c r="K270" s="3"/>
    </row>
    <row r="271" spans="1:11" x14ac:dyDescent="0.3">
      <c r="A271" s="5" t="s">
        <v>66</v>
      </c>
      <c r="B271" s="4"/>
      <c r="C271" s="4">
        <v>2605</v>
      </c>
      <c r="D271" s="4">
        <v>7666</v>
      </c>
      <c r="E271" s="4">
        <v>5072</v>
      </c>
      <c r="F271" s="4">
        <v>4797</v>
      </c>
      <c r="G271" s="4">
        <v>6231</v>
      </c>
      <c r="H271" s="4">
        <v>5659</v>
      </c>
      <c r="I271" s="3"/>
      <c r="J271" s="3"/>
      <c r="K271" s="3"/>
    </row>
    <row r="272" spans="1:11" x14ac:dyDescent="0.3">
      <c r="A272" s="5" t="s">
        <v>65</v>
      </c>
      <c r="B272" s="4"/>
      <c r="C272" s="4">
        <v>22159</v>
      </c>
      <c r="D272" s="4">
        <v>22296</v>
      </c>
      <c r="E272" s="4">
        <v>37966</v>
      </c>
      <c r="F272" s="4">
        <v>26060</v>
      </c>
      <c r="G272" s="4">
        <v>31126</v>
      </c>
      <c r="H272" s="4">
        <v>28759</v>
      </c>
      <c r="I272" s="3"/>
      <c r="J272" s="3"/>
      <c r="K272" s="3"/>
    </row>
    <row r="273" spans="1:11" x14ac:dyDescent="0.3">
      <c r="A273" s="5" t="s">
        <v>64</v>
      </c>
      <c r="B273" s="4"/>
      <c r="C273" s="4">
        <v>77477</v>
      </c>
      <c r="D273" s="4">
        <v>77790</v>
      </c>
      <c r="E273" s="4">
        <v>92645</v>
      </c>
      <c r="F273" s="4">
        <v>87379</v>
      </c>
      <c r="G273" s="4">
        <v>92198</v>
      </c>
      <c r="H273" s="4">
        <v>92415</v>
      </c>
      <c r="I273" s="3"/>
      <c r="J273" s="3"/>
      <c r="K273" s="3"/>
    </row>
    <row r="274" spans="1:11" x14ac:dyDescent="0.3">
      <c r="A274" s="5" t="s">
        <v>63</v>
      </c>
      <c r="B274" s="4"/>
      <c r="C274" s="4">
        <v>50203</v>
      </c>
      <c r="D274" s="4">
        <v>64192</v>
      </c>
      <c r="E274" s="4">
        <v>57950</v>
      </c>
      <c r="F274" s="4">
        <v>52116</v>
      </c>
      <c r="G274" s="4">
        <v>52320</v>
      </c>
      <c r="H274" s="4">
        <v>54784</v>
      </c>
      <c r="I274" s="3"/>
      <c r="J274" s="3"/>
      <c r="K274" s="3"/>
    </row>
    <row r="275" spans="1:11" x14ac:dyDescent="0.3">
      <c r="A275" s="5" t="s">
        <v>62</v>
      </c>
      <c r="B275" s="4"/>
      <c r="C275" s="4">
        <v>6296</v>
      </c>
      <c r="D275" s="4">
        <v>6204</v>
      </c>
      <c r="E275" s="4">
        <v>8445</v>
      </c>
      <c r="F275" s="4">
        <v>6917</v>
      </c>
      <c r="G275" s="4">
        <v>7269</v>
      </c>
      <c r="H275" s="4">
        <v>7248</v>
      </c>
      <c r="I275" s="3"/>
      <c r="J275" s="3"/>
      <c r="K275" s="3"/>
    </row>
    <row r="276" spans="1:11" x14ac:dyDescent="0.3">
      <c r="A276" s="5" t="s">
        <v>61</v>
      </c>
      <c r="B276" s="4"/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3"/>
      <c r="J276" s="3"/>
      <c r="K276" s="3"/>
    </row>
    <row r="277" spans="1:11" x14ac:dyDescent="0.3">
      <c r="A277" s="5" t="s">
        <v>60</v>
      </c>
      <c r="B277" s="4"/>
      <c r="C277" s="4">
        <v>5685</v>
      </c>
      <c r="D277" s="4">
        <v>6757</v>
      </c>
      <c r="E277" s="4">
        <v>5925</v>
      </c>
      <c r="F277" s="4">
        <v>6557</v>
      </c>
      <c r="G277" s="4">
        <v>7419</v>
      </c>
      <c r="H277" s="4">
        <v>7381</v>
      </c>
      <c r="I277" s="3"/>
      <c r="J277" s="3"/>
      <c r="K277" s="3"/>
    </row>
    <row r="278" spans="1:11" x14ac:dyDescent="0.3">
      <c r="A278" s="5" t="s">
        <v>59</v>
      </c>
      <c r="B278" s="4"/>
      <c r="C278" s="4">
        <v>139661</v>
      </c>
      <c r="D278" s="4">
        <v>154943</v>
      </c>
      <c r="E278" s="4">
        <v>164965</v>
      </c>
      <c r="F278" s="4">
        <v>152969</v>
      </c>
      <c r="G278" s="4">
        <v>159443</v>
      </c>
      <c r="H278" s="4">
        <v>162050</v>
      </c>
      <c r="I278" s="3"/>
      <c r="J278" s="3"/>
      <c r="K278" s="3"/>
    </row>
    <row r="279" spans="1:11" x14ac:dyDescent="0.3">
      <c r="A279" s="5" t="s">
        <v>58</v>
      </c>
      <c r="B279" s="4"/>
      <c r="C279" s="4">
        <v>0</v>
      </c>
      <c r="D279" s="4">
        <v>0</v>
      </c>
      <c r="E279" s="4">
        <v>0</v>
      </c>
      <c r="F279" s="4">
        <v>0</v>
      </c>
      <c r="G279" s="4">
        <v>237</v>
      </c>
      <c r="H279" s="4">
        <v>222</v>
      </c>
      <c r="I279" s="3"/>
      <c r="J279" s="3"/>
      <c r="K279" s="3"/>
    </row>
    <row r="280" spans="1:11" x14ac:dyDescent="0.3">
      <c r="A280" s="5" t="s">
        <v>57</v>
      </c>
      <c r="B280" s="4"/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3"/>
      <c r="J280" s="3"/>
      <c r="K280" s="3"/>
    </row>
    <row r="281" spans="1:11" x14ac:dyDescent="0.3">
      <c r="A281" s="5" t="s">
        <v>56</v>
      </c>
      <c r="B281" s="4"/>
      <c r="C281" s="4">
        <v>288</v>
      </c>
      <c r="D281" s="4">
        <v>284</v>
      </c>
      <c r="E281" s="4">
        <v>282</v>
      </c>
      <c r="F281" s="4">
        <v>276</v>
      </c>
      <c r="G281" s="4">
        <v>269</v>
      </c>
      <c r="H281" s="4">
        <v>268</v>
      </c>
      <c r="I281" s="3"/>
      <c r="J281" s="3"/>
      <c r="K281" s="3"/>
    </row>
    <row r="282" spans="1:11" x14ac:dyDescent="0.3">
      <c r="A282" s="5" t="s">
        <v>55</v>
      </c>
      <c r="B282" s="4"/>
      <c r="C282" s="4">
        <v>2965</v>
      </c>
      <c r="D282" s="4">
        <v>3247</v>
      </c>
      <c r="E282" s="4">
        <v>3646</v>
      </c>
      <c r="F282" s="4">
        <v>4839</v>
      </c>
      <c r="G282" s="4">
        <v>4969</v>
      </c>
      <c r="H282" s="4">
        <v>5081</v>
      </c>
      <c r="I282" s="3"/>
      <c r="J282" s="3"/>
      <c r="K282" s="3"/>
    </row>
    <row r="283" spans="1:11" x14ac:dyDescent="0.3">
      <c r="A283" s="5" t="s">
        <v>54</v>
      </c>
      <c r="B283" s="4"/>
      <c r="C283" s="4">
        <v>69243</v>
      </c>
      <c r="D283" s="4">
        <v>71138</v>
      </c>
      <c r="E283" s="4">
        <v>76997</v>
      </c>
      <c r="F283" s="4">
        <v>78138</v>
      </c>
      <c r="G283" s="4">
        <v>71455</v>
      </c>
      <c r="H283" s="4">
        <v>78512</v>
      </c>
      <c r="I283" s="3"/>
      <c r="J283" s="3"/>
      <c r="K283" s="3"/>
    </row>
    <row r="284" spans="1:11" x14ac:dyDescent="0.3">
      <c r="A284" s="5" t="s">
        <v>53</v>
      </c>
      <c r="B284" s="4"/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3"/>
      <c r="J284" s="3"/>
      <c r="K284" s="3"/>
    </row>
    <row r="285" spans="1:11" x14ac:dyDescent="0.3">
      <c r="A285" s="5" t="s">
        <v>52</v>
      </c>
      <c r="B285" s="4"/>
      <c r="C285" s="4">
        <v>72496</v>
      </c>
      <c r="D285" s="4">
        <v>74669</v>
      </c>
      <c r="E285" s="4">
        <v>80925</v>
      </c>
      <c r="F285" s="4">
        <v>83253</v>
      </c>
      <c r="G285" s="4">
        <v>76693</v>
      </c>
      <c r="H285" s="4">
        <v>83861</v>
      </c>
      <c r="I285" s="3"/>
      <c r="J285" s="3"/>
      <c r="K285" s="3"/>
    </row>
    <row r="286" spans="1:11" x14ac:dyDescent="0.3">
      <c r="A286" s="5" t="s">
        <v>51</v>
      </c>
      <c r="B286" s="4"/>
      <c r="C286" s="4">
        <v>7138</v>
      </c>
      <c r="D286" s="4">
        <v>6883</v>
      </c>
      <c r="E286" s="4">
        <v>6606</v>
      </c>
      <c r="F286" s="4">
        <v>8638</v>
      </c>
      <c r="G286" s="4">
        <v>7061</v>
      </c>
      <c r="H286" s="4">
        <v>6488</v>
      </c>
      <c r="I286" s="3"/>
      <c r="J286" s="3"/>
      <c r="K286" s="3"/>
    </row>
    <row r="287" spans="1:11" x14ac:dyDescent="0.3">
      <c r="A287" s="5" t="s">
        <v>50</v>
      </c>
      <c r="B287" s="4"/>
      <c r="C287" s="4">
        <v>79634</v>
      </c>
      <c r="D287" s="4">
        <v>81552</v>
      </c>
      <c r="E287" s="4">
        <v>87531</v>
      </c>
      <c r="F287" s="4">
        <v>91891</v>
      </c>
      <c r="G287" s="4">
        <v>83754</v>
      </c>
      <c r="H287" s="4">
        <v>90349</v>
      </c>
      <c r="I287" s="3"/>
      <c r="J287" s="3"/>
      <c r="K287" s="3"/>
    </row>
    <row r="288" spans="1:11" x14ac:dyDescent="0.3">
      <c r="A288" s="5" t="s">
        <v>49</v>
      </c>
      <c r="B288" s="4"/>
      <c r="C288" s="4">
        <v>511729</v>
      </c>
      <c r="D288" s="4">
        <v>521426</v>
      </c>
      <c r="E288" s="4">
        <v>556933</v>
      </c>
      <c r="F288" s="4">
        <v>569962</v>
      </c>
      <c r="G288" s="4">
        <v>608481</v>
      </c>
      <c r="H288" s="4">
        <v>645737</v>
      </c>
      <c r="I288" s="3"/>
      <c r="J288" s="3"/>
      <c r="K288" s="3"/>
    </row>
    <row r="289" spans="1:11" x14ac:dyDescent="0.3">
      <c r="A289" s="5" t="s">
        <v>48</v>
      </c>
      <c r="B289" s="4"/>
      <c r="C289" s="4">
        <v>374623</v>
      </c>
      <c r="D289" s="4">
        <v>383618</v>
      </c>
      <c r="E289" s="4">
        <v>409163</v>
      </c>
      <c r="F289" s="4">
        <v>418342</v>
      </c>
      <c r="G289" s="4">
        <v>452776</v>
      </c>
      <c r="H289" s="4">
        <v>478289</v>
      </c>
      <c r="I289" s="3"/>
      <c r="J289" s="3"/>
      <c r="K289" s="3"/>
    </row>
    <row r="290" spans="1:11" x14ac:dyDescent="0.3">
      <c r="A290" s="5" t="s">
        <v>47</v>
      </c>
      <c r="B290" s="4"/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3"/>
      <c r="J290" s="3"/>
      <c r="K290" s="3"/>
    </row>
    <row r="291" spans="1:11" x14ac:dyDescent="0.3">
      <c r="A291" s="5" t="s">
        <v>46</v>
      </c>
      <c r="B291" s="4"/>
      <c r="C291" s="4">
        <v>106957</v>
      </c>
      <c r="D291" s="4">
        <v>107669</v>
      </c>
      <c r="E291" s="4">
        <v>111733</v>
      </c>
      <c r="F291" s="4">
        <v>115204</v>
      </c>
      <c r="G291" s="4">
        <v>122966</v>
      </c>
      <c r="H291" s="4">
        <v>130878</v>
      </c>
      <c r="I291" s="3"/>
      <c r="J291" s="3"/>
      <c r="K291" s="3"/>
    </row>
    <row r="292" spans="1:11" x14ac:dyDescent="0.3">
      <c r="A292" s="5" t="s">
        <v>45</v>
      </c>
      <c r="B292" s="4"/>
      <c r="C292" s="4">
        <v>30149</v>
      </c>
      <c r="D292" s="4">
        <v>30139</v>
      </c>
      <c r="E292" s="4">
        <v>36037</v>
      </c>
      <c r="F292" s="4">
        <v>36416</v>
      </c>
      <c r="G292" s="4">
        <v>32739</v>
      </c>
      <c r="H292" s="4">
        <v>36570</v>
      </c>
      <c r="I292" s="3"/>
      <c r="J292" s="3"/>
      <c r="K292" s="3"/>
    </row>
    <row r="293" spans="1:11" x14ac:dyDescent="0.3">
      <c r="A293" s="5" t="s">
        <v>44</v>
      </c>
      <c r="B293" s="4"/>
      <c r="C293" s="4">
        <v>10678</v>
      </c>
      <c r="D293" s="4">
        <v>10987</v>
      </c>
      <c r="E293" s="4">
        <v>11152</v>
      </c>
      <c r="F293" s="4">
        <v>10658</v>
      </c>
      <c r="G293" s="4">
        <v>10945</v>
      </c>
      <c r="H293" s="4">
        <v>11853</v>
      </c>
      <c r="I293" s="3"/>
      <c r="J293" s="3"/>
      <c r="K293" s="3"/>
    </row>
    <row r="294" spans="1:11" x14ac:dyDescent="0.3">
      <c r="A294" s="5" t="s">
        <v>43</v>
      </c>
      <c r="B294" s="4"/>
      <c r="C294" s="4">
        <v>19471</v>
      </c>
      <c r="D294" s="4">
        <v>19152</v>
      </c>
      <c r="E294" s="4">
        <v>24885</v>
      </c>
      <c r="F294" s="4">
        <v>25758</v>
      </c>
      <c r="G294" s="4">
        <v>21794</v>
      </c>
      <c r="H294" s="4">
        <v>24717</v>
      </c>
      <c r="I294" s="3"/>
      <c r="J294" s="3"/>
      <c r="K294" s="3"/>
    </row>
    <row r="295" spans="1:11" x14ac:dyDescent="0.3">
      <c r="A295" s="5" t="s">
        <v>42</v>
      </c>
      <c r="B295" s="4"/>
      <c r="C295" s="4">
        <v>2346</v>
      </c>
      <c r="D295" s="4">
        <v>2599</v>
      </c>
      <c r="E295" s="4">
        <v>2315</v>
      </c>
      <c r="F295" s="4">
        <v>1994</v>
      </c>
      <c r="G295" s="4">
        <v>2128</v>
      </c>
      <c r="H295" s="4">
        <v>2683</v>
      </c>
      <c r="I295" s="3"/>
      <c r="J295" s="3"/>
      <c r="K295" s="3"/>
    </row>
    <row r="296" spans="1:11" x14ac:dyDescent="0.3">
      <c r="A296" s="5" t="s">
        <v>41</v>
      </c>
      <c r="B296" s="4"/>
      <c r="C296" s="4">
        <v>-625</v>
      </c>
      <c r="D296" s="4">
        <v>4685</v>
      </c>
      <c r="E296" s="4">
        <v>3549</v>
      </c>
      <c r="F296" s="4">
        <v>383</v>
      </c>
      <c r="G296" s="4">
        <v>1124</v>
      </c>
      <c r="H296" s="4">
        <v>-93</v>
      </c>
      <c r="I296" s="3"/>
      <c r="J296" s="3"/>
      <c r="K296" s="3"/>
    </row>
    <row r="297" spans="1:11" x14ac:dyDescent="0.3">
      <c r="A297" s="5" t="s">
        <v>40</v>
      </c>
      <c r="B297" s="4"/>
      <c r="C297" s="4">
        <v>-5040</v>
      </c>
      <c r="D297" s="4">
        <v>-1122</v>
      </c>
      <c r="E297" s="4">
        <v>-5555</v>
      </c>
      <c r="F297" s="4">
        <v>-5451</v>
      </c>
      <c r="G297" s="4">
        <v>-3774</v>
      </c>
      <c r="H297" s="4">
        <v>-93</v>
      </c>
      <c r="I297" s="3"/>
      <c r="J297" s="3"/>
      <c r="K297" s="3"/>
    </row>
    <row r="298" spans="1:11" x14ac:dyDescent="0.3">
      <c r="A298" s="5" t="s">
        <v>39</v>
      </c>
      <c r="B298" s="4"/>
      <c r="C298" s="4">
        <v>11460</v>
      </c>
      <c r="D298" s="4">
        <v>20116</v>
      </c>
      <c r="E298" s="4">
        <v>20564</v>
      </c>
      <c r="F298" s="4">
        <v>18696</v>
      </c>
      <c r="G298" s="4">
        <v>17016</v>
      </c>
      <c r="H298" s="4">
        <v>21848</v>
      </c>
      <c r="I298" s="3"/>
      <c r="J298" s="3"/>
      <c r="K298" s="3"/>
    </row>
    <row r="299" spans="1:11" x14ac:dyDescent="0.3">
      <c r="A299" s="5" t="s">
        <v>38</v>
      </c>
      <c r="B299" s="4"/>
      <c r="C299" s="4">
        <v>4281</v>
      </c>
      <c r="D299" s="4">
        <v>4915</v>
      </c>
      <c r="E299" s="4">
        <v>6858</v>
      </c>
      <c r="F299" s="4">
        <v>4756</v>
      </c>
      <c r="G299" s="4">
        <v>5724</v>
      </c>
      <c r="H299" s="4">
        <v>5578</v>
      </c>
      <c r="I299" s="3"/>
      <c r="J299" s="3"/>
      <c r="K299" s="3"/>
    </row>
    <row r="300" spans="1:11" x14ac:dyDescent="0.3">
      <c r="A300" s="5" t="s">
        <v>37</v>
      </c>
      <c r="B300" s="4"/>
      <c r="C300" s="4">
        <v>509</v>
      </c>
      <c r="D300" s="4">
        <v>320</v>
      </c>
      <c r="E300" s="4">
        <v>196</v>
      </c>
      <c r="F300" s="4">
        <v>267</v>
      </c>
      <c r="G300" s="4">
        <v>-388</v>
      </c>
      <c r="H300" s="4">
        <v>759</v>
      </c>
      <c r="I300" s="3"/>
      <c r="J300" s="3"/>
      <c r="K300" s="3"/>
    </row>
    <row r="301" spans="1:11" x14ac:dyDescent="0.3">
      <c r="A301" s="5" t="s">
        <v>36</v>
      </c>
      <c r="B301" s="4"/>
      <c r="C301" s="4">
        <v>6670</v>
      </c>
      <c r="D301" s="4">
        <v>14881</v>
      </c>
      <c r="E301" s="4">
        <v>13510</v>
      </c>
      <c r="F301" s="4">
        <v>13673</v>
      </c>
      <c r="G301" s="4">
        <v>11680</v>
      </c>
      <c r="H301" s="4">
        <v>15511</v>
      </c>
      <c r="I301" s="3"/>
      <c r="J301" s="3"/>
      <c r="K301" s="3"/>
    </row>
    <row r="302" spans="1:11" x14ac:dyDescent="0.3">
      <c r="A302" s="5" t="s">
        <v>35</v>
      </c>
      <c r="B302" s="4"/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3"/>
      <c r="J302" s="3"/>
      <c r="K302" s="3"/>
    </row>
    <row r="303" spans="1:11" x14ac:dyDescent="0.3">
      <c r="A303" s="5" t="s">
        <v>34</v>
      </c>
      <c r="B303" s="4"/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3"/>
      <c r="J303" s="3"/>
      <c r="K303" s="3"/>
    </row>
    <row r="304" spans="1:11" x14ac:dyDescent="0.3">
      <c r="A304" s="5" t="s">
        <v>33</v>
      </c>
      <c r="B304" s="4"/>
      <c r="C304" s="4">
        <v>6670</v>
      </c>
      <c r="D304" s="4">
        <v>14881</v>
      </c>
      <c r="E304" s="4">
        <v>13510</v>
      </c>
      <c r="F304" s="4">
        <v>13673</v>
      </c>
      <c r="G304" s="4">
        <v>11680</v>
      </c>
      <c r="H304" s="4">
        <v>15511</v>
      </c>
      <c r="I304" s="3"/>
      <c r="J304" s="3"/>
      <c r="K304" s="3"/>
    </row>
    <row r="305" spans="1:11" x14ac:dyDescent="0.3">
      <c r="A305" s="5" t="s">
        <v>32</v>
      </c>
      <c r="B305" s="4"/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3"/>
      <c r="J305" s="3"/>
      <c r="K305" s="3"/>
    </row>
    <row r="306" spans="1:11" x14ac:dyDescent="0.3">
      <c r="A306" s="5" t="s">
        <v>31</v>
      </c>
      <c r="B306" s="4"/>
      <c r="C306" s="4">
        <v>2.2799999999999998</v>
      </c>
      <c r="D306" s="4">
        <v>5.22</v>
      </c>
      <c r="E306" s="4">
        <v>4.7699999999999996</v>
      </c>
      <c r="F306" s="4">
        <v>4.9000000000000004</v>
      </c>
      <c r="G306" s="4">
        <v>4.29</v>
      </c>
      <c r="H306" s="4">
        <v>5.76</v>
      </c>
      <c r="I306" s="3"/>
      <c r="J306" s="3"/>
      <c r="K306" s="3"/>
    </row>
    <row r="307" spans="1:11" x14ac:dyDescent="0.3">
      <c r="A307" s="5" t="s">
        <v>30</v>
      </c>
      <c r="B307" s="4"/>
      <c r="C307" s="4">
        <v>2.2799999999999998</v>
      </c>
      <c r="D307" s="4">
        <v>5.22</v>
      </c>
      <c r="E307" s="4">
        <v>4.7699999999999996</v>
      </c>
      <c r="F307" s="4">
        <v>4.9000000000000004</v>
      </c>
      <c r="G307" s="4">
        <v>4.29</v>
      </c>
      <c r="H307" s="4">
        <v>5.76</v>
      </c>
      <c r="I307" s="3"/>
      <c r="J307" s="3"/>
      <c r="K307" s="3"/>
    </row>
    <row r="308" spans="1:11" x14ac:dyDescent="0.3">
      <c r="A308" s="5" t="s">
        <v>29</v>
      </c>
      <c r="B308" s="4"/>
      <c r="C308" s="4">
        <v>2.2599999999999998</v>
      </c>
      <c r="D308" s="4">
        <v>5.19</v>
      </c>
      <c r="E308" s="4">
        <v>4.75</v>
      </c>
      <c r="F308" s="4">
        <v>4.87</v>
      </c>
      <c r="G308" s="4">
        <v>4.2699999999999996</v>
      </c>
      <c r="H308" s="4">
        <v>5.74</v>
      </c>
      <c r="I308" s="3"/>
      <c r="J308" s="3"/>
      <c r="K308" s="3"/>
    </row>
    <row r="309" spans="1:11" x14ac:dyDescent="0.3">
      <c r="A309" s="5" t="s">
        <v>28</v>
      </c>
      <c r="B309" s="4"/>
      <c r="C309" s="4">
        <v>2.2599999999999998</v>
      </c>
      <c r="D309" s="4">
        <v>5.19</v>
      </c>
      <c r="E309" s="4">
        <v>4.75</v>
      </c>
      <c r="F309" s="4">
        <v>4.87</v>
      </c>
      <c r="G309" s="4">
        <v>4.2699999999999996</v>
      </c>
      <c r="H309" s="4">
        <v>5.74</v>
      </c>
      <c r="I309" s="3"/>
      <c r="J309" s="3"/>
      <c r="K309" s="3"/>
    </row>
    <row r="310" spans="1:11" x14ac:dyDescent="0.3">
      <c r="A310" s="5" t="s">
        <v>27</v>
      </c>
      <c r="B310" s="4"/>
      <c r="C310" s="4">
        <v>2929</v>
      </c>
      <c r="D310" s="4">
        <v>2850</v>
      </c>
      <c r="E310" s="4">
        <v>2831</v>
      </c>
      <c r="F310" s="4">
        <v>2792</v>
      </c>
      <c r="G310" s="4">
        <v>2724</v>
      </c>
      <c r="H310" s="4">
        <v>2692</v>
      </c>
      <c r="I310" s="3"/>
      <c r="J310" s="3"/>
      <c r="K310" s="3"/>
    </row>
    <row r="311" spans="1:11" x14ac:dyDescent="0.3">
      <c r="A311" s="7" t="s">
        <v>26</v>
      </c>
      <c r="I311" s="3"/>
      <c r="J311" s="3"/>
      <c r="K311" s="3"/>
    </row>
    <row r="312" spans="1:11" x14ac:dyDescent="0.3">
      <c r="A312" s="5" t="s">
        <v>25</v>
      </c>
      <c r="B312" s="4"/>
      <c r="C312" s="4">
        <v>2945</v>
      </c>
      <c r="D312" s="4">
        <v>2868</v>
      </c>
      <c r="E312" s="4">
        <v>2847</v>
      </c>
      <c r="F312" s="4">
        <v>2805</v>
      </c>
      <c r="G312" s="4">
        <v>2734</v>
      </c>
      <c r="H312" s="4">
        <v>2703</v>
      </c>
      <c r="I312" s="3"/>
      <c r="J312" s="3"/>
      <c r="K312" s="3"/>
    </row>
    <row r="313" spans="1:11" x14ac:dyDescent="0.3">
      <c r="A313" s="5" t="s">
        <v>24</v>
      </c>
      <c r="B313" s="4"/>
      <c r="C313" s="4">
        <v>2878</v>
      </c>
      <c r="D313" s="4">
        <v>2832.4929999999999</v>
      </c>
      <c r="E313" s="4">
        <v>2821</v>
      </c>
      <c r="F313" s="4">
        <v>2761</v>
      </c>
      <c r="G313" s="4">
        <v>2693</v>
      </c>
      <c r="H313" s="4">
        <v>2685</v>
      </c>
      <c r="I313" s="3"/>
      <c r="J313" s="3"/>
      <c r="K313" s="3"/>
    </row>
    <row r="314" spans="1:11" x14ac:dyDescent="0.3">
      <c r="A314" s="5" t="s">
        <v>23</v>
      </c>
      <c r="B314" s="4"/>
      <c r="C314" s="4">
        <v>27753</v>
      </c>
      <c r="D314" s="4">
        <v>25255</v>
      </c>
      <c r="E314" s="4">
        <v>36074</v>
      </c>
      <c r="F314" s="4">
        <v>24181</v>
      </c>
      <c r="G314" s="4">
        <v>28841</v>
      </c>
      <c r="H314" s="4">
        <v>35726</v>
      </c>
      <c r="I314" s="3"/>
      <c r="J314" s="3"/>
      <c r="K314" s="3"/>
    </row>
    <row r="315" spans="1:11" x14ac:dyDescent="0.3">
      <c r="A315" s="5" t="s">
        <v>22</v>
      </c>
      <c r="B315" s="4"/>
      <c r="C315" s="4">
        <v>10344</v>
      </c>
      <c r="D315" s="4">
        <v>10705</v>
      </c>
      <c r="E315" s="4">
        <v>10264</v>
      </c>
      <c r="F315" s="4">
        <v>13106</v>
      </c>
      <c r="G315" s="4">
        <v>16857</v>
      </c>
      <c r="H315" s="4">
        <v>20606</v>
      </c>
      <c r="I315" s="3"/>
      <c r="J315" s="3"/>
      <c r="K315" s="3"/>
    </row>
    <row r="316" spans="1:11" x14ac:dyDescent="0.3">
      <c r="A316" s="5" t="s">
        <v>21</v>
      </c>
      <c r="B316" s="4"/>
      <c r="C316" s="4">
        <v>519</v>
      </c>
      <c r="D316" s="4">
        <v>321</v>
      </c>
      <c r="E316" s="4">
        <v>215</v>
      </c>
      <c r="F316" s="4">
        <v>394</v>
      </c>
      <c r="G316" s="4">
        <v>170</v>
      </c>
      <c r="H316" s="4">
        <v>250</v>
      </c>
      <c r="I316" s="3"/>
      <c r="J316" s="3"/>
      <c r="K316" s="3"/>
    </row>
    <row r="317" spans="1:11" x14ac:dyDescent="0.3">
      <c r="A317" s="5" t="s">
        <v>20</v>
      </c>
      <c r="B317" s="6"/>
      <c r="C317" s="4">
        <v>14656</v>
      </c>
      <c r="D317" s="4">
        <v>56</v>
      </c>
      <c r="E317" s="4">
        <v>180</v>
      </c>
      <c r="F317" s="4">
        <v>359</v>
      </c>
      <c r="G317" s="4">
        <v>740</v>
      </c>
      <c r="H317" s="4">
        <v>9</v>
      </c>
      <c r="I317" s="3"/>
      <c r="J317" s="3"/>
      <c r="K317" s="3"/>
    </row>
    <row r="318" spans="1:11" x14ac:dyDescent="0.3">
      <c r="A318" s="5" t="s">
        <v>19</v>
      </c>
      <c r="B318" s="4"/>
      <c r="C318" s="4">
        <v>-24036</v>
      </c>
      <c r="D318" s="4">
        <v>-9128</v>
      </c>
      <c r="E318" s="4">
        <v>-10071</v>
      </c>
      <c r="F318" s="4">
        <v>-6015</v>
      </c>
      <c r="G318" s="4">
        <v>-17722</v>
      </c>
      <c r="H318" s="4">
        <v>-21287</v>
      </c>
      <c r="I318" s="3"/>
      <c r="J318" s="3"/>
      <c r="K318" s="3"/>
    </row>
    <row r="319" spans="1:11" x14ac:dyDescent="0.3">
      <c r="A319" s="5" t="s">
        <v>18</v>
      </c>
      <c r="B319" s="4"/>
      <c r="C319" s="4">
        <v>6102</v>
      </c>
      <c r="D319" s="4">
        <v>6048</v>
      </c>
      <c r="E319" s="4">
        <v>6116</v>
      </c>
      <c r="F319" s="4">
        <v>6152</v>
      </c>
      <c r="G319" s="4">
        <v>6114</v>
      </c>
      <c r="H319" s="4">
        <v>6140</v>
      </c>
      <c r="I319" s="3"/>
      <c r="J319" s="3"/>
      <c r="K319" s="3"/>
    </row>
    <row r="320" spans="1:11" x14ac:dyDescent="0.3">
      <c r="A320" s="7" t="s">
        <v>17</v>
      </c>
      <c r="I320" s="3"/>
      <c r="J320" s="3"/>
      <c r="K320" s="3"/>
    </row>
    <row r="321" spans="1:11" x14ac:dyDescent="0.3">
      <c r="A321" s="5" t="s">
        <v>16</v>
      </c>
      <c r="B321" s="4"/>
      <c r="C321" s="4">
        <v>2348</v>
      </c>
      <c r="D321" s="4">
        <v>2464</v>
      </c>
      <c r="E321" s="4">
        <v>2216</v>
      </c>
      <c r="F321" s="4">
        <v>2237</v>
      </c>
      <c r="G321" s="4">
        <v>2051</v>
      </c>
      <c r="H321" s="4">
        <v>2519</v>
      </c>
      <c r="I321" s="3"/>
      <c r="J321" s="3"/>
      <c r="K321" s="3"/>
    </row>
    <row r="322" spans="1:11" x14ac:dyDescent="0.3">
      <c r="A322" s="5" t="s">
        <v>15</v>
      </c>
      <c r="B322" s="4"/>
      <c r="C322" s="4">
        <v>3982</v>
      </c>
      <c r="D322" s="4">
        <v>3616</v>
      </c>
      <c r="E322" s="4">
        <v>5271</v>
      </c>
      <c r="F322" s="4">
        <v>5918</v>
      </c>
      <c r="G322" s="4">
        <v>3310</v>
      </c>
      <c r="H322" s="4">
        <v>5879</v>
      </c>
      <c r="I322" s="3"/>
      <c r="J322" s="3"/>
      <c r="K322" s="3"/>
    </row>
    <row r="323" spans="1:11" x14ac:dyDescent="0.3">
      <c r="A323" s="5" t="s">
        <v>14</v>
      </c>
      <c r="B323" s="6"/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3"/>
      <c r="J323" s="3"/>
      <c r="K323" s="3"/>
    </row>
    <row r="324" spans="1:11" x14ac:dyDescent="0.3">
      <c r="A324" s="5" t="s">
        <v>13</v>
      </c>
      <c r="B324" s="4"/>
      <c r="C324" s="4">
        <v>-53</v>
      </c>
      <c r="D324" s="4">
        <v>-4656</v>
      </c>
      <c r="E324" s="4">
        <v>-324</v>
      </c>
      <c r="F324" s="4">
        <v>193</v>
      </c>
      <c r="G324" s="4">
        <v>-34</v>
      </c>
      <c r="H324" s="4">
        <v>512</v>
      </c>
      <c r="I324" s="3"/>
      <c r="J324" s="3"/>
      <c r="K324" s="3"/>
    </row>
    <row r="325" spans="1:11" x14ac:dyDescent="0.3">
      <c r="A325" s="5" t="s">
        <v>12</v>
      </c>
      <c r="B325" s="6"/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3"/>
      <c r="J325" s="3"/>
      <c r="K325" s="3"/>
    </row>
    <row r="326" spans="1:11" x14ac:dyDescent="0.3">
      <c r="A326" s="5" t="s">
        <v>11</v>
      </c>
      <c r="B326" s="4"/>
      <c r="C326" s="4">
        <v>3</v>
      </c>
      <c r="D326" s="4">
        <v>3</v>
      </c>
      <c r="E326" s="4">
        <v>3</v>
      </c>
      <c r="F326" s="4">
        <v>3</v>
      </c>
      <c r="G326" s="4">
        <v>3</v>
      </c>
      <c r="H326" s="4">
        <v>3</v>
      </c>
      <c r="I326" s="3"/>
      <c r="J326" s="3"/>
      <c r="K326" s="3"/>
    </row>
    <row r="327" spans="1:11" x14ac:dyDescent="0.3">
      <c r="A327" s="5" t="s">
        <v>10</v>
      </c>
      <c r="B327" s="4"/>
      <c r="C327" s="4">
        <v>3500</v>
      </c>
      <c r="D327" s="4">
        <v>3700</v>
      </c>
      <c r="E327" s="4">
        <v>3200</v>
      </c>
      <c r="F327" s="4">
        <v>3900</v>
      </c>
      <c r="G327" s="4">
        <v>4100</v>
      </c>
      <c r="H327" s="4">
        <v>4400</v>
      </c>
      <c r="I327" s="3"/>
      <c r="J327" s="3"/>
      <c r="K327" s="3"/>
    </row>
    <row r="328" spans="1:11" x14ac:dyDescent="0.3">
      <c r="A328" s="5" t="s">
        <v>9</v>
      </c>
      <c r="B328" s="4"/>
      <c r="C328" s="4">
        <v>2.08</v>
      </c>
      <c r="D328" s="4">
        <v>2.12</v>
      </c>
      <c r="E328" s="4">
        <v>2.16</v>
      </c>
      <c r="F328" s="4">
        <v>2.2000000000000002</v>
      </c>
      <c r="G328" s="4">
        <v>2.2400000000000002</v>
      </c>
      <c r="H328" s="4">
        <v>2.2799999999999998</v>
      </c>
      <c r="I328" s="3"/>
      <c r="J328" s="3"/>
      <c r="K328" s="3"/>
    </row>
    <row r="329" spans="1:11" x14ac:dyDescent="0.3">
      <c r="A329" s="5" t="s">
        <v>8</v>
      </c>
      <c r="B329" s="4"/>
      <c r="C329" s="4">
        <v>6102</v>
      </c>
      <c r="D329" s="4">
        <v>6048</v>
      </c>
      <c r="E329" s="4">
        <v>6116</v>
      </c>
      <c r="F329" s="4">
        <v>6152</v>
      </c>
      <c r="G329" s="4">
        <v>6114</v>
      </c>
      <c r="H329" s="4">
        <v>6140</v>
      </c>
      <c r="I329" s="3"/>
      <c r="J329" s="3"/>
      <c r="K329" s="3"/>
    </row>
    <row r="330" spans="1:11" x14ac:dyDescent="0.3">
      <c r="A330" s="5" t="s">
        <v>7</v>
      </c>
      <c r="B330" s="4"/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3"/>
      <c r="J330" s="3"/>
      <c r="K330" s="3"/>
    </row>
    <row r="331" spans="1:11" x14ac:dyDescent="0.3">
      <c r="A331" s="5" t="s">
        <v>6</v>
      </c>
      <c r="B331" s="4"/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3"/>
      <c r="J331" s="3"/>
      <c r="K331" s="3"/>
    </row>
    <row r="332" spans="1:11" x14ac:dyDescent="0.3">
      <c r="A332" s="5" t="s">
        <v>5</v>
      </c>
      <c r="B332" s="4"/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3"/>
      <c r="J332" s="3"/>
      <c r="K332" s="3"/>
    </row>
    <row r="333" spans="1:11" x14ac:dyDescent="0.3">
      <c r="A333" s="5" t="s">
        <v>4</v>
      </c>
      <c r="B333" s="4"/>
      <c r="C333" s="4">
        <v>93.15</v>
      </c>
      <c r="D333" s="4">
        <v>118.84</v>
      </c>
      <c r="E333" s="4">
        <v>144.15</v>
      </c>
      <c r="F333" s="4">
        <v>144.69</v>
      </c>
      <c r="G333" s="4">
        <v>141.79</v>
      </c>
      <c r="H333" s="4">
        <v>157.65</v>
      </c>
      <c r="I333" s="3"/>
      <c r="J333" s="3"/>
      <c r="K333" s="3"/>
    </row>
    <row r="334" spans="1:11" x14ac:dyDescent="0.3">
      <c r="A334" s="5" t="s">
        <v>3</v>
      </c>
      <c r="B334" s="4"/>
      <c r="C334" s="4">
        <v>95.83</v>
      </c>
      <c r="D334" s="4">
        <v>114.49</v>
      </c>
      <c r="E334" s="4">
        <v>140.49</v>
      </c>
      <c r="F334" s="4">
        <v>139.81</v>
      </c>
      <c r="G334" s="4">
        <v>143.87</v>
      </c>
      <c r="H334" s="4">
        <v>165.25</v>
      </c>
      <c r="I334" s="3"/>
      <c r="J334" s="3"/>
      <c r="K334" s="3"/>
    </row>
    <row r="335" spans="1:11" x14ac:dyDescent="0.3">
      <c r="A335" s="5" t="s">
        <v>2</v>
      </c>
      <c r="B335" s="6"/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3"/>
      <c r="J335" s="3"/>
      <c r="K335" s="3"/>
    </row>
    <row r="336" spans="1:11" x14ac:dyDescent="0.3">
      <c r="A336" s="5" t="s">
        <v>1</v>
      </c>
      <c r="B336" s="4"/>
      <c r="C336" s="4">
        <v>3000</v>
      </c>
      <c r="D336" s="4">
        <v>3361</v>
      </c>
      <c r="E336" s="4">
        <v>3403</v>
      </c>
      <c r="F336" s="4">
        <v>3097</v>
      </c>
      <c r="G336" s="4">
        <v>3205</v>
      </c>
      <c r="H336" s="4">
        <v>3359</v>
      </c>
      <c r="I336" s="3"/>
      <c r="J336" s="3"/>
      <c r="K336" s="3"/>
    </row>
    <row r="337" spans="1:11" x14ac:dyDescent="0.3">
      <c r="A337" s="5" t="s">
        <v>0</v>
      </c>
      <c r="B337" s="4"/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3"/>
      <c r="J337" s="3"/>
      <c r="K337" s="3"/>
    </row>
    <row r="338" spans="1:11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1000" spans="648:648" x14ac:dyDescent="0.3">
      <c r="XX1000" s="2">
        <v>117383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0DE0-988E-4AAA-9456-0205B534785B}">
  <sheetPr>
    <tabColor rgb="FF00B050"/>
  </sheetPr>
  <dimension ref="A1:XX1000"/>
  <sheetViews>
    <sheetView topLeftCell="N12" zoomScale="70" zoomScaleNormal="70" workbookViewId="0">
      <selection activeCell="T42" sqref="T42"/>
    </sheetView>
  </sheetViews>
  <sheetFormatPr defaultColWidth="7.69921875" defaultRowHeight="13.2" x14ac:dyDescent="0.25"/>
  <cols>
    <col min="1" max="1" width="61.59765625" style="12" bestFit="1" customWidth="1"/>
    <col min="2" max="2" width="8.8984375" style="12" bestFit="1" customWidth="1"/>
    <col min="3" max="3" width="17.09765625" style="12" bestFit="1" customWidth="1"/>
    <col min="4" max="4" width="16.69921875" style="12" bestFit="1" customWidth="1"/>
    <col min="5" max="5" width="16.3984375" style="12" bestFit="1" customWidth="1"/>
    <col min="6" max="6" width="17.09765625" style="12" bestFit="1" customWidth="1"/>
    <col min="7" max="8" width="16.69921875" style="12" bestFit="1" customWidth="1"/>
    <col min="9" max="9" width="12.59765625" style="12" bestFit="1" customWidth="1"/>
    <col min="10" max="10" width="7.69921875" style="12"/>
    <col min="11" max="11" width="51.09765625" style="12" customWidth="1"/>
    <col min="12" max="12" width="10.59765625" style="12" bestFit="1" customWidth="1"/>
    <col min="13" max="14" width="12" style="12" bestFit="1" customWidth="1"/>
    <col min="15" max="15" width="12.3984375" style="12" bestFit="1" customWidth="1"/>
    <col min="16" max="16" width="10" style="12" bestFit="1" customWidth="1"/>
    <col min="17" max="17" width="9.19921875" style="12" bestFit="1" customWidth="1"/>
    <col min="18" max="18" width="9.8984375" style="12" bestFit="1" customWidth="1"/>
    <col min="19" max="19" width="14.19921875" style="12" bestFit="1" customWidth="1"/>
    <col min="20" max="20" width="16.8984375" style="12" customWidth="1"/>
    <col min="21" max="21" width="11.59765625" style="12" bestFit="1" customWidth="1"/>
    <col min="22" max="22" width="13.5" style="12" customWidth="1"/>
    <col min="23" max="23" width="8.69921875" style="12" customWidth="1"/>
    <col min="24" max="16384" width="7.69921875" style="12"/>
  </cols>
  <sheetData>
    <row r="1" spans="1:126" ht="16.8" thickBot="1" x14ac:dyDescent="0.4">
      <c r="A1" s="318" t="str">
        <f>'Raw Data'!A1</f>
        <v>Financial Statement for: WALMART INC</v>
      </c>
      <c r="B1" s="319" t="s">
        <v>368</v>
      </c>
      <c r="C1" s="318" t="s">
        <v>367</v>
      </c>
      <c r="D1" s="317" t="str">
        <f>'Raw Data'!C1</f>
        <v>WMT</v>
      </c>
      <c r="E1" s="1"/>
      <c r="F1" s="1"/>
      <c r="G1" s="1"/>
      <c r="H1" s="1"/>
      <c r="I1" s="1"/>
      <c r="J1" s="1"/>
      <c r="K1" s="50" t="s">
        <v>366</v>
      </c>
      <c r="L1" s="316"/>
      <c r="M1" s="315">
        <f t="shared" ref="M1:R1" si="0">C4</f>
        <v>43496</v>
      </c>
      <c r="N1" s="315">
        <f t="shared" si="0"/>
        <v>43861</v>
      </c>
      <c r="O1" s="315">
        <f t="shared" si="0"/>
        <v>44227</v>
      </c>
      <c r="P1" s="315">
        <f t="shared" si="0"/>
        <v>44592</v>
      </c>
      <c r="Q1" s="315">
        <f t="shared" si="0"/>
        <v>44957</v>
      </c>
      <c r="R1" s="315">
        <f t="shared" si="0"/>
        <v>45322</v>
      </c>
      <c r="S1" s="314"/>
      <c r="T1" s="313" t="s">
        <v>291</v>
      </c>
      <c r="U1" s="312"/>
      <c r="V1" s="398" t="s">
        <v>365</v>
      </c>
      <c r="W1" s="1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</row>
    <row r="2" spans="1:126" ht="16.8" thickBot="1" x14ac:dyDescent="0.4">
      <c r="A2" s="310"/>
      <c r="B2" s="311"/>
      <c r="C2" s="310"/>
      <c r="D2" s="309"/>
      <c r="E2" s="1"/>
      <c r="F2" s="1"/>
      <c r="G2" s="1"/>
      <c r="H2" s="1"/>
      <c r="I2" s="1"/>
      <c r="J2" s="1"/>
      <c r="K2" s="40"/>
      <c r="L2" s="39" t="s">
        <v>305</v>
      </c>
      <c r="M2" s="308">
        <v>-5</v>
      </c>
      <c r="N2" s="308">
        <v>-4</v>
      </c>
      <c r="O2" s="308">
        <v>-3</v>
      </c>
      <c r="P2" s="308">
        <v>-2</v>
      </c>
      <c r="Q2" s="308">
        <v>-1</v>
      </c>
      <c r="R2" s="308">
        <v>0</v>
      </c>
      <c r="S2" s="307" t="s">
        <v>288</v>
      </c>
      <c r="T2" s="306" t="s">
        <v>287</v>
      </c>
      <c r="U2" s="305" t="s">
        <v>286</v>
      </c>
      <c r="V2" s="399"/>
      <c r="W2" s="1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</row>
    <row r="3" spans="1:126" ht="16.2" thickBot="1" x14ac:dyDescent="0.35">
      <c r="A3" s="1"/>
      <c r="B3" s="11" t="s">
        <v>364</v>
      </c>
      <c r="C3" s="304">
        <f t="shared" ref="C3:H3" si="1">C19/C18</f>
        <v>0.37356020942408374</v>
      </c>
      <c r="D3" s="303">
        <f t="shared" si="1"/>
        <v>0.24433286935772519</v>
      </c>
      <c r="E3" s="303">
        <f t="shared" si="1"/>
        <v>0.33349542890488232</v>
      </c>
      <c r="F3" s="303">
        <f t="shared" si="1"/>
        <v>0.25438596491228072</v>
      </c>
      <c r="G3" s="303">
        <f t="shared" si="1"/>
        <v>0.33638928067700985</v>
      </c>
      <c r="H3" s="302">
        <f t="shared" si="1"/>
        <v>0.25530941047235445</v>
      </c>
      <c r="I3" s="1"/>
      <c r="J3" s="1"/>
      <c r="K3" s="198" t="s">
        <v>358</v>
      </c>
      <c r="L3" s="197"/>
      <c r="M3" s="197"/>
      <c r="N3" s="301">
        <f>(D8-C8)/C8</f>
        <v>1.8949483027149137E-2</v>
      </c>
      <c r="O3" s="301">
        <f>(E8-D8)/D8</f>
        <v>6.8095952254011119E-2</v>
      </c>
      <c r="P3" s="301">
        <f>(F8-E8)/E8</f>
        <v>2.3394196429373012E-2</v>
      </c>
      <c r="Q3" s="301">
        <f>(G8-F8)/F8</f>
        <v>6.7581698429018081E-2</v>
      </c>
      <c r="R3" s="301">
        <f>(H8-G8)/G8</f>
        <v>6.1227877287869298E-2</v>
      </c>
      <c r="S3" s="301">
        <f>AVERAGE(N3:R3)</f>
        <v>4.7849841485484129E-2</v>
      </c>
      <c r="T3" s="301" cm="1">
        <f t="array" ref="T3">IFERROR(AVERAGE(IF(N3:R3&lt;&gt;MAX(N3:R3),IF(N3:R3&lt;&gt;MIN(N3:R3),N3:R3))),U3)</f>
        <v>5.0734590715420136E-2</v>
      </c>
      <c r="U3" s="301">
        <f>R3</f>
        <v>6.1227877287869298E-2</v>
      </c>
      <c r="V3" s="301">
        <f>((H8/C8)^(1/5))-1</f>
        <v>4.7618426157257421E-2</v>
      </c>
      <c r="W3" s="1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</row>
    <row r="4" spans="1:126" ht="16.8" thickBot="1" x14ac:dyDescent="0.4">
      <c r="A4" s="1"/>
      <c r="B4" s="300" t="s">
        <v>363</v>
      </c>
      <c r="C4" s="299">
        <v>43496</v>
      </c>
      <c r="D4" s="298">
        <v>43861</v>
      </c>
      <c r="E4" s="298">
        <v>44227</v>
      </c>
      <c r="F4" s="298">
        <v>44592</v>
      </c>
      <c r="G4" s="298">
        <v>44957</v>
      </c>
      <c r="H4" s="298">
        <v>45322</v>
      </c>
      <c r="I4" s="22" t="s">
        <v>362</v>
      </c>
      <c r="J4" s="1"/>
      <c r="K4" s="1"/>
      <c r="L4" s="1"/>
      <c r="M4" s="1"/>
      <c r="N4" s="1"/>
      <c r="O4" s="1"/>
      <c r="P4" s="1"/>
      <c r="Q4" s="1"/>
      <c r="R4" s="1"/>
      <c r="S4" s="52"/>
      <c r="T4" s="52"/>
      <c r="U4" s="52"/>
      <c r="V4" s="1"/>
      <c r="W4" s="1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</row>
    <row r="5" spans="1:126" ht="16.2" x14ac:dyDescent="0.3">
      <c r="A5" s="104"/>
      <c r="B5" s="76" t="s">
        <v>361</v>
      </c>
      <c r="C5" s="72">
        <f>'Raw Data'!C3</f>
        <v>2018</v>
      </c>
      <c r="D5" s="72">
        <f>'Raw Data'!D3</f>
        <v>2019</v>
      </c>
      <c r="E5" s="72">
        <f>'Raw Data'!E3</f>
        <v>2020</v>
      </c>
      <c r="F5" s="72">
        <f>'Raw Data'!F3</f>
        <v>2021</v>
      </c>
      <c r="G5" s="72">
        <f>'Raw Data'!G3</f>
        <v>2022</v>
      </c>
      <c r="H5" s="72">
        <f>'Raw Data'!H3</f>
        <v>2023</v>
      </c>
      <c r="I5" s="1"/>
      <c r="J5" s="1"/>
      <c r="K5" s="50"/>
      <c r="L5" s="49" t="str">
        <f t="shared" ref="L5:R5" si="2">B5</f>
        <v>Fiscal Year</v>
      </c>
      <c r="M5" s="48">
        <f t="shared" si="2"/>
        <v>2018</v>
      </c>
      <c r="N5" s="48">
        <f t="shared" si="2"/>
        <v>2019</v>
      </c>
      <c r="O5" s="48">
        <f t="shared" si="2"/>
        <v>2020</v>
      </c>
      <c r="P5" s="48">
        <f t="shared" si="2"/>
        <v>2021</v>
      </c>
      <c r="Q5" s="48">
        <f t="shared" si="2"/>
        <v>2022</v>
      </c>
      <c r="R5" s="48">
        <f t="shared" si="2"/>
        <v>2023</v>
      </c>
      <c r="S5" s="47" t="s">
        <v>292</v>
      </c>
      <c r="T5" s="46" t="s">
        <v>291</v>
      </c>
      <c r="U5" s="45" t="s">
        <v>290</v>
      </c>
      <c r="V5" s="1"/>
      <c r="W5" s="1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</row>
    <row r="6" spans="1:126" ht="16.8" thickBot="1" x14ac:dyDescent="0.35">
      <c r="A6" s="102" t="s">
        <v>360</v>
      </c>
      <c r="B6" s="43" t="s">
        <v>305</v>
      </c>
      <c r="C6" s="297">
        <v>-5</v>
      </c>
      <c r="D6" s="297">
        <v>-4</v>
      </c>
      <c r="E6" s="297">
        <v>-3</v>
      </c>
      <c r="F6" s="297">
        <v>-2</v>
      </c>
      <c r="G6" s="297">
        <v>-1</v>
      </c>
      <c r="H6" s="296">
        <v>0</v>
      </c>
      <c r="I6" s="1"/>
      <c r="J6" s="1"/>
      <c r="K6" s="40" t="s">
        <v>359</v>
      </c>
      <c r="L6" s="39"/>
      <c r="M6" s="38">
        <f t="shared" ref="M6:R6" si="3">C4</f>
        <v>43496</v>
      </c>
      <c r="N6" s="38">
        <f t="shared" si="3"/>
        <v>43861</v>
      </c>
      <c r="O6" s="38">
        <f t="shared" si="3"/>
        <v>44227</v>
      </c>
      <c r="P6" s="38">
        <f t="shared" si="3"/>
        <v>44592</v>
      </c>
      <c r="Q6" s="38">
        <f t="shared" si="3"/>
        <v>44957</v>
      </c>
      <c r="R6" s="38">
        <f t="shared" si="3"/>
        <v>45322</v>
      </c>
      <c r="S6" s="37" t="s">
        <v>288</v>
      </c>
      <c r="T6" s="36" t="s">
        <v>287</v>
      </c>
      <c r="U6" s="35" t="s">
        <v>286</v>
      </c>
      <c r="V6" s="1"/>
      <c r="W6" s="1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</row>
    <row r="7" spans="1:126" ht="16.2" thickBot="1" x14ac:dyDescent="0.35">
      <c r="A7" s="98"/>
      <c r="B7" s="218"/>
      <c r="C7" s="218"/>
      <c r="D7" s="218"/>
      <c r="E7" s="218"/>
      <c r="F7" s="218"/>
      <c r="G7" s="218"/>
      <c r="H7" s="217"/>
      <c r="I7" s="229"/>
      <c r="J7" s="229"/>
      <c r="K7" s="179"/>
      <c r="L7" s="195"/>
      <c r="M7" s="120"/>
      <c r="N7" s="207"/>
      <c r="O7" s="207"/>
      <c r="P7" s="207"/>
      <c r="Q7" s="207"/>
      <c r="R7" s="206"/>
      <c r="S7" s="142"/>
      <c r="T7" s="141"/>
      <c r="U7" s="140"/>
      <c r="V7" s="229"/>
      <c r="W7" s="1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</row>
    <row r="8" spans="1:126" ht="15.6" x14ac:dyDescent="0.3">
      <c r="A8" s="295" t="s">
        <v>358</v>
      </c>
      <c r="B8" s="218"/>
      <c r="C8" s="209">
        <f>'Raw Data'!C73</f>
        <v>511729</v>
      </c>
      <c r="D8" s="209">
        <f>'Raw Data'!D73</f>
        <v>521426</v>
      </c>
      <c r="E8" s="209">
        <f>'Raw Data'!E73</f>
        <v>556933</v>
      </c>
      <c r="F8" s="209">
        <f>'Raw Data'!F73</f>
        <v>569962</v>
      </c>
      <c r="G8" s="209">
        <f>'Raw Data'!G73</f>
        <v>608481</v>
      </c>
      <c r="H8" s="208">
        <f>'Raw Data'!H73</f>
        <v>645737</v>
      </c>
      <c r="I8" s="229"/>
      <c r="J8" s="229"/>
      <c r="K8" s="294" t="s">
        <v>358</v>
      </c>
      <c r="L8" s="207"/>
      <c r="M8" s="293">
        <f t="shared" ref="M8:M24" si="4">C8/C$8</f>
        <v>1</v>
      </c>
      <c r="N8" s="292">
        <f t="shared" ref="N8:N24" si="5">D8/D$8</f>
        <v>1</v>
      </c>
      <c r="O8" s="292">
        <f t="shared" ref="O8:O24" si="6">E8/E$8</f>
        <v>1</v>
      </c>
      <c r="P8" s="292">
        <f t="shared" ref="P8:P24" si="7">F8/F$8</f>
        <v>1</v>
      </c>
      <c r="Q8" s="292">
        <f t="shared" ref="Q8:Q24" si="8">G8/G$8</f>
        <v>1</v>
      </c>
      <c r="R8" s="292">
        <f t="shared" ref="R8:R24" si="9">H8/H$8</f>
        <v>1</v>
      </c>
      <c r="S8" s="292">
        <f t="shared" ref="S8:S24" si="10">AVERAGE(M8:R8)</f>
        <v>1</v>
      </c>
      <c r="T8" s="292" cm="1">
        <f t="array" ref="T8">IFERROR(AVERAGE(IF(M8:R8&lt;&gt;MAX(M8:R8),IF(M8:R8&lt;&gt;MIN(M8:R8),M8:R8))),U8)</f>
        <v>1</v>
      </c>
      <c r="U8" s="291">
        <f t="shared" ref="U8:U24" si="11">R8</f>
        <v>1</v>
      </c>
      <c r="V8" s="229"/>
      <c r="W8" s="1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</row>
    <row r="9" spans="1:126" ht="15.6" x14ac:dyDescent="0.3">
      <c r="A9" s="289" t="s">
        <v>357</v>
      </c>
      <c r="B9" s="236"/>
      <c r="C9" s="226">
        <f>'Raw Data'!C74</f>
        <v>374623</v>
      </c>
      <c r="D9" s="226">
        <f>'Raw Data'!D74</f>
        <v>383618</v>
      </c>
      <c r="E9" s="226">
        <f>'Raw Data'!E74</f>
        <v>409163</v>
      </c>
      <c r="F9" s="226">
        <f>'Raw Data'!F74</f>
        <v>418342</v>
      </c>
      <c r="G9" s="226">
        <f>'Raw Data'!G74</f>
        <v>452776</v>
      </c>
      <c r="H9" s="225">
        <f>'Raw Data'!H74</f>
        <v>478289</v>
      </c>
      <c r="I9" s="229"/>
      <c r="J9" s="229"/>
      <c r="K9" s="288" t="s">
        <v>357</v>
      </c>
      <c r="L9" s="290"/>
      <c r="M9" s="136">
        <f t="shared" si="4"/>
        <v>0.73207303084249675</v>
      </c>
      <c r="N9" s="31">
        <f t="shared" si="5"/>
        <v>0.73570938158051191</v>
      </c>
      <c r="O9" s="31">
        <f t="shared" si="6"/>
        <v>0.73467185460369555</v>
      </c>
      <c r="P9" s="31">
        <f t="shared" si="7"/>
        <v>0.73398226548436563</v>
      </c>
      <c r="Q9" s="31">
        <f t="shared" si="8"/>
        <v>0.74410869032886806</v>
      </c>
      <c r="R9" s="31">
        <f t="shared" si="9"/>
        <v>0.74068699795737269</v>
      </c>
      <c r="S9" s="31">
        <f t="shared" si="10"/>
        <v>0.73687203679955182</v>
      </c>
      <c r="T9" s="31" cm="1">
        <f t="array" ref="T9">IFERROR(AVERAGE(IF(M9:R9&lt;&gt;MAX(M9:R9),IF(M9:R9&lt;&gt;MIN(M9:R9),M9:R9))),U9)</f>
        <v>0.73626262490648653</v>
      </c>
      <c r="U9" s="30">
        <f t="shared" si="11"/>
        <v>0.74068699795737269</v>
      </c>
      <c r="V9" s="229"/>
      <c r="W9" s="1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</row>
    <row r="10" spans="1:126" ht="15.6" x14ac:dyDescent="0.3">
      <c r="A10" s="286" t="s">
        <v>47</v>
      </c>
      <c r="B10" s="235"/>
      <c r="C10" s="234">
        <f t="shared" ref="C10:H10" si="12">C8-C9</f>
        <v>137106</v>
      </c>
      <c r="D10" s="234">
        <f t="shared" si="12"/>
        <v>137808</v>
      </c>
      <c r="E10" s="234">
        <f t="shared" si="12"/>
        <v>147770</v>
      </c>
      <c r="F10" s="234">
        <f t="shared" si="12"/>
        <v>151620</v>
      </c>
      <c r="G10" s="234">
        <f t="shared" si="12"/>
        <v>155705</v>
      </c>
      <c r="H10" s="233">
        <f t="shared" si="12"/>
        <v>167448</v>
      </c>
      <c r="I10" s="229"/>
      <c r="J10" s="229"/>
      <c r="K10" s="285" t="s">
        <v>47</v>
      </c>
      <c r="L10" s="144"/>
      <c r="M10" s="136">
        <f t="shared" si="4"/>
        <v>0.2679269691575033</v>
      </c>
      <c r="N10" s="31">
        <f t="shared" si="5"/>
        <v>0.26429061841948809</v>
      </c>
      <c r="O10" s="31">
        <f t="shared" si="6"/>
        <v>0.26532814539630439</v>
      </c>
      <c r="P10" s="31">
        <f t="shared" si="7"/>
        <v>0.26601773451563437</v>
      </c>
      <c r="Q10" s="31">
        <f t="shared" si="8"/>
        <v>0.25589130967113188</v>
      </c>
      <c r="R10" s="31">
        <f t="shared" si="9"/>
        <v>0.25931300204262725</v>
      </c>
      <c r="S10" s="31">
        <f t="shared" si="10"/>
        <v>0.26312796320044823</v>
      </c>
      <c r="T10" s="31" cm="1">
        <f t="array" ref="T10">IFERROR(AVERAGE(IF(M10:R10&lt;&gt;MAX(M10:R10),IF(M10:R10&lt;&gt;MIN(M10:R10),M10:R10))),U10)</f>
        <v>0.26373737509351353</v>
      </c>
      <c r="U10" s="30">
        <f t="shared" si="11"/>
        <v>0.25931300204262725</v>
      </c>
      <c r="V10" s="229"/>
      <c r="W10" s="1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</row>
    <row r="11" spans="1:126" ht="15.6" x14ac:dyDescent="0.3">
      <c r="A11" s="289" t="s">
        <v>356</v>
      </c>
      <c r="B11" s="236"/>
      <c r="C11" s="226">
        <f>'Raw Data'!C75</f>
        <v>106957</v>
      </c>
      <c r="D11" s="226">
        <f>'Raw Data'!D75</f>
        <v>107669</v>
      </c>
      <c r="E11" s="226">
        <f>'Raw Data'!E75</f>
        <v>111733</v>
      </c>
      <c r="F11" s="226">
        <f>'Raw Data'!F75</f>
        <v>115204</v>
      </c>
      <c r="G11" s="226">
        <f>'Raw Data'!G75</f>
        <v>122966</v>
      </c>
      <c r="H11" s="225">
        <f>'Raw Data'!H75</f>
        <v>130878</v>
      </c>
      <c r="I11" s="229"/>
      <c r="J11" s="229"/>
      <c r="K11" s="288" t="s">
        <v>356</v>
      </c>
      <c r="L11" s="223"/>
      <c r="M11" s="136">
        <f t="shared" si="4"/>
        <v>0.20901101950446427</v>
      </c>
      <c r="N11" s="31">
        <f t="shared" si="5"/>
        <v>0.20648951145512498</v>
      </c>
      <c r="O11" s="31">
        <f t="shared" si="6"/>
        <v>0.2006219778680739</v>
      </c>
      <c r="P11" s="31">
        <f t="shared" si="7"/>
        <v>0.20212575575213787</v>
      </c>
      <c r="Q11" s="31">
        <f t="shared" si="8"/>
        <v>0.2020868359077769</v>
      </c>
      <c r="R11" s="31">
        <f t="shared" si="9"/>
        <v>0.20268003846767338</v>
      </c>
      <c r="S11" s="31">
        <f t="shared" si="10"/>
        <v>0.20383585649254191</v>
      </c>
      <c r="T11" s="31" cm="1">
        <f t="array" ref="T11">IFERROR(AVERAGE(IF(M11:R11&lt;&gt;MAX(M11:R11),IF(M11:R11&lt;&gt;MIN(M11:R11),M11:R11))),U11)</f>
        <v>0.20334553539567826</v>
      </c>
      <c r="U11" s="30">
        <f t="shared" si="11"/>
        <v>0.20268003846767338</v>
      </c>
      <c r="V11" s="229"/>
      <c r="W11" s="1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</row>
    <row r="12" spans="1:126" ht="15.6" x14ac:dyDescent="0.3">
      <c r="A12" s="286" t="s">
        <v>355</v>
      </c>
      <c r="B12" s="235"/>
      <c r="C12" s="234">
        <f t="shared" ref="C12:H12" si="13">C10-C11</f>
        <v>30149</v>
      </c>
      <c r="D12" s="234">
        <f t="shared" si="13"/>
        <v>30139</v>
      </c>
      <c r="E12" s="234">
        <f t="shared" si="13"/>
        <v>36037</v>
      </c>
      <c r="F12" s="234">
        <f t="shared" si="13"/>
        <v>36416</v>
      </c>
      <c r="G12" s="234">
        <f t="shared" si="13"/>
        <v>32739</v>
      </c>
      <c r="H12" s="233">
        <f t="shared" si="13"/>
        <v>36570</v>
      </c>
      <c r="I12" s="229"/>
      <c r="J12" s="229"/>
      <c r="K12" s="285" t="s">
        <v>355</v>
      </c>
      <c r="L12" s="144"/>
      <c r="M12" s="136">
        <f t="shared" si="4"/>
        <v>5.8915949653039014E-2</v>
      </c>
      <c r="N12" s="31">
        <f t="shared" si="5"/>
        <v>5.7801106964363115E-2</v>
      </c>
      <c r="O12" s="31">
        <f t="shared" si="6"/>
        <v>6.470616752823051E-2</v>
      </c>
      <c r="P12" s="31">
        <f t="shared" si="7"/>
        <v>6.3891978763496518E-2</v>
      </c>
      <c r="Q12" s="31">
        <f t="shared" si="8"/>
        <v>5.3804473763354975E-2</v>
      </c>
      <c r="R12" s="31">
        <f t="shared" si="9"/>
        <v>5.6632963574953891E-2</v>
      </c>
      <c r="S12" s="31">
        <f t="shared" si="10"/>
        <v>5.9292106707906335E-2</v>
      </c>
      <c r="T12" s="31" cm="1">
        <f t="array" ref="T12">IFERROR(AVERAGE(IF(M12:R12&lt;&gt;MAX(M12:R12),IF(M12:R12&lt;&gt;MIN(M12:R12),M12:R12))),U12)</f>
        <v>5.9310499738963136E-2</v>
      </c>
      <c r="U12" s="30">
        <f t="shared" si="11"/>
        <v>5.6632963574953891E-2</v>
      </c>
      <c r="V12" s="229"/>
      <c r="W12" s="1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</row>
    <row r="13" spans="1:126" ht="16.2" x14ac:dyDescent="0.35">
      <c r="A13" s="289" t="s">
        <v>354</v>
      </c>
      <c r="B13" s="236"/>
      <c r="C13" s="226">
        <f>'Raw Data'!C77</f>
        <v>10678</v>
      </c>
      <c r="D13" s="226">
        <f>'Raw Data'!D77</f>
        <v>10987</v>
      </c>
      <c r="E13" s="226">
        <f>'Raw Data'!E77</f>
        <v>11152</v>
      </c>
      <c r="F13" s="226">
        <f>'Raw Data'!F77</f>
        <v>10658</v>
      </c>
      <c r="G13" s="226">
        <f>'Raw Data'!G77</f>
        <v>10945</v>
      </c>
      <c r="H13" s="225">
        <f>'Raw Data'!H77</f>
        <v>11853</v>
      </c>
      <c r="I13" s="229"/>
      <c r="J13" s="229"/>
      <c r="K13" s="288" t="s">
        <v>354</v>
      </c>
      <c r="L13" s="223"/>
      <c r="M13" s="136">
        <f t="shared" si="4"/>
        <v>2.0866513330297872E-2</v>
      </c>
      <c r="N13" s="31">
        <f t="shared" si="5"/>
        <v>2.1071062816200189E-2</v>
      </c>
      <c r="O13" s="31">
        <f t="shared" si="6"/>
        <v>2.0023952611894071E-2</v>
      </c>
      <c r="P13" s="31">
        <f t="shared" si="7"/>
        <v>1.8699492246851544E-2</v>
      </c>
      <c r="Q13" s="31">
        <f t="shared" si="8"/>
        <v>1.7987414561835127E-2</v>
      </c>
      <c r="R13" s="31">
        <f t="shared" si="9"/>
        <v>1.8355770228436655E-2</v>
      </c>
      <c r="S13" s="31">
        <f t="shared" si="10"/>
        <v>1.950070096591924E-2</v>
      </c>
      <c r="T13" s="31" cm="1">
        <f t="array" ref="T13">IFERROR(AVERAGE(IF(M13:R13&lt;&gt;MAX(M13:R13),IF(M13:R13&lt;&gt;MIN(M13:R13),M13:R13))),U13)</f>
        <v>1.9486432104370035E-2</v>
      </c>
      <c r="U13" s="30">
        <f t="shared" si="11"/>
        <v>1.8355770228436655E-2</v>
      </c>
      <c r="V13" s="287" t="s">
        <v>353</v>
      </c>
      <c r="W13" s="1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</row>
    <row r="14" spans="1:126" ht="15.6" x14ac:dyDescent="0.3">
      <c r="A14" s="286" t="s">
        <v>352</v>
      </c>
      <c r="B14" s="235"/>
      <c r="C14" s="234">
        <f t="shared" ref="C14:H14" si="14">C12-C13</f>
        <v>19471</v>
      </c>
      <c r="D14" s="234">
        <f t="shared" si="14"/>
        <v>19152</v>
      </c>
      <c r="E14" s="234">
        <f t="shared" si="14"/>
        <v>24885</v>
      </c>
      <c r="F14" s="234">
        <f t="shared" si="14"/>
        <v>25758</v>
      </c>
      <c r="G14" s="234">
        <f t="shared" si="14"/>
        <v>21794</v>
      </c>
      <c r="H14" s="233">
        <f t="shared" si="14"/>
        <v>24717</v>
      </c>
      <c r="I14" s="229"/>
      <c r="J14" s="229"/>
      <c r="K14" s="285" t="s">
        <v>352</v>
      </c>
      <c r="L14" s="144"/>
      <c r="M14" s="136">
        <f t="shared" si="4"/>
        <v>3.8049436322741138E-2</v>
      </c>
      <c r="N14" s="31">
        <f t="shared" si="5"/>
        <v>3.6730044148162923E-2</v>
      </c>
      <c r="O14" s="31">
        <f t="shared" si="6"/>
        <v>4.4682214916336435E-2</v>
      </c>
      <c r="P14" s="31">
        <f t="shared" si="7"/>
        <v>4.5192486516644967E-2</v>
      </c>
      <c r="Q14" s="31">
        <f t="shared" si="8"/>
        <v>3.5817059201519848E-2</v>
      </c>
      <c r="R14" s="31">
        <f t="shared" si="9"/>
        <v>3.8277193346517233E-2</v>
      </c>
      <c r="S14" s="31">
        <f t="shared" si="10"/>
        <v>3.9791405741987092E-2</v>
      </c>
      <c r="T14" s="31" cm="1">
        <f t="array" ref="T14">IFERROR(AVERAGE(IF(M14:R14&lt;&gt;MAX(M14:R14),IF(M14:R14&lt;&gt;MIN(M14:R14),M14:R14))),U14)</f>
        <v>3.9434722183439436E-2</v>
      </c>
      <c r="U14" s="30">
        <f t="shared" si="11"/>
        <v>3.8277193346517233E-2</v>
      </c>
      <c r="V14" s="229"/>
      <c r="W14" s="1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</row>
    <row r="15" spans="1:126" ht="15.6" x14ac:dyDescent="0.3">
      <c r="A15" s="98" t="s">
        <v>351</v>
      </c>
      <c r="B15" s="218"/>
      <c r="C15" s="209">
        <f>'Raw Data'!C82</f>
        <v>2346</v>
      </c>
      <c r="D15" s="209">
        <f>'Raw Data'!D82</f>
        <v>2599</v>
      </c>
      <c r="E15" s="209">
        <f>'Raw Data'!E82</f>
        <v>2315</v>
      </c>
      <c r="F15" s="209">
        <f>'Raw Data'!F82</f>
        <v>1994</v>
      </c>
      <c r="G15" s="209">
        <f>'Raw Data'!G82</f>
        <v>2128</v>
      </c>
      <c r="H15" s="208">
        <f>'Raw Data'!H82</f>
        <v>2683</v>
      </c>
      <c r="I15" s="229"/>
      <c r="J15" s="229"/>
      <c r="K15" s="179" t="s">
        <v>351</v>
      </c>
      <c r="L15" s="144"/>
      <c r="M15" s="136">
        <f t="shared" si="4"/>
        <v>4.5844577891813827E-3</v>
      </c>
      <c r="N15" s="31">
        <f t="shared" si="5"/>
        <v>4.9844081422867293E-3</v>
      </c>
      <c r="O15" s="31">
        <f t="shared" si="6"/>
        <v>4.1566938931612962E-3</v>
      </c>
      <c r="P15" s="31">
        <f t="shared" si="7"/>
        <v>3.4984788459581518E-3</v>
      </c>
      <c r="Q15" s="31">
        <f t="shared" si="8"/>
        <v>3.4972332743339564E-3</v>
      </c>
      <c r="R15" s="31">
        <f t="shared" si="9"/>
        <v>4.1549423372053947E-3</v>
      </c>
      <c r="S15" s="31">
        <f t="shared" si="10"/>
        <v>4.1460357136878191E-3</v>
      </c>
      <c r="T15" s="31" cm="1">
        <f t="array" ref="T15">IFERROR(AVERAGE(IF(M15:R15&lt;&gt;MAX(M15:R15),IF(M15:R15&lt;&gt;MIN(M15:R15),M15:R15))),U15)</f>
        <v>4.0986432163765563E-3</v>
      </c>
      <c r="U15" s="30">
        <f t="shared" si="11"/>
        <v>4.1549423372053947E-3</v>
      </c>
      <c r="V15" s="229"/>
      <c r="W15" s="1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</row>
    <row r="16" spans="1:126" ht="15.6" x14ac:dyDescent="0.3">
      <c r="A16" s="98" t="s">
        <v>215</v>
      </c>
      <c r="B16" s="218"/>
      <c r="C16" s="209">
        <f>'Raw Data'!C83</f>
        <v>-625</v>
      </c>
      <c r="D16" s="209">
        <f>'Raw Data'!D83</f>
        <v>4685</v>
      </c>
      <c r="E16" s="209">
        <f>'Raw Data'!E83</f>
        <v>3549</v>
      </c>
      <c r="F16" s="209">
        <f>'Raw Data'!F83</f>
        <v>383</v>
      </c>
      <c r="G16" s="209">
        <f>'Raw Data'!G83</f>
        <v>1124</v>
      </c>
      <c r="H16" s="208">
        <f>'Raw Data'!H83</f>
        <v>-93</v>
      </c>
      <c r="I16" s="229"/>
      <c r="J16" s="229"/>
      <c r="K16" s="179" t="s">
        <v>215</v>
      </c>
      <c r="L16" s="144"/>
      <c r="M16" s="136">
        <f t="shared" si="4"/>
        <v>-1.2213495815167794E-3</v>
      </c>
      <c r="N16" s="31">
        <f t="shared" si="5"/>
        <v>8.9849758163190949E-3</v>
      </c>
      <c r="O16" s="31">
        <f t="shared" si="6"/>
        <v>6.372400270768656E-3</v>
      </c>
      <c r="P16" s="31">
        <f t="shared" si="7"/>
        <v>6.7197462286959486E-4</v>
      </c>
      <c r="Q16" s="31">
        <f t="shared" si="8"/>
        <v>1.8472228385109806E-3</v>
      </c>
      <c r="R16" s="31">
        <f t="shared" si="9"/>
        <v>-1.4402148243015345E-4</v>
      </c>
      <c r="S16" s="31">
        <f t="shared" si="10"/>
        <v>2.7518670807535656E-3</v>
      </c>
      <c r="T16" s="31" cm="1">
        <f t="array" ref="T16">IFERROR(AVERAGE(IF(M16:R16&lt;&gt;MAX(M16:R16),IF(M16:R16&lt;&gt;MIN(M16:R16),M16:R16))),U16)</f>
        <v>2.1868940624297692E-3</v>
      </c>
      <c r="U16" s="30">
        <f t="shared" si="11"/>
        <v>-1.4402148243015345E-4</v>
      </c>
      <c r="V16" s="229"/>
      <c r="W16" s="1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</row>
    <row r="17" spans="1:125" ht="15.6" x14ac:dyDescent="0.3">
      <c r="A17" s="284" t="s">
        <v>40</v>
      </c>
      <c r="B17" s="236"/>
      <c r="C17" s="226">
        <f>'Raw Data'!C86</f>
        <v>-5040</v>
      </c>
      <c r="D17" s="226">
        <f>'Raw Data'!D86</f>
        <v>-1122</v>
      </c>
      <c r="E17" s="226">
        <f>'Raw Data'!E86</f>
        <v>-5555</v>
      </c>
      <c r="F17" s="226">
        <f>'Raw Data'!F86</f>
        <v>-5451</v>
      </c>
      <c r="G17" s="226">
        <f>'Raw Data'!G86</f>
        <v>-3774</v>
      </c>
      <c r="H17" s="225">
        <f>'Raw Data'!H86</f>
        <v>-93</v>
      </c>
      <c r="I17" s="229"/>
      <c r="J17" s="229"/>
      <c r="K17" s="283" t="s">
        <v>40</v>
      </c>
      <c r="L17" s="223"/>
      <c r="M17" s="136">
        <f t="shared" si="4"/>
        <v>-9.8489630253513084E-3</v>
      </c>
      <c r="N17" s="31">
        <f t="shared" si="5"/>
        <v>-2.1517914334920007E-3</v>
      </c>
      <c r="O17" s="31">
        <f t="shared" si="6"/>
        <v>-9.9742697954691133E-3</v>
      </c>
      <c r="P17" s="31">
        <f t="shared" si="7"/>
        <v>-9.5637954811022483E-3</v>
      </c>
      <c r="Q17" s="31">
        <f t="shared" si="8"/>
        <v>-6.2023300645377586E-3</v>
      </c>
      <c r="R17" s="31">
        <f t="shared" si="9"/>
        <v>-1.4402148243015345E-4</v>
      </c>
      <c r="S17" s="31">
        <f t="shared" si="10"/>
        <v>-6.3141952137304299E-3</v>
      </c>
      <c r="T17" s="31" cm="1">
        <f t="array" ref="T17">IFERROR(AVERAGE(IF(M17:R17&lt;&gt;MAX(M17:R17),IF(M17:R17&lt;&gt;MIN(M17:R17),M17:R17))),U17)</f>
        <v>-6.9417200011208293E-3</v>
      </c>
      <c r="U17" s="30">
        <f t="shared" si="11"/>
        <v>-1.4402148243015345E-4</v>
      </c>
      <c r="V17" s="229"/>
      <c r="W17" s="1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</row>
    <row r="18" spans="1:125" ht="15.6" x14ac:dyDescent="0.3">
      <c r="A18" s="282" t="s">
        <v>350</v>
      </c>
      <c r="B18" s="235"/>
      <c r="C18" s="234">
        <f t="shared" ref="C18:H18" si="15">C14-C15+C16+C17</f>
        <v>11460</v>
      </c>
      <c r="D18" s="234">
        <f t="shared" si="15"/>
        <v>20116</v>
      </c>
      <c r="E18" s="234">
        <f t="shared" si="15"/>
        <v>20564</v>
      </c>
      <c r="F18" s="234">
        <f t="shared" si="15"/>
        <v>18696</v>
      </c>
      <c r="G18" s="234">
        <f t="shared" si="15"/>
        <v>17016</v>
      </c>
      <c r="H18" s="233">
        <f t="shared" si="15"/>
        <v>21848</v>
      </c>
      <c r="I18" s="229"/>
      <c r="J18" s="229"/>
      <c r="K18" s="281" t="s">
        <v>350</v>
      </c>
      <c r="L18" s="144"/>
      <c r="M18" s="136">
        <f t="shared" si="4"/>
        <v>2.2394665926691665E-2</v>
      </c>
      <c r="N18" s="31">
        <f t="shared" si="5"/>
        <v>3.8578820388703285E-2</v>
      </c>
      <c r="O18" s="31">
        <f t="shared" si="6"/>
        <v>3.692365149847468E-2</v>
      </c>
      <c r="P18" s="31">
        <f t="shared" si="7"/>
        <v>3.2802186812454164E-2</v>
      </c>
      <c r="Q18" s="31">
        <f t="shared" si="8"/>
        <v>2.7964718701159116E-2</v>
      </c>
      <c r="R18" s="31">
        <f t="shared" si="9"/>
        <v>3.383420804445153E-2</v>
      </c>
      <c r="S18" s="31">
        <f t="shared" si="10"/>
        <v>3.2083041895322406E-2</v>
      </c>
      <c r="T18" s="31" cm="1">
        <f t="array" ref="T18">IFERROR(AVERAGE(IF(M18:R18&lt;&gt;MAX(M18:R18),IF(M18:R18&lt;&gt;MIN(M18:R18),M18:R18))),U18)</f>
        <v>3.2881191264134871E-2</v>
      </c>
      <c r="U18" s="30">
        <f t="shared" si="11"/>
        <v>3.383420804445153E-2</v>
      </c>
      <c r="V18" s="229"/>
      <c r="W18" s="1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</row>
    <row r="19" spans="1:125" ht="15.6" x14ac:dyDescent="0.3">
      <c r="A19" s="284" t="s">
        <v>349</v>
      </c>
      <c r="B19" s="236"/>
      <c r="C19" s="226">
        <f>'Raw Data'!C90</f>
        <v>4281</v>
      </c>
      <c r="D19" s="226">
        <f>'Raw Data'!D90</f>
        <v>4915</v>
      </c>
      <c r="E19" s="226">
        <f>'Raw Data'!E90</f>
        <v>6858</v>
      </c>
      <c r="F19" s="226">
        <f>'Raw Data'!F90</f>
        <v>4756</v>
      </c>
      <c r="G19" s="226">
        <f>'Raw Data'!G90</f>
        <v>5724</v>
      </c>
      <c r="H19" s="225">
        <f>'Raw Data'!H90</f>
        <v>5578</v>
      </c>
      <c r="I19" s="229"/>
      <c r="J19" s="229"/>
      <c r="K19" s="283" t="s">
        <v>349</v>
      </c>
      <c r="L19" s="223"/>
      <c r="M19" s="136">
        <f t="shared" si="4"/>
        <v>8.3657560935573323E-3</v>
      </c>
      <c r="N19" s="31">
        <f t="shared" si="5"/>
        <v>9.4260738820081853E-3</v>
      </c>
      <c r="O19" s="31">
        <f t="shared" si="6"/>
        <v>1.2313868993218215E-2</v>
      </c>
      <c r="P19" s="31">
        <f t="shared" si="7"/>
        <v>8.3444159435190415E-3</v>
      </c>
      <c r="Q19" s="31">
        <f t="shared" si="8"/>
        <v>9.4070316082178404E-3</v>
      </c>
      <c r="R19" s="31">
        <f t="shared" si="9"/>
        <v>8.6381917096279136E-3</v>
      </c>
      <c r="S19" s="31">
        <f t="shared" si="10"/>
        <v>9.4158897050247558E-3</v>
      </c>
      <c r="T19" s="31" cm="1">
        <f t="array" ref="T19">IFERROR(AVERAGE(IF(M19:R19&lt;&gt;MAX(M19:R19),IF(M19:R19&lt;&gt;MIN(M19:R19),M19:R19))),U19)</f>
        <v>8.9592633233528188E-3</v>
      </c>
      <c r="U19" s="30">
        <f t="shared" si="11"/>
        <v>8.6381917096279136E-3</v>
      </c>
      <c r="V19" s="229"/>
      <c r="W19" s="1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</row>
    <row r="20" spans="1:125" ht="15.6" x14ac:dyDescent="0.3">
      <c r="A20" s="98" t="s">
        <v>318</v>
      </c>
      <c r="B20" s="218"/>
      <c r="C20" s="209">
        <f t="shared" ref="C20:H20" si="16">C18-C19</f>
        <v>7179</v>
      </c>
      <c r="D20" s="209">
        <f t="shared" si="16"/>
        <v>15201</v>
      </c>
      <c r="E20" s="209">
        <f t="shared" si="16"/>
        <v>13706</v>
      </c>
      <c r="F20" s="209">
        <f t="shared" si="16"/>
        <v>13940</v>
      </c>
      <c r="G20" s="209">
        <f t="shared" si="16"/>
        <v>11292</v>
      </c>
      <c r="H20" s="208">
        <f t="shared" si="16"/>
        <v>16270</v>
      </c>
      <c r="I20" s="229"/>
      <c r="J20" s="229"/>
      <c r="K20" s="179" t="s">
        <v>318</v>
      </c>
      <c r="L20" s="144"/>
      <c r="M20" s="136">
        <f t="shared" si="4"/>
        <v>1.4028909833134335E-2</v>
      </c>
      <c r="N20" s="31">
        <f t="shared" si="5"/>
        <v>2.9152746506695103E-2</v>
      </c>
      <c r="O20" s="31">
        <f t="shared" si="6"/>
        <v>2.4609782505256469E-2</v>
      </c>
      <c r="P20" s="31">
        <f t="shared" si="7"/>
        <v>2.4457770868935122E-2</v>
      </c>
      <c r="Q20" s="31">
        <f t="shared" si="8"/>
        <v>1.8557687092941276E-2</v>
      </c>
      <c r="R20" s="31">
        <f t="shared" si="9"/>
        <v>2.5196016334823622E-2</v>
      </c>
      <c r="S20" s="31">
        <f t="shared" si="10"/>
        <v>2.2667152190297659E-2</v>
      </c>
      <c r="T20" s="31" cm="1">
        <f t="array" ref="T20">IFERROR(AVERAGE(IF(M20:R20&lt;&gt;MAX(M20:R20),IF(M20:R20&lt;&gt;MIN(M20:R20),M20:R20))),U20)</f>
        <v>2.3205314200489123E-2</v>
      </c>
      <c r="U20" s="30">
        <f t="shared" si="11"/>
        <v>2.5196016334823622E-2</v>
      </c>
      <c r="V20" s="229"/>
      <c r="W20" s="1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</row>
    <row r="21" spans="1:125" ht="15.6" x14ac:dyDescent="0.3">
      <c r="A21" s="284" t="s">
        <v>348</v>
      </c>
      <c r="B21" s="236"/>
      <c r="C21" s="226">
        <f>'Raw Data'!C99</f>
        <v>509</v>
      </c>
      <c r="D21" s="226">
        <f>'Raw Data'!D99</f>
        <v>320</v>
      </c>
      <c r="E21" s="226">
        <f>'Raw Data'!E99</f>
        <v>196</v>
      </c>
      <c r="F21" s="226">
        <f>'Raw Data'!F99</f>
        <v>267</v>
      </c>
      <c r="G21" s="226">
        <f>'Raw Data'!G99</f>
        <v>-388</v>
      </c>
      <c r="H21" s="225">
        <f>'Raw Data'!H99</f>
        <v>759</v>
      </c>
      <c r="I21" s="229"/>
      <c r="J21" s="229"/>
      <c r="K21" s="283" t="s">
        <v>348</v>
      </c>
      <c r="L21" s="223"/>
      <c r="M21" s="136">
        <f t="shared" si="4"/>
        <v>9.9466709918726503E-4</v>
      </c>
      <c r="N21" s="31">
        <f t="shared" si="5"/>
        <v>6.1370165661090933E-4</v>
      </c>
      <c r="O21" s="31">
        <f t="shared" si="6"/>
        <v>3.5192743112726305E-4</v>
      </c>
      <c r="P21" s="31">
        <f t="shared" si="7"/>
        <v>4.6845228278376451E-4</v>
      </c>
      <c r="Q21" s="31">
        <f t="shared" si="8"/>
        <v>-6.3765343535788295E-4</v>
      </c>
      <c r="R21" s="31">
        <f t="shared" si="9"/>
        <v>1.1754011308009297E-3</v>
      </c>
      <c r="S21" s="31">
        <f t="shared" si="10"/>
        <v>4.9441602752537479E-4</v>
      </c>
      <c r="T21" s="31" cm="1">
        <f t="array" ref="T21">IFERROR(AVERAGE(IF(M21:R21&lt;&gt;MAX(M21:R21),IF(M21:R21&lt;&gt;MIN(M21:R21),M21:R21))),U21)</f>
        <v>6.0718711742730044E-4</v>
      </c>
      <c r="U21" s="30">
        <f t="shared" si="11"/>
        <v>1.1754011308009297E-3</v>
      </c>
      <c r="V21" s="229"/>
      <c r="W21" s="1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</row>
    <row r="22" spans="1:125" ht="15.6" x14ac:dyDescent="0.3">
      <c r="A22" s="282" t="s">
        <v>194</v>
      </c>
      <c r="B22" s="235"/>
      <c r="C22" s="234">
        <f t="shared" ref="C22:H22" si="17">C20-C21</f>
        <v>6670</v>
      </c>
      <c r="D22" s="234">
        <f t="shared" si="17"/>
        <v>14881</v>
      </c>
      <c r="E22" s="234">
        <f t="shared" si="17"/>
        <v>13510</v>
      </c>
      <c r="F22" s="234">
        <f t="shared" si="17"/>
        <v>13673</v>
      </c>
      <c r="G22" s="234">
        <f t="shared" si="17"/>
        <v>11680</v>
      </c>
      <c r="H22" s="233">
        <f t="shared" si="17"/>
        <v>15511</v>
      </c>
      <c r="I22" s="229"/>
      <c r="J22" s="229"/>
      <c r="K22" s="281" t="s">
        <v>194</v>
      </c>
      <c r="L22" s="144"/>
      <c r="M22" s="136">
        <f t="shared" si="4"/>
        <v>1.3034242733947069E-2</v>
      </c>
      <c r="N22" s="31">
        <f t="shared" si="5"/>
        <v>2.8539044850084194E-2</v>
      </c>
      <c r="O22" s="31">
        <f t="shared" si="6"/>
        <v>2.4257855074129205E-2</v>
      </c>
      <c r="P22" s="31">
        <f t="shared" si="7"/>
        <v>2.3989318586151359E-2</v>
      </c>
      <c r="Q22" s="31">
        <f t="shared" si="8"/>
        <v>1.919534052829916E-2</v>
      </c>
      <c r="R22" s="31">
        <f t="shared" si="9"/>
        <v>2.402061520402269E-2</v>
      </c>
      <c r="S22" s="31">
        <f t="shared" si="10"/>
        <v>2.217273616277228E-2</v>
      </c>
      <c r="T22" s="31" cm="1">
        <f t="array" ref="T22">IFERROR(AVERAGE(IF(M22:R22&lt;&gt;MAX(M22:R22),IF(M22:R22&lt;&gt;MIN(M22:R22),M22:R22))),U22)</f>
        <v>2.28657823481506E-2</v>
      </c>
      <c r="U22" s="30">
        <f t="shared" si="11"/>
        <v>2.402061520402269E-2</v>
      </c>
      <c r="V22" s="229"/>
      <c r="W22" s="1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</row>
    <row r="23" spans="1:125" ht="15.6" x14ac:dyDescent="0.3">
      <c r="A23" s="98" t="s">
        <v>192</v>
      </c>
      <c r="B23" s="218"/>
      <c r="C23" s="209">
        <f>'Raw Data'!C105</f>
        <v>0</v>
      </c>
      <c r="D23" s="209">
        <f>'Raw Data'!D105</f>
        <v>0</v>
      </c>
      <c r="E23" s="209">
        <f>'Raw Data'!E105</f>
        <v>0</v>
      </c>
      <c r="F23" s="209">
        <f>'Raw Data'!F105</f>
        <v>0</v>
      </c>
      <c r="G23" s="209">
        <f>'Raw Data'!G105</f>
        <v>0</v>
      </c>
      <c r="H23" s="208">
        <f>'Raw Data'!H105</f>
        <v>0</v>
      </c>
      <c r="I23" s="229"/>
      <c r="J23" s="229"/>
      <c r="K23" s="179" t="s">
        <v>192</v>
      </c>
      <c r="L23" s="144"/>
      <c r="M23" s="136">
        <f t="shared" si="4"/>
        <v>0</v>
      </c>
      <c r="N23" s="31">
        <f t="shared" si="5"/>
        <v>0</v>
      </c>
      <c r="O23" s="31">
        <f t="shared" si="6"/>
        <v>0</v>
      </c>
      <c r="P23" s="31">
        <f t="shared" si="7"/>
        <v>0</v>
      </c>
      <c r="Q23" s="31">
        <f t="shared" si="8"/>
        <v>0</v>
      </c>
      <c r="R23" s="31">
        <f t="shared" si="9"/>
        <v>0</v>
      </c>
      <c r="S23" s="31">
        <f t="shared" si="10"/>
        <v>0</v>
      </c>
      <c r="T23" s="31" cm="1">
        <f t="array" ref="T23">IFERROR(AVERAGE(IF(M23:R23&lt;&gt;MAX(M23:R23),IF(M23:R23&lt;&gt;MIN(M23:R23),M23:R23))),U23)</f>
        <v>0</v>
      </c>
      <c r="U23" s="30">
        <f t="shared" si="11"/>
        <v>0</v>
      </c>
      <c r="V23" s="229"/>
      <c r="W23" s="1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</row>
    <row r="24" spans="1:125" ht="16.2" thickBot="1" x14ac:dyDescent="0.35">
      <c r="A24" s="280" t="s">
        <v>33</v>
      </c>
      <c r="B24" s="248"/>
      <c r="C24" s="205">
        <f t="shared" ref="C24:H24" si="18">C22+C23</f>
        <v>6670</v>
      </c>
      <c r="D24" s="205">
        <f t="shared" si="18"/>
        <v>14881</v>
      </c>
      <c r="E24" s="205">
        <f t="shared" si="18"/>
        <v>13510</v>
      </c>
      <c r="F24" s="205">
        <f t="shared" si="18"/>
        <v>13673</v>
      </c>
      <c r="G24" s="205">
        <f t="shared" si="18"/>
        <v>11680</v>
      </c>
      <c r="H24" s="204">
        <f t="shared" si="18"/>
        <v>15511</v>
      </c>
      <c r="I24" s="229"/>
      <c r="J24" s="229"/>
      <c r="K24" s="279" t="s">
        <v>33</v>
      </c>
      <c r="L24" s="126"/>
      <c r="M24" s="131">
        <f t="shared" si="4"/>
        <v>1.3034242733947069E-2</v>
      </c>
      <c r="N24" s="24">
        <f t="shared" si="5"/>
        <v>2.8539044850084194E-2</v>
      </c>
      <c r="O24" s="24">
        <f t="shared" si="6"/>
        <v>2.4257855074129205E-2</v>
      </c>
      <c r="P24" s="24">
        <f t="shared" si="7"/>
        <v>2.3989318586151359E-2</v>
      </c>
      <c r="Q24" s="24">
        <f t="shared" si="8"/>
        <v>1.919534052829916E-2</v>
      </c>
      <c r="R24" s="24">
        <f t="shared" si="9"/>
        <v>2.402061520402269E-2</v>
      </c>
      <c r="S24" s="24">
        <f t="shared" si="10"/>
        <v>2.217273616277228E-2</v>
      </c>
      <c r="T24" s="24" cm="1">
        <f t="array" ref="T24">IFERROR(AVERAGE(IF(M24:R24&lt;&gt;MAX(M24:R24),IF(M24:R24&lt;&gt;MIN(M24:R24),M24:R24))),U24)</f>
        <v>2.28657823481506E-2</v>
      </c>
      <c r="U24" s="23">
        <f t="shared" si="11"/>
        <v>2.402061520402269E-2</v>
      </c>
      <c r="V24" s="229"/>
      <c r="W24" s="1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</row>
    <row r="25" spans="1:125" ht="16.2" thickTop="1" x14ac:dyDescent="0.3">
      <c r="A25" s="98" t="s">
        <v>347</v>
      </c>
      <c r="B25" s="218"/>
      <c r="C25" s="209">
        <f>'Raw Data'!C109</f>
        <v>6670</v>
      </c>
      <c r="D25" s="209">
        <f>'Raw Data'!D109</f>
        <v>14881</v>
      </c>
      <c r="E25" s="209">
        <f>'Raw Data'!E109</f>
        <v>13510</v>
      </c>
      <c r="F25" s="209">
        <f>'Raw Data'!F109</f>
        <v>13673</v>
      </c>
      <c r="G25" s="209">
        <f>'Raw Data'!G109</f>
        <v>11680</v>
      </c>
      <c r="H25" s="208">
        <f>'Raw Data'!H109</f>
        <v>15511</v>
      </c>
      <c r="I25" s="229"/>
      <c r="J25" s="229"/>
      <c r="K25" s="179"/>
      <c r="L25" s="207"/>
      <c r="M25" s="144"/>
      <c r="N25" s="144"/>
      <c r="O25" s="144"/>
      <c r="P25" s="144"/>
      <c r="Q25" s="144"/>
      <c r="R25" s="143"/>
      <c r="S25" s="142"/>
      <c r="T25" s="141"/>
      <c r="U25" s="140"/>
      <c r="V25" s="229"/>
      <c r="W25" s="1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</row>
    <row r="26" spans="1:125" ht="16.2" thickBot="1" x14ac:dyDescent="0.35">
      <c r="A26" s="200" t="s">
        <v>346</v>
      </c>
      <c r="B26" s="278"/>
      <c r="C26" s="278" t="b">
        <f t="shared" ref="C26:H26" si="19">IF(C24=C25,TRUE,FALSE)</f>
        <v>1</v>
      </c>
      <c r="D26" s="278" t="b">
        <f t="shared" si="19"/>
        <v>1</v>
      </c>
      <c r="E26" s="278" t="b">
        <f t="shared" si="19"/>
        <v>1</v>
      </c>
      <c r="F26" s="278" t="b">
        <f t="shared" si="19"/>
        <v>1</v>
      </c>
      <c r="G26" s="278" t="b">
        <f t="shared" si="19"/>
        <v>1</v>
      </c>
      <c r="H26" s="277" t="b">
        <f t="shared" si="19"/>
        <v>1</v>
      </c>
      <c r="I26" s="229"/>
      <c r="J26" s="229"/>
      <c r="K26" s="198"/>
      <c r="L26" s="276"/>
      <c r="M26" s="276"/>
      <c r="N26" s="276"/>
      <c r="O26" s="276"/>
      <c r="P26" s="276"/>
      <c r="Q26" s="276"/>
      <c r="R26" s="275"/>
      <c r="S26" s="274"/>
      <c r="T26" s="273"/>
      <c r="U26" s="272"/>
      <c r="V26" s="229"/>
      <c r="W26" s="1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</row>
    <row r="27" spans="1:125" ht="15.6" x14ac:dyDescent="0.3">
      <c r="A27" s="1"/>
      <c r="B27" s="229"/>
      <c r="C27" s="229"/>
      <c r="D27" s="229"/>
      <c r="E27" s="229"/>
      <c r="F27" s="229"/>
      <c r="G27" s="229"/>
      <c r="H27" s="229"/>
      <c r="I27" s="229"/>
      <c r="J27" s="229"/>
      <c r="K27" s="1"/>
      <c r="L27" s="229"/>
      <c r="M27" s="229"/>
      <c r="N27" s="229"/>
      <c r="O27" s="229"/>
      <c r="P27" s="229"/>
      <c r="Q27" s="229"/>
      <c r="R27" s="229"/>
      <c r="S27" s="271"/>
      <c r="T27" s="271"/>
      <c r="U27" s="271"/>
      <c r="V27" s="229"/>
      <c r="W27" s="1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</row>
    <row r="28" spans="1:125" ht="16.8" thickBot="1" x14ac:dyDescent="0.4">
      <c r="A28" s="1"/>
      <c r="B28" s="229"/>
      <c r="C28" s="229"/>
      <c r="D28" s="229"/>
      <c r="E28" s="229"/>
      <c r="F28" s="229"/>
      <c r="G28" s="229"/>
      <c r="H28" s="229"/>
      <c r="I28" s="229"/>
      <c r="J28" s="229"/>
      <c r="K28" s="22" t="s">
        <v>345</v>
      </c>
      <c r="L28" s="229"/>
      <c r="M28" s="229"/>
      <c r="N28" s="229"/>
      <c r="O28" s="229"/>
      <c r="P28" s="229"/>
      <c r="Q28" s="229"/>
      <c r="R28" s="229"/>
      <c r="S28" s="271"/>
      <c r="T28" s="271"/>
      <c r="U28" s="271"/>
      <c r="V28" s="229"/>
      <c r="W28" s="1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</row>
    <row r="29" spans="1:125" ht="16.2" x14ac:dyDescent="0.3">
      <c r="A29" s="104"/>
      <c r="B29" s="76" t="str">
        <f t="shared" ref="B29:H29" si="20">B5</f>
        <v>Fiscal Year</v>
      </c>
      <c r="C29" s="75">
        <f t="shared" si="20"/>
        <v>2018</v>
      </c>
      <c r="D29" s="75">
        <f t="shared" si="20"/>
        <v>2019</v>
      </c>
      <c r="E29" s="75">
        <f t="shared" si="20"/>
        <v>2020</v>
      </c>
      <c r="F29" s="75">
        <f t="shared" si="20"/>
        <v>2021</v>
      </c>
      <c r="G29" s="75">
        <f t="shared" si="20"/>
        <v>2022</v>
      </c>
      <c r="H29" s="75">
        <f t="shared" si="20"/>
        <v>2023</v>
      </c>
      <c r="I29" s="229"/>
      <c r="J29" s="229"/>
      <c r="K29" s="50"/>
      <c r="L29" s="49" t="str">
        <f t="shared" ref="L29:R29" si="21">L5</f>
        <v>Fiscal Year</v>
      </c>
      <c r="M29" s="48">
        <f t="shared" si="21"/>
        <v>2018</v>
      </c>
      <c r="N29" s="48">
        <f t="shared" si="21"/>
        <v>2019</v>
      </c>
      <c r="O29" s="48">
        <f t="shared" si="21"/>
        <v>2020</v>
      </c>
      <c r="P29" s="48">
        <f t="shared" si="21"/>
        <v>2021</v>
      </c>
      <c r="Q29" s="48">
        <f t="shared" si="21"/>
        <v>2022</v>
      </c>
      <c r="R29" s="48">
        <f t="shared" si="21"/>
        <v>2023</v>
      </c>
      <c r="S29" s="47" t="s">
        <v>292</v>
      </c>
      <c r="T29" s="46" t="s">
        <v>291</v>
      </c>
      <c r="U29" s="45" t="s">
        <v>290</v>
      </c>
      <c r="V29" s="229"/>
      <c r="W29" s="1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</row>
    <row r="30" spans="1:125" ht="16.8" thickBot="1" x14ac:dyDescent="0.35">
      <c r="A30" s="102" t="s">
        <v>344</v>
      </c>
      <c r="B30" s="43" t="s">
        <v>305</v>
      </c>
      <c r="C30" s="42">
        <f t="shared" ref="C30:H30" si="22">C4</f>
        <v>43496</v>
      </c>
      <c r="D30" s="42">
        <f t="shared" si="22"/>
        <v>43861</v>
      </c>
      <c r="E30" s="42">
        <f t="shared" si="22"/>
        <v>44227</v>
      </c>
      <c r="F30" s="42">
        <f t="shared" si="22"/>
        <v>44592</v>
      </c>
      <c r="G30" s="42">
        <f t="shared" si="22"/>
        <v>44957</v>
      </c>
      <c r="H30" s="42">
        <f t="shared" si="22"/>
        <v>45322</v>
      </c>
      <c r="I30" s="229"/>
      <c r="J30" s="229"/>
      <c r="K30" s="40" t="s">
        <v>343</v>
      </c>
      <c r="L30" s="39"/>
      <c r="M30" s="38">
        <f t="shared" ref="M30:R30" si="23">C4</f>
        <v>43496</v>
      </c>
      <c r="N30" s="38">
        <f t="shared" si="23"/>
        <v>43861</v>
      </c>
      <c r="O30" s="38">
        <f t="shared" si="23"/>
        <v>44227</v>
      </c>
      <c r="P30" s="38">
        <f t="shared" si="23"/>
        <v>44592</v>
      </c>
      <c r="Q30" s="38">
        <f t="shared" si="23"/>
        <v>44957</v>
      </c>
      <c r="R30" s="38">
        <f t="shared" si="23"/>
        <v>45322</v>
      </c>
      <c r="S30" s="37" t="s">
        <v>288</v>
      </c>
      <c r="T30" s="36" t="s">
        <v>287</v>
      </c>
      <c r="U30" s="35" t="s">
        <v>286</v>
      </c>
      <c r="V30" s="229"/>
      <c r="W30" s="1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</row>
    <row r="31" spans="1:125" s="258" customFormat="1" ht="16.2" hidden="1" thickBot="1" x14ac:dyDescent="0.35">
      <c r="A31" s="270"/>
      <c r="B31" s="260"/>
      <c r="C31" s="260"/>
      <c r="D31" s="260"/>
      <c r="E31" s="260"/>
      <c r="F31" s="260"/>
      <c r="G31" s="260"/>
      <c r="H31" s="265"/>
      <c r="I31" s="269"/>
      <c r="J31" s="261"/>
      <c r="K31" s="268"/>
      <c r="L31" s="267"/>
      <c r="M31" s="266"/>
      <c r="N31" s="260"/>
      <c r="O31" s="260"/>
      <c r="P31" s="260"/>
      <c r="Q31" s="260"/>
      <c r="R31" s="265"/>
      <c r="S31" s="264"/>
      <c r="T31" s="263"/>
      <c r="U31" s="262"/>
      <c r="V31" s="261"/>
      <c r="W31" s="260"/>
      <c r="X31" s="259"/>
      <c r="Y31" s="259"/>
      <c r="Z31" s="259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59"/>
      <c r="AO31" s="259"/>
      <c r="AP31" s="259"/>
      <c r="AQ31" s="259"/>
      <c r="AR31" s="259"/>
      <c r="AS31" s="259"/>
      <c r="AT31" s="259"/>
      <c r="AU31" s="259"/>
      <c r="AV31" s="259"/>
      <c r="AW31" s="259"/>
      <c r="AX31" s="259"/>
      <c r="AY31" s="259"/>
      <c r="AZ31" s="259"/>
      <c r="BA31" s="259"/>
      <c r="BB31" s="259"/>
      <c r="BC31" s="259"/>
      <c r="BD31" s="259"/>
      <c r="BE31" s="259"/>
      <c r="BF31" s="259"/>
      <c r="BG31" s="259"/>
      <c r="BH31" s="259"/>
      <c r="BI31" s="259"/>
      <c r="BJ31" s="259"/>
      <c r="BK31" s="259"/>
      <c r="BL31" s="259"/>
      <c r="BM31" s="259"/>
      <c r="BN31" s="259"/>
      <c r="BO31" s="259"/>
      <c r="BP31" s="259"/>
      <c r="BQ31" s="259"/>
      <c r="BR31" s="259"/>
      <c r="BS31" s="259"/>
      <c r="BT31" s="259"/>
      <c r="BU31" s="259"/>
      <c r="BV31" s="259"/>
      <c r="BW31" s="259"/>
      <c r="BX31" s="259"/>
      <c r="BY31" s="259"/>
      <c r="BZ31" s="259"/>
      <c r="CA31" s="259"/>
      <c r="CB31" s="259"/>
      <c r="CC31" s="259"/>
      <c r="CD31" s="259"/>
      <c r="CE31" s="259"/>
      <c r="CF31" s="259"/>
      <c r="CG31" s="259"/>
      <c r="CH31" s="259"/>
      <c r="CI31" s="259"/>
      <c r="CJ31" s="259"/>
      <c r="CK31" s="259"/>
      <c r="CL31" s="259"/>
      <c r="CM31" s="259"/>
      <c r="CN31" s="259"/>
      <c r="CO31" s="259"/>
      <c r="CP31" s="259"/>
      <c r="CQ31" s="259"/>
      <c r="CR31" s="259"/>
      <c r="CS31" s="259"/>
      <c r="CT31" s="259"/>
      <c r="CU31" s="259"/>
      <c r="CV31" s="259"/>
      <c r="CW31" s="259"/>
      <c r="CX31" s="259"/>
      <c r="CY31" s="259"/>
      <c r="CZ31" s="259"/>
      <c r="DA31" s="259"/>
      <c r="DB31" s="259"/>
      <c r="DC31" s="259"/>
      <c r="DD31" s="259"/>
      <c r="DE31" s="259"/>
      <c r="DF31" s="259"/>
      <c r="DG31" s="259"/>
      <c r="DH31" s="259"/>
      <c r="DI31" s="259"/>
      <c r="DJ31" s="259"/>
      <c r="DK31" s="259"/>
      <c r="DL31" s="259"/>
      <c r="DM31" s="259"/>
      <c r="DN31" s="259"/>
      <c r="DO31" s="259"/>
      <c r="DP31" s="259"/>
      <c r="DQ31" s="259"/>
      <c r="DR31" s="259"/>
      <c r="DS31" s="259"/>
      <c r="DT31" s="259"/>
      <c r="DU31" s="259"/>
    </row>
    <row r="32" spans="1:125" ht="16.2" thickBot="1" x14ac:dyDescent="0.35">
      <c r="A32" s="257" t="s">
        <v>342</v>
      </c>
      <c r="B32" s="256"/>
      <c r="C32" s="255"/>
      <c r="D32" s="255"/>
      <c r="E32" s="255"/>
      <c r="F32" s="255"/>
      <c r="G32" s="255"/>
      <c r="H32" s="254"/>
      <c r="I32" s="253"/>
      <c r="J32" s="229"/>
      <c r="K32" s="252" t="s">
        <v>342</v>
      </c>
      <c r="L32" s="251"/>
      <c r="M32" s="250"/>
      <c r="N32" s="250"/>
      <c r="O32" s="250"/>
      <c r="P32" s="250"/>
      <c r="Q32" s="250"/>
      <c r="R32" s="249"/>
      <c r="S32" s="142"/>
      <c r="T32" s="141"/>
      <c r="U32" s="140"/>
      <c r="V32" s="229"/>
      <c r="W32" s="1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</row>
    <row r="33" spans="1:125" ht="15.6" x14ac:dyDescent="0.3">
      <c r="A33" s="94" t="s">
        <v>274</v>
      </c>
      <c r="B33" s="218"/>
      <c r="C33" s="209">
        <f>'Raw Data'!C7</f>
        <v>7722</v>
      </c>
      <c r="D33" s="209">
        <f>'Raw Data'!D7</f>
        <v>9465</v>
      </c>
      <c r="E33" s="209">
        <f>'Raw Data'!E7</f>
        <v>17741</v>
      </c>
      <c r="F33" s="209">
        <f>'Raw Data'!F7</f>
        <v>14760</v>
      </c>
      <c r="G33" s="209">
        <f>'Raw Data'!G7</f>
        <v>8625</v>
      </c>
      <c r="H33" s="208">
        <f>'Raw Data'!H7</f>
        <v>9867</v>
      </c>
      <c r="I33" s="229"/>
      <c r="J33" s="229"/>
      <c r="K33" s="132" t="s">
        <v>274</v>
      </c>
      <c r="L33" s="144"/>
      <c r="M33" s="139">
        <f t="shared" ref="M33:M45" si="24">C33/C$8</f>
        <v>1.5090018349556113E-2</v>
      </c>
      <c r="N33" s="138">
        <f t="shared" ref="N33:N45" si="25">D33/D$8</f>
        <v>1.8152144311944552E-2</v>
      </c>
      <c r="O33" s="138">
        <f t="shared" ref="O33:O45" si="26">E33/E$8</f>
        <v>3.1854819161371298E-2</v>
      </c>
      <c r="P33" s="138">
        <f t="shared" ref="P33:P45" si="27">F33/F$8</f>
        <v>2.5896463272990129E-2</v>
      </c>
      <c r="Q33" s="138">
        <f t="shared" ref="Q33:Q45" si="28">G33/G$8</f>
        <v>1.4174641443200364E-2</v>
      </c>
      <c r="R33" s="138">
        <f t="shared" ref="R33:R45" si="29">H33/H$8</f>
        <v>1.5280214700412088E-2</v>
      </c>
      <c r="S33" s="138">
        <f t="shared" ref="S33:S45" si="30">AVERAGE(M33:R33)</f>
        <v>2.0074716873245756E-2</v>
      </c>
      <c r="T33" s="138" cm="1">
        <f t="array" ref="T33">IFERROR(AVERAGE(IF(M33:R33&lt;&gt;MAX(M33:R33),IF(M33:R33&lt;&gt;MIN(M33:R33),M33:R33))),U33)</f>
        <v>1.860471015872572E-2</v>
      </c>
      <c r="U33" s="137">
        <f t="shared" ref="U33:U45" si="31">R33</f>
        <v>1.5280214700412088E-2</v>
      </c>
      <c r="V33" s="229"/>
      <c r="W33" s="1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</row>
    <row r="34" spans="1:125" ht="15.6" x14ac:dyDescent="0.3">
      <c r="A34" s="94" t="s">
        <v>341</v>
      </c>
      <c r="B34" s="218"/>
      <c r="C34" s="209">
        <f>'Raw Data'!C10</f>
        <v>6283</v>
      </c>
      <c r="D34" s="209">
        <f>'Raw Data'!D10</f>
        <v>6284</v>
      </c>
      <c r="E34" s="209">
        <f>'Raw Data'!E10</f>
        <v>6516</v>
      </c>
      <c r="F34" s="209">
        <f>'Raw Data'!F10</f>
        <v>8280</v>
      </c>
      <c r="G34" s="209">
        <f>'Raw Data'!G10</f>
        <v>7933</v>
      </c>
      <c r="H34" s="208">
        <f>'Raw Data'!H10</f>
        <v>8796</v>
      </c>
      <c r="I34" s="229"/>
      <c r="J34" s="229"/>
      <c r="K34" s="132" t="s">
        <v>341</v>
      </c>
      <c r="L34" s="144"/>
      <c r="M34" s="136">
        <f t="shared" si="24"/>
        <v>1.2277983073071879E-2</v>
      </c>
      <c r="N34" s="31">
        <f t="shared" si="25"/>
        <v>1.2051566281696732E-2</v>
      </c>
      <c r="O34" s="31">
        <f t="shared" si="26"/>
        <v>1.1699791536863501E-2</v>
      </c>
      <c r="P34" s="31">
        <f t="shared" si="27"/>
        <v>1.4527284275092023E-2</v>
      </c>
      <c r="Q34" s="31">
        <f t="shared" si="28"/>
        <v>1.30373832543662E-2</v>
      </c>
      <c r="R34" s="31">
        <f t="shared" si="29"/>
        <v>1.3621644725329353E-2</v>
      </c>
      <c r="S34" s="31">
        <f t="shared" si="30"/>
        <v>1.2869275524403279E-2</v>
      </c>
      <c r="T34" s="31" cm="1">
        <f t="array" ref="T34">IFERROR(AVERAGE(IF(M34:R34&lt;&gt;MAX(M34:R34),IF(M34:R34&lt;&gt;MIN(M34:R34),M34:R34))),U34)</f>
        <v>1.2747144333616041E-2</v>
      </c>
      <c r="U34" s="30">
        <f t="shared" si="31"/>
        <v>1.3621644725329353E-2</v>
      </c>
      <c r="V34" s="229"/>
      <c r="W34" s="1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</row>
    <row r="35" spans="1:125" ht="15.6" x14ac:dyDescent="0.3">
      <c r="A35" s="94" t="s">
        <v>83</v>
      </c>
      <c r="B35" s="218"/>
      <c r="C35" s="209">
        <f>'Raw Data'!C14</f>
        <v>44269</v>
      </c>
      <c r="D35" s="209">
        <f>'Raw Data'!D14</f>
        <v>44435</v>
      </c>
      <c r="E35" s="209">
        <f>'Raw Data'!E14</f>
        <v>44949</v>
      </c>
      <c r="F35" s="209">
        <f>'Raw Data'!F14</f>
        <v>56511</v>
      </c>
      <c r="G35" s="209">
        <f>'Raw Data'!G14</f>
        <v>56576</v>
      </c>
      <c r="H35" s="208">
        <f>'Raw Data'!H14</f>
        <v>54892</v>
      </c>
      <c r="I35" s="229"/>
      <c r="J35" s="229"/>
      <c r="K35" s="132" t="s">
        <v>83</v>
      </c>
      <c r="L35" s="144"/>
      <c r="M35" s="136">
        <f t="shared" si="24"/>
        <v>8.6508679398666091E-2</v>
      </c>
      <c r="N35" s="31">
        <f t="shared" si="25"/>
        <v>8.521822847345549E-2</v>
      </c>
      <c r="O35" s="31">
        <f t="shared" si="26"/>
        <v>8.0708092355812999E-2</v>
      </c>
      <c r="P35" s="31">
        <f t="shared" si="27"/>
        <v>9.9148715177503066E-2</v>
      </c>
      <c r="Q35" s="31">
        <f t="shared" si="28"/>
        <v>9.2979074120638119E-2</v>
      </c>
      <c r="R35" s="31">
        <f t="shared" si="29"/>
        <v>8.5006744231784767E-2</v>
      </c>
      <c r="S35" s="31">
        <f t="shared" si="30"/>
        <v>8.8261588959643422E-2</v>
      </c>
      <c r="T35" s="31" cm="1">
        <f t="array" ref="T35">IFERROR(AVERAGE(IF(M35:R35&lt;&gt;MAX(M35:R35),IF(M35:R35&lt;&gt;MIN(M35:R35),M35:R35))),U35)</f>
        <v>8.7428181556136117E-2</v>
      </c>
      <c r="U35" s="30">
        <f t="shared" si="31"/>
        <v>8.5006744231784767E-2</v>
      </c>
      <c r="V35" s="229"/>
      <c r="W35" s="1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</row>
    <row r="36" spans="1:125" ht="15.6" x14ac:dyDescent="0.3">
      <c r="A36" s="227" t="s">
        <v>81</v>
      </c>
      <c r="B36" s="236"/>
      <c r="C36" s="226">
        <f>'Raw Data'!C19</f>
        <v>3623</v>
      </c>
      <c r="D36" s="226">
        <f>'Raw Data'!D19</f>
        <v>1622</v>
      </c>
      <c r="E36" s="226">
        <f>'Raw Data'!E19</f>
        <v>20861</v>
      </c>
      <c r="F36" s="226">
        <f>'Raw Data'!F19</f>
        <v>1519</v>
      </c>
      <c r="G36" s="226">
        <f>'Raw Data'!G19</f>
        <v>2521</v>
      </c>
      <c r="H36" s="225">
        <f>'Raw Data'!H19</f>
        <v>3322</v>
      </c>
      <c r="I36" s="229"/>
      <c r="J36" s="229"/>
      <c r="K36" s="224" t="s">
        <v>81</v>
      </c>
      <c r="L36" s="223"/>
      <c r="M36" s="136">
        <f t="shared" si="24"/>
        <v>7.0799192541364667E-3</v>
      </c>
      <c r="N36" s="31">
        <f t="shared" si="25"/>
        <v>3.1107002719465465E-3</v>
      </c>
      <c r="O36" s="31">
        <f t="shared" si="26"/>
        <v>3.7456929289519568E-2</v>
      </c>
      <c r="P36" s="31">
        <f t="shared" si="27"/>
        <v>2.6650899533653119E-3</v>
      </c>
      <c r="Q36" s="31">
        <f t="shared" si="28"/>
        <v>4.1431038931371731E-3</v>
      </c>
      <c r="R36" s="31">
        <f t="shared" si="29"/>
        <v>5.1445092971287073E-3</v>
      </c>
      <c r="S36" s="31">
        <f t="shared" si="30"/>
        <v>9.933375326538962E-3</v>
      </c>
      <c r="T36" s="31" cm="1">
        <f t="array" ref="T36">IFERROR(AVERAGE(IF(M36:R36&lt;&gt;MAX(M36:R36),IF(M36:R36&lt;&gt;MIN(M36:R36),M36:R36))),U36)</f>
        <v>4.8695581790872237E-3</v>
      </c>
      <c r="U36" s="30">
        <f t="shared" si="31"/>
        <v>5.1445092971287073E-3</v>
      </c>
      <c r="V36" s="229"/>
      <c r="W36" s="1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</row>
    <row r="37" spans="1:125" ht="15.6" x14ac:dyDescent="0.3">
      <c r="A37" s="124" t="s">
        <v>80</v>
      </c>
      <c r="B37" s="235"/>
      <c r="C37" s="234">
        <f t="shared" ref="C37:H37" si="32">SUM(C33:C36)</f>
        <v>61897</v>
      </c>
      <c r="D37" s="234">
        <f t="shared" si="32"/>
        <v>61806</v>
      </c>
      <c r="E37" s="234">
        <f t="shared" si="32"/>
        <v>90067</v>
      </c>
      <c r="F37" s="234">
        <f t="shared" si="32"/>
        <v>81070</v>
      </c>
      <c r="G37" s="234">
        <f t="shared" si="32"/>
        <v>75655</v>
      </c>
      <c r="H37" s="233">
        <f t="shared" si="32"/>
        <v>76877</v>
      </c>
      <c r="I37" s="229"/>
      <c r="J37" s="229"/>
      <c r="K37" s="123" t="s">
        <v>80</v>
      </c>
      <c r="L37" s="144"/>
      <c r="M37" s="136">
        <f t="shared" si="24"/>
        <v>0.12095660007543055</v>
      </c>
      <c r="N37" s="31">
        <f t="shared" si="25"/>
        <v>0.11853263933904332</v>
      </c>
      <c r="O37" s="31">
        <f t="shared" si="26"/>
        <v>0.16171963234356737</v>
      </c>
      <c r="P37" s="31">
        <f t="shared" si="27"/>
        <v>0.14223755267895052</v>
      </c>
      <c r="Q37" s="31">
        <f t="shared" si="28"/>
        <v>0.12433420271134185</v>
      </c>
      <c r="R37" s="31">
        <f t="shared" si="29"/>
        <v>0.11905311295465491</v>
      </c>
      <c r="S37" s="31">
        <f t="shared" si="30"/>
        <v>0.13113895668383144</v>
      </c>
      <c r="T37" s="31" cm="1">
        <f t="array" ref="T37">IFERROR(AVERAGE(IF(M37:R37&lt;&gt;MAX(M37:R37),IF(M37:R37&lt;&gt;MIN(M37:R37),M37:R37))),U37)</f>
        <v>0.12664536710509447</v>
      </c>
      <c r="U37" s="30">
        <f t="shared" si="31"/>
        <v>0.11905311295465491</v>
      </c>
      <c r="V37" s="229"/>
      <c r="W37" s="1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</row>
    <row r="38" spans="1:125" ht="15.6" x14ac:dyDescent="0.3">
      <c r="A38" s="94" t="s">
        <v>340</v>
      </c>
      <c r="B38" s="218"/>
      <c r="C38" s="209">
        <f>'Raw Data'!C23</f>
        <v>111395</v>
      </c>
      <c r="D38" s="209">
        <f>'Raw Data'!D23</f>
        <v>127049</v>
      </c>
      <c r="E38" s="209">
        <f>'Raw Data'!E23</f>
        <v>109848</v>
      </c>
      <c r="F38" s="209">
        <f>'Raw Data'!F23</f>
        <v>112624</v>
      </c>
      <c r="G38" s="209">
        <f>'Raw Data'!G23</f>
        <v>119234</v>
      </c>
      <c r="H38" s="208">
        <f>'Raw Data'!H23</f>
        <v>130338</v>
      </c>
      <c r="I38" s="229"/>
      <c r="J38" s="229"/>
      <c r="K38" s="132" t="s">
        <v>340</v>
      </c>
      <c r="L38" s="144"/>
      <c r="M38" s="136">
        <f t="shared" si="24"/>
        <v>0.21768357861289864</v>
      </c>
      <c r="N38" s="31">
        <f t="shared" si="25"/>
        <v>0.24365681803362318</v>
      </c>
      <c r="O38" s="31">
        <f t="shared" si="26"/>
        <v>0.19723736966565097</v>
      </c>
      <c r="P38" s="31">
        <f t="shared" si="27"/>
        <v>0.19759913818815991</v>
      </c>
      <c r="Q38" s="31">
        <f t="shared" si="28"/>
        <v>0.19595353018417994</v>
      </c>
      <c r="R38" s="31">
        <f t="shared" si="29"/>
        <v>0.2018437846987241</v>
      </c>
      <c r="S38" s="31">
        <f t="shared" si="30"/>
        <v>0.20899570323053948</v>
      </c>
      <c r="T38" s="31" cm="1">
        <f t="array" ref="T38">IFERROR(AVERAGE(IF(M38:R38&lt;&gt;MAX(M38:R38),IF(M38:R38&lt;&gt;MIN(M38:R38),M38:R38))),U38)</f>
        <v>0.20359096779135841</v>
      </c>
      <c r="U38" s="30">
        <f t="shared" si="31"/>
        <v>0.2018437846987241</v>
      </c>
      <c r="V38" s="229"/>
      <c r="W38" s="1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</row>
    <row r="39" spans="1:125" ht="15.6" x14ac:dyDescent="0.3">
      <c r="A39" s="210" t="s">
        <v>339</v>
      </c>
      <c r="B39" s="232"/>
      <c r="C39" s="231">
        <f>'Raw Data'!C24</f>
        <v>198570</v>
      </c>
      <c r="D39" s="231">
        <f>'Raw Data'!D24</f>
        <v>221563</v>
      </c>
      <c r="E39" s="231">
        <f>'Raw Data'!E24</f>
        <v>198218</v>
      </c>
      <c r="F39" s="231">
        <f>'Raw Data'!F24</f>
        <v>207433</v>
      </c>
      <c r="G39" s="231">
        <f>'Raw Data'!G24</f>
        <v>220844</v>
      </c>
      <c r="H39" s="230">
        <f>'Raw Data'!H24</f>
        <v>239387</v>
      </c>
      <c r="I39" s="229"/>
      <c r="J39" s="229"/>
      <c r="K39" s="132" t="s">
        <v>339</v>
      </c>
      <c r="L39" s="144"/>
      <c r="M39" s="136">
        <f t="shared" si="24"/>
        <v>0.38803741824285903</v>
      </c>
      <c r="N39" s="31">
        <f t="shared" si="25"/>
        <v>0.42491743794900905</v>
      </c>
      <c r="O39" s="31">
        <f t="shared" si="26"/>
        <v>0.35590995685297871</v>
      </c>
      <c r="P39" s="31">
        <f t="shared" si="27"/>
        <v>0.3639418066467589</v>
      </c>
      <c r="Q39" s="31">
        <f t="shared" si="28"/>
        <v>0.36294313216024821</v>
      </c>
      <c r="R39" s="31">
        <f t="shared" si="29"/>
        <v>0.3707190388656682</v>
      </c>
      <c r="S39" s="31">
        <f t="shared" si="30"/>
        <v>0.37774479845292031</v>
      </c>
      <c r="T39" s="31" cm="1">
        <f t="array" ref="T39">IFERROR(AVERAGE(IF(M39:R39&lt;&gt;MAX(M39:R39),IF(M39:R39&lt;&gt;MIN(M39:R39),M39:R39))),U39)</f>
        <v>0.37141034897888359</v>
      </c>
      <c r="U39" s="30">
        <f t="shared" si="31"/>
        <v>0.3707190388656682</v>
      </c>
      <c r="V39" s="229"/>
      <c r="W39" s="1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</row>
    <row r="40" spans="1:125" ht="15.6" x14ac:dyDescent="0.3">
      <c r="A40" s="210" t="s">
        <v>338</v>
      </c>
      <c r="B40" s="232"/>
      <c r="C40" s="231">
        <f>'Raw Data'!C25</f>
        <v>87175</v>
      </c>
      <c r="D40" s="231">
        <f>'Raw Data'!D25</f>
        <v>94514</v>
      </c>
      <c r="E40" s="231">
        <f>'Raw Data'!E25</f>
        <v>88370</v>
      </c>
      <c r="F40" s="231">
        <f>'Raw Data'!F25</f>
        <v>94809</v>
      </c>
      <c r="G40" s="231">
        <f>'Raw Data'!G25</f>
        <v>101610</v>
      </c>
      <c r="H40" s="230">
        <f>'Raw Data'!H25</f>
        <v>109049</v>
      </c>
      <c r="I40" s="229"/>
      <c r="J40" s="229"/>
      <c r="K40" s="132" t="s">
        <v>338</v>
      </c>
      <c r="L40" s="144"/>
      <c r="M40" s="136">
        <f t="shared" si="24"/>
        <v>0.1703538396299604</v>
      </c>
      <c r="N40" s="31">
        <f t="shared" si="25"/>
        <v>0.18126061991538589</v>
      </c>
      <c r="O40" s="31">
        <f t="shared" si="26"/>
        <v>0.15867258718732774</v>
      </c>
      <c r="P40" s="31">
        <f t="shared" si="27"/>
        <v>0.16634266845859899</v>
      </c>
      <c r="Q40" s="31">
        <f t="shared" si="28"/>
        <v>0.16698960197606827</v>
      </c>
      <c r="R40" s="31">
        <f t="shared" si="29"/>
        <v>0.16887525416694413</v>
      </c>
      <c r="S40" s="31">
        <f t="shared" si="30"/>
        <v>0.16874909522238091</v>
      </c>
      <c r="T40" s="31" cm="1">
        <f t="array" ref="T40">IFERROR(AVERAGE(IF(M40:R40&lt;&gt;MAX(M40:R40),IF(M40:R40&lt;&gt;MIN(M40:R40),M40:R40))),U40)</f>
        <v>0.16814034105789297</v>
      </c>
      <c r="U40" s="30">
        <f t="shared" si="31"/>
        <v>0.16887525416694413</v>
      </c>
      <c r="V40" s="229"/>
      <c r="W40" s="1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</row>
    <row r="41" spans="1:125" ht="15.6" x14ac:dyDescent="0.3">
      <c r="A41" s="94" t="s">
        <v>337</v>
      </c>
      <c r="B41" s="218"/>
      <c r="C41" s="209">
        <f>IF('Raw Data'!C26&gt;0,'Raw Data'!C26,0)</f>
        <v>0</v>
      </c>
      <c r="D41" s="209">
        <f>IF('Raw Data'!D26&gt;0,'Raw Data'!D26,0)</f>
        <v>0</v>
      </c>
      <c r="E41" s="209">
        <f>IF('Raw Data'!E26&gt;0,'Raw Data'!E26,0)</f>
        <v>0</v>
      </c>
      <c r="F41" s="209">
        <f>IF('Raw Data'!F26&gt;0,'Raw Data'!F26,0)</f>
        <v>0</v>
      </c>
      <c r="G41" s="209">
        <f>IF('Raw Data'!G26&gt;0,'Raw Data'!G26,0)</f>
        <v>0</v>
      </c>
      <c r="H41" s="208">
        <f>IF('Raw Data'!H26&gt;0,'Raw Data'!H26,0)</f>
        <v>0</v>
      </c>
      <c r="I41" s="229"/>
      <c r="J41" s="229"/>
      <c r="K41" s="132" t="s">
        <v>337</v>
      </c>
      <c r="L41" s="144"/>
      <c r="M41" s="136">
        <f t="shared" si="24"/>
        <v>0</v>
      </c>
      <c r="N41" s="31">
        <f t="shared" si="25"/>
        <v>0</v>
      </c>
      <c r="O41" s="31">
        <f t="shared" si="26"/>
        <v>0</v>
      </c>
      <c r="P41" s="31">
        <f t="shared" si="27"/>
        <v>0</v>
      </c>
      <c r="Q41" s="31">
        <f t="shared" si="28"/>
        <v>0</v>
      </c>
      <c r="R41" s="31">
        <f t="shared" si="29"/>
        <v>0</v>
      </c>
      <c r="S41" s="31">
        <f t="shared" si="30"/>
        <v>0</v>
      </c>
      <c r="T41" s="31" cm="1">
        <f t="array" ref="T41">IFERROR(AVERAGE(IF(M41:R41&lt;&gt;MAX(M41:R41),IF(M41:R41&lt;&gt;MIN(M41:R41),M41:R41))),U41)</f>
        <v>0</v>
      </c>
      <c r="U41" s="30">
        <f t="shared" si="31"/>
        <v>0</v>
      </c>
      <c r="V41" s="229"/>
      <c r="W41" s="1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</row>
    <row r="42" spans="1:125" ht="15.6" x14ac:dyDescent="0.3">
      <c r="A42" s="94" t="s">
        <v>336</v>
      </c>
      <c r="B42" s="218"/>
      <c r="C42" s="209">
        <f>IF('Raw Data'!C27&gt;0,'Raw Data'!C27,0)</f>
        <v>0</v>
      </c>
      <c r="D42" s="209">
        <f>IF('Raw Data'!D27&gt;0,'Raw Data'!D27,0)</f>
        <v>0</v>
      </c>
      <c r="E42" s="209">
        <f>IF('Raw Data'!E27&gt;0,'Raw Data'!E27,0)</f>
        <v>14422</v>
      </c>
      <c r="F42" s="209">
        <f>IF('Raw Data'!F27&gt;0,'Raw Data'!F27,0)</f>
        <v>12888</v>
      </c>
      <c r="G42" s="209">
        <f>IF('Raw Data'!G27&gt;0,'Raw Data'!G27,0)</f>
        <v>11169</v>
      </c>
      <c r="H42" s="208">
        <f>IF('Raw Data'!H27&gt;0,'Raw Data'!H27,0)</f>
        <v>8449</v>
      </c>
      <c r="I42" s="229"/>
      <c r="J42" s="229"/>
      <c r="K42" s="132" t="s">
        <v>336</v>
      </c>
      <c r="L42" s="144"/>
      <c r="M42" s="136">
        <f t="shared" si="24"/>
        <v>0</v>
      </c>
      <c r="N42" s="31">
        <f t="shared" si="25"/>
        <v>0</v>
      </c>
      <c r="O42" s="31">
        <f t="shared" si="26"/>
        <v>2.5895394957741773E-2</v>
      </c>
      <c r="P42" s="31">
        <f t="shared" si="27"/>
        <v>2.2612033784708455E-2</v>
      </c>
      <c r="Q42" s="31">
        <f t="shared" si="28"/>
        <v>1.8355544380186072E-2</v>
      </c>
      <c r="R42" s="31">
        <f t="shared" si="29"/>
        <v>1.3084274247874908E-2</v>
      </c>
      <c r="S42" s="31">
        <f t="shared" si="30"/>
        <v>1.3324541228418536E-2</v>
      </c>
      <c r="T42" s="31" cm="1">
        <f t="array" ref="T42">IFERROR(AVERAGE(IF(M42:R42&lt;&gt;MAX(M42:R42),IF(M42:R42&lt;&gt;MIN(M42:R42),M42:R42))),U42)</f>
        <v>1.8017284137589813E-2</v>
      </c>
      <c r="U42" s="30">
        <f t="shared" si="31"/>
        <v>1.3084274247874908E-2</v>
      </c>
      <c r="V42" s="229"/>
      <c r="W42" s="1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</row>
    <row r="43" spans="1:125" ht="15.6" x14ac:dyDescent="0.3">
      <c r="A43" s="94" t="s">
        <v>74</v>
      </c>
      <c r="B43" s="218"/>
      <c r="C43" s="209">
        <f>'Raw Data'!C28</f>
        <v>36981</v>
      </c>
      <c r="D43" s="209">
        <f>'Raw Data'!D28</f>
        <v>36273</v>
      </c>
      <c r="E43" s="209">
        <f>'Raw Data'!E28</f>
        <v>33883</v>
      </c>
      <c r="F43" s="209">
        <f>'Raw Data'!F28</f>
        <v>33814</v>
      </c>
      <c r="G43" s="209">
        <f>'Raw Data'!G28</f>
        <v>32474</v>
      </c>
      <c r="H43" s="208">
        <f>'Raw Data'!H28</f>
        <v>32213</v>
      </c>
      <c r="I43" s="229"/>
      <c r="J43" s="229"/>
      <c r="K43" s="132" t="s">
        <v>74</v>
      </c>
      <c r="L43" s="144"/>
      <c r="M43" s="136">
        <f t="shared" si="24"/>
        <v>7.2266766198515228E-2</v>
      </c>
      <c r="N43" s="31">
        <f t="shared" si="25"/>
        <v>6.9565000594523474E-2</v>
      </c>
      <c r="O43" s="31">
        <f t="shared" si="26"/>
        <v>6.0838556882066602E-2</v>
      </c>
      <c r="P43" s="31">
        <f t="shared" si="27"/>
        <v>5.9326762135019528E-2</v>
      </c>
      <c r="Q43" s="31">
        <f t="shared" si="28"/>
        <v>5.3368963040752303E-2</v>
      </c>
      <c r="R43" s="31">
        <f t="shared" si="29"/>
        <v>4.9885634554005735E-2</v>
      </c>
      <c r="S43" s="31">
        <f t="shared" si="30"/>
        <v>6.0875280567480476E-2</v>
      </c>
      <c r="T43" s="31" cm="1">
        <f t="array" ref="T43">IFERROR(AVERAGE(IF(M43:R43&lt;&gt;MAX(M43:R43),IF(M43:R43&lt;&gt;MIN(M43:R43),M43:R43))),U43)</f>
        <v>6.0774820663090479E-2</v>
      </c>
      <c r="U43" s="30">
        <f t="shared" si="31"/>
        <v>4.9885634554005735E-2</v>
      </c>
      <c r="V43" s="229"/>
      <c r="W43" s="1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</row>
    <row r="44" spans="1:125" ht="15.6" x14ac:dyDescent="0.3">
      <c r="A44" s="94" t="s">
        <v>72</v>
      </c>
      <c r="B44" s="218"/>
      <c r="C44" s="209">
        <f>'Raw Data'!C29</f>
        <v>9022</v>
      </c>
      <c r="D44" s="209">
        <f>'Raw Data'!D29</f>
        <v>11367</v>
      </c>
      <c r="E44" s="209">
        <f>'Raw Data'!E29</f>
        <v>4276</v>
      </c>
      <c r="F44" s="209">
        <f>'Raw Data'!F29</f>
        <v>4464</v>
      </c>
      <c r="G44" s="209">
        <f>'Raw Data'!G29</f>
        <v>4665</v>
      </c>
      <c r="H44" s="208">
        <f>'Raw Data'!H29</f>
        <v>4522</v>
      </c>
      <c r="I44" s="229"/>
      <c r="J44" s="229"/>
      <c r="K44" s="132" t="s">
        <v>72</v>
      </c>
      <c r="L44" s="144"/>
      <c r="M44" s="136">
        <f t="shared" si="24"/>
        <v>1.7630425479111013E-2</v>
      </c>
      <c r="N44" s="31">
        <f t="shared" si="25"/>
        <v>2.1799833533425645E-2</v>
      </c>
      <c r="O44" s="31">
        <f t="shared" si="26"/>
        <v>7.6777637525519225E-3</v>
      </c>
      <c r="P44" s="31">
        <f t="shared" si="27"/>
        <v>7.8321010874409167E-3</v>
      </c>
      <c r="Q44" s="31">
        <f t="shared" si="28"/>
        <v>7.6666321544961967E-3</v>
      </c>
      <c r="R44" s="31">
        <f t="shared" si="29"/>
        <v>7.0028510059048808E-3</v>
      </c>
      <c r="S44" s="31">
        <f t="shared" si="30"/>
        <v>1.1601601168821763E-2</v>
      </c>
      <c r="T44" s="31" cm="1">
        <f t="array" ref="T44">IFERROR(AVERAGE(IF(M44:R44&lt;&gt;MAX(M44:R44),IF(M44:R44&lt;&gt;MIN(M44:R44),M44:R44))),U44)</f>
        <v>1.0201730618400011E-2</v>
      </c>
      <c r="U44" s="30">
        <f t="shared" si="31"/>
        <v>7.0028510059048808E-3</v>
      </c>
      <c r="V44" s="229"/>
      <c r="W44" s="1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</row>
    <row r="45" spans="1:125" ht="16.2" thickBot="1" x14ac:dyDescent="0.35">
      <c r="A45" s="130" t="s">
        <v>254</v>
      </c>
      <c r="B45" s="248"/>
      <c r="C45" s="205">
        <f t="shared" ref="C45:H45" si="33">C37+C38+C41+C42+C43+C44</f>
        <v>219295</v>
      </c>
      <c r="D45" s="205">
        <f t="shared" si="33"/>
        <v>236495</v>
      </c>
      <c r="E45" s="205">
        <f t="shared" si="33"/>
        <v>252496</v>
      </c>
      <c r="F45" s="205">
        <f t="shared" si="33"/>
        <v>244860</v>
      </c>
      <c r="G45" s="205">
        <f t="shared" si="33"/>
        <v>243197</v>
      </c>
      <c r="H45" s="204">
        <f t="shared" si="33"/>
        <v>252399</v>
      </c>
      <c r="I45" s="229"/>
      <c r="J45" s="229"/>
      <c r="K45" s="127" t="s">
        <v>254</v>
      </c>
      <c r="L45" s="126"/>
      <c r="M45" s="131">
        <f t="shared" si="24"/>
        <v>0.42853737036595541</v>
      </c>
      <c r="N45" s="24">
        <f t="shared" si="25"/>
        <v>0.4535542915006156</v>
      </c>
      <c r="O45" s="24">
        <f t="shared" si="26"/>
        <v>0.45336871760157865</v>
      </c>
      <c r="P45" s="24">
        <f t="shared" si="27"/>
        <v>0.42960758787427933</v>
      </c>
      <c r="Q45" s="24">
        <f t="shared" si="28"/>
        <v>0.39967887247095635</v>
      </c>
      <c r="R45" s="24">
        <f t="shared" si="29"/>
        <v>0.39086965746116453</v>
      </c>
      <c r="S45" s="24">
        <f t="shared" si="30"/>
        <v>0.42593608287909163</v>
      </c>
      <c r="T45" s="24" cm="1">
        <f t="array" ref="T45">IFERROR(AVERAGE(IF(M45:R45&lt;&gt;MAX(M45:R45),IF(M45:R45&lt;&gt;MIN(M45:R45),M45:R45))),U45)</f>
        <v>0.42779813707819242</v>
      </c>
      <c r="U45" s="23">
        <f t="shared" si="31"/>
        <v>0.39086965746116453</v>
      </c>
      <c r="V45" s="229"/>
      <c r="W45" s="1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</row>
    <row r="46" spans="1:125" ht="16.2" thickTop="1" x14ac:dyDescent="0.3">
      <c r="A46" s="98" t="s">
        <v>335</v>
      </c>
      <c r="B46" s="218"/>
      <c r="C46" s="209">
        <f>'Raw Data'!C32</f>
        <v>219295</v>
      </c>
      <c r="D46" s="209">
        <f>'Raw Data'!D32</f>
        <v>236495</v>
      </c>
      <c r="E46" s="209">
        <f>'Raw Data'!E32</f>
        <v>252496</v>
      </c>
      <c r="F46" s="209">
        <f>'Raw Data'!F32</f>
        <v>244860</v>
      </c>
      <c r="G46" s="209">
        <f>'Raw Data'!G32</f>
        <v>243197</v>
      </c>
      <c r="H46" s="208">
        <f>'Raw Data'!H32</f>
        <v>252399</v>
      </c>
      <c r="I46" s="229"/>
      <c r="J46" s="229"/>
      <c r="K46" s="179"/>
      <c r="L46" s="207"/>
      <c r="M46" s="207"/>
      <c r="N46" s="207"/>
      <c r="O46" s="207"/>
      <c r="P46" s="207"/>
      <c r="Q46" s="207"/>
      <c r="R46" s="206"/>
      <c r="S46" s="142"/>
      <c r="T46" s="141"/>
      <c r="U46" s="140"/>
      <c r="V46" s="229"/>
      <c r="W46" s="1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</row>
    <row r="47" spans="1:125" ht="15.6" x14ac:dyDescent="0.3">
      <c r="A47" s="222" t="s">
        <v>334</v>
      </c>
      <c r="B47" s="220"/>
      <c r="C47" s="247" t="b">
        <f t="shared" ref="C47:H47" si="34">IF(C45=C46,TRUE,FALSE)</f>
        <v>1</v>
      </c>
      <c r="D47" s="247" t="b">
        <f t="shared" si="34"/>
        <v>1</v>
      </c>
      <c r="E47" s="247" t="b">
        <f t="shared" si="34"/>
        <v>1</v>
      </c>
      <c r="F47" s="247" t="b">
        <f t="shared" si="34"/>
        <v>1</v>
      </c>
      <c r="G47" s="247" t="b">
        <f t="shared" si="34"/>
        <v>1</v>
      </c>
      <c r="H47" s="246" t="b">
        <f t="shared" si="34"/>
        <v>1</v>
      </c>
      <c r="I47" s="229"/>
      <c r="J47" s="229"/>
      <c r="K47" s="179"/>
      <c r="L47" s="207"/>
      <c r="M47" s="207"/>
      <c r="N47" s="207"/>
      <c r="O47" s="207"/>
      <c r="P47" s="207"/>
      <c r="Q47" s="207"/>
      <c r="R47" s="206"/>
      <c r="S47" s="142"/>
      <c r="T47" s="141"/>
      <c r="U47" s="140"/>
      <c r="V47" s="229"/>
      <c r="W47" s="1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</row>
    <row r="48" spans="1:125" ht="15.6" x14ac:dyDescent="0.3">
      <c r="A48" s="98"/>
      <c r="B48" s="218"/>
      <c r="C48" s="209"/>
      <c r="D48" s="209"/>
      <c r="E48" s="209"/>
      <c r="F48" s="209"/>
      <c r="G48" s="209"/>
      <c r="H48" s="208"/>
      <c r="I48" s="229"/>
      <c r="J48" s="229"/>
      <c r="K48" s="179"/>
      <c r="L48" s="207"/>
      <c r="M48" s="207"/>
      <c r="N48" s="207"/>
      <c r="O48" s="207"/>
      <c r="P48" s="207"/>
      <c r="Q48" s="207"/>
      <c r="R48" s="206"/>
      <c r="S48" s="245"/>
      <c r="T48" s="244"/>
      <c r="U48" s="243"/>
      <c r="V48" s="229"/>
      <c r="W48" s="1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</row>
    <row r="49" spans="1:125" ht="16.2" thickBot="1" x14ac:dyDescent="0.35">
      <c r="A49" s="216" t="s">
        <v>333</v>
      </c>
      <c r="B49" s="215"/>
      <c r="C49" s="242"/>
      <c r="D49" s="242"/>
      <c r="E49" s="242"/>
      <c r="F49" s="242"/>
      <c r="G49" s="242"/>
      <c r="H49" s="241"/>
      <c r="I49" s="229"/>
      <c r="J49" s="229"/>
      <c r="K49" s="213" t="s">
        <v>333</v>
      </c>
      <c r="L49" s="240"/>
      <c r="M49" s="212"/>
      <c r="N49" s="212"/>
      <c r="O49" s="212"/>
      <c r="P49" s="212"/>
      <c r="Q49" s="212"/>
      <c r="R49" s="211"/>
      <c r="S49" s="239"/>
      <c r="T49" s="238"/>
      <c r="U49" s="237"/>
      <c r="V49" s="229"/>
      <c r="W49" s="1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</row>
    <row r="50" spans="1:125" ht="15.6" x14ac:dyDescent="0.3">
      <c r="A50" s="94" t="s">
        <v>252</v>
      </c>
      <c r="B50" s="87"/>
      <c r="C50" s="209">
        <f>'Raw Data'!C34</f>
        <v>7830</v>
      </c>
      <c r="D50" s="209">
        <f>'Raw Data'!D34</f>
        <v>8241</v>
      </c>
      <c r="E50" s="209">
        <f>'Raw Data'!E34</f>
        <v>5296</v>
      </c>
      <c r="F50" s="209">
        <f>'Raw Data'!F34</f>
        <v>5207</v>
      </c>
      <c r="G50" s="209">
        <f>'Raw Data'!G34</f>
        <v>6603</v>
      </c>
      <c r="H50" s="208">
        <f>'Raw Data'!H34</f>
        <v>6537</v>
      </c>
      <c r="I50" s="229"/>
      <c r="J50" s="229"/>
      <c r="K50" s="132" t="s">
        <v>252</v>
      </c>
      <c r="L50" s="144"/>
      <c r="M50" s="139">
        <f t="shared" ref="M50:M61" si="35">C50/C$8</f>
        <v>1.5301067557242212E-2</v>
      </c>
      <c r="N50" s="138">
        <f t="shared" ref="N50:N61" si="36">D50/D$8</f>
        <v>1.5804735475407825E-2</v>
      </c>
      <c r="O50" s="138">
        <f t="shared" ref="O50:O61" si="37">E50/E$8</f>
        <v>9.5092228329080875E-3</v>
      </c>
      <c r="P50" s="138">
        <f t="shared" ref="P50:P61" si="38">F50/F$8</f>
        <v>9.135696765749296E-3</v>
      </c>
      <c r="Q50" s="138">
        <f t="shared" ref="Q50:Q61" si="39">G50/G$8</f>
        <v>1.0851612457907478E-2</v>
      </c>
      <c r="R50" s="138">
        <f t="shared" ref="R50:R61" si="40">H50/H$8</f>
        <v>1.0123316458558206E-2</v>
      </c>
      <c r="S50" s="138">
        <f t="shared" ref="S50:S61" si="41">AVERAGE(M50:R50)</f>
        <v>1.1787608591295518E-2</v>
      </c>
      <c r="T50" s="138" cm="1">
        <f t="array" ref="T50">IFERROR(AVERAGE(IF(M50:R50&lt;&gt;MAX(M50:R50),IF(M50:R50&lt;&gt;MIN(M50:R50),M50:R50))),U50)</f>
        <v>1.1446304826653996E-2</v>
      </c>
      <c r="U50" s="137">
        <f t="shared" ref="U50:U61" si="42">R50</f>
        <v>1.0123316458558206E-2</v>
      </c>
      <c r="V50" s="229"/>
      <c r="W50" s="1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</row>
    <row r="51" spans="1:125" ht="15.6" x14ac:dyDescent="0.3">
      <c r="A51" s="94" t="s">
        <v>70</v>
      </c>
      <c r="B51" s="218"/>
      <c r="C51" s="209">
        <f>'Raw Data'!C37</f>
        <v>47060</v>
      </c>
      <c r="D51" s="209">
        <f>'Raw Data'!D37</f>
        <v>46973</v>
      </c>
      <c r="E51" s="209">
        <f>'Raw Data'!E37</f>
        <v>49141</v>
      </c>
      <c r="F51" s="209">
        <f>'Raw Data'!F37</f>
        <v>55261</v>
      </c>
      <c r="G51" s="209">
        <f>'Raw Data'!G37</f>
        <v>53742</v>
      </c>
      <c r="H51" s="208">
        <f>'Raw Data'!H37</f>
        <v>56812</v>
      </c>
      <c r="I51" s="229"/>
      <c r="J51" s="229"/>
      <c r="K51" s="132" t="s">
        <v>70</v>
      </c>
      <c r="L51" s="144"/>
      <c r="M51" s="136">
        <f t="shared" si="35"/>
        <v>9.1962738089887419E-2</v>
      </c>
      <c r="N51" s="31">
        <f t="shared" si="36"/>
        <v>9.0085649737450757E-2</v>
      </c>
      <c r="O51" s="31">
        <f t="shared" si="37"/>
        <v>8.8235030066453238E-2</v>
      </c>
      <c r="P51" s="31">
        <f t="shared" si="38"/>
        <v>9.6955586512785061E-2</v>
      </c>
      <c r="Q51" s="31">
        <f t="shared" si="39"/>
        <v>8.8321574543823056E-2</v>
      </c>
      <c r="R51" s="31">
        <f t="shared" si="40"/>
        <v>8.7980090965826638E-2</v>
      </c>
      <c r="S51" s="31">
        <f t="shared" si="41"/>
        <v>9.0590111652704364E-2</v>
      </c>
      <c r="T51" s="31" cm="1">
        <f t="array" ref="T51">IFERROR(AVERAGE(IF(M51:R51&lt;&gt;MAX(M51:R51),IF(M51:R51&lt;&gt;MIN(M51:R51),M51:R51))),U51)</f>
        <v>8.9651248109403614E-2</v>
      </c>
      <c r="U51" s="30">
        <f t="shared" si="42"/>
        <v>8.7980090965826638E-2</v>
      </c>
      <c r="V51" s="229"/>
      <c r="W51" s="1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</row>
    <row r="52" spans="1:125" ht="15.6" x14ac:dyDescent="0.3">
      <c r="A52" s="94" t="s">
        <v>249</v>
      </c>
      <c r="B52" s="218"/>
      <c r="C52" s="209">
        <f>'Raw Data'!C38</f>
        <v>428</v>
      </c>
      <c r="D52" s="209">
        <f>'Raw Data'!D38</f>
        <v>280</v>
      </c>
      <c r="E52" s="209">
        <f>'Raw Data'!E38</f>
        <v>242</v>
      </c>
      <c r="F52" s="209">
        <f>'Raw Data'!F38</f>
        <v>851</v>
      </c>
      <c r="G52" s="209">
        <f>'Raw Data'!G38</f>
        <v>727</v>
      </c>
      <c r="H52" s="208">
        <f>'Raw Data'!H38</f>
        <v>307</v>
      </c>
      <c r="I52" s="229"/>
      <c r="J52" s="229"/>
      <c r="K52" s="132" t="s">
        <v>249</v>
      </c>
      <c r="L52" s="144"/>
      <c r="M52" s="136">
        <f t="shared" si="35"/>
        <v>8.3638019342269047E-4</v>
      </c>
      <c r="N52" s="31">
        <f t="shared" si="36"/>
        <v>5.3698894953454568E-4</v>
      </c>
      <c r="O52" s="31">
        <f t="shared" si="37"/>
        <v>4.3452264455509009E-4</v>
      </c>
      <c r="P52" s="31">
        <f t="shared" si="38"/>
        <v>1.4930819949400135E-3</v>
      </c>
      <c r="Q52" s="31">
        <f t="shared" si="39"/>
        <v>1.1947784729514973E-3</v>
      </c>
      <c r="R52" s="31">
        <f t="shared" si="40"/>
        <v>4.7542575382857109E-4</v>
      </c>
      <c r="S52" s="31">
        <f t="shared" si="41"/>
        <v>8.2852966820540132E-4</v>
      </c>
      <c r="T52" s="31" cm="1">
        <f t="array" ref="T52">IFERROR(AVERAGE(IF(M52:R52&lt;&gt;MAX(M52:R52),IF(M52:R52&lt;&gt;MIN(M52:R52),M52:R52))),U52)</f>
        <v>7.6089334243432613E-4</v>
      </c>
      <c r="U52" s="30">
        <f t="shared" si="42"/>
        <v>4.7542575382857109E-4</v>
      </c>
      <c r="V52" s="229"/>
      <c r="W52" s="1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</row>
    <row r="53" spans="1:125" ht="15.6" x14ac:dyDescent="0.3">
      <c r="A53" s="227" t="s">
        <v>248</v>
      </c>
      <c r="B53" s="236"/>
      <c r="C53" s="226">
        <f>'Raw Data'!C39</f>
        <v>22159</v>
      </c>
      <c r="D53" s="226">
        <f>'Raw Data'!D39</f>
        <v>22296</v>
      </c>
      <c r="E53" s="226">
        <f>'Raw Data'!E39</f>
        <v>37966</v>
      </c>
      <c r="F53" s="226">
        <f>'Raw Data'!F39</f>
        <v>26060</v>
      </c>
      <c r="G53" s="226">
        <f>'Raw Data'!G39</f>
        <v>31126</v>
      </c>
      <c r="H53" s="225">
        <f>'Raw Data'!H39</f>
        <v>28759</v>
      </c>
      <c r="I53" s="229"/>
      <c r="J53" s="229"/>
      <c r="K53" s="224" t="s">
        <v>248</v>
      </c>
      <c r="L53" s="223"/>
      <c r="M53" s="136">
        <f t="shared" si="35"/>
        <v>4.3302216602928503E-2</v>
      </c>
      <c r="N53" s="31">
        <f t="shared" si="36"/>
        <v>4.2759662924365109E-2</v>
      </c>
      <c r="O53" s="31">
        <f t="shared" si="37"/>
        <v>6.8169779847845252E-2</v>
      </c>
      <c r="P53" s="31">
        <f t="shared" si="38"/>
        <v>4.5722346402040835E-2</v>
      </c>
      <c r="Q53" s="31">
        <f t="shared" si="39"/>
        <v>5.1153610383890373E-2</v>
      </c>
      <c r="R53" s="31">
        <f t="shared" si="40"/>
        <v>4.453670766891165E-2</v>
      </c>
      <c r="S53" s="31">
        <f t="shared" si="41"/>
        <v>4.9274053971663623E-2</v>
      </c>
      <c r="T53" s="31" cm="1">
        <f t="array" ref="T53">IFERROR(AVERAGE(IF(M53:R53&lt;&gt;MAX(M53:R53),IF(M53:R53&lt;&gt;MIN(M53:R53),M53:R53))),U53)</f>
        <v>4.6178720264442842E-2</v>
      </c>
      <c r="U53" s="30">
        <f t="shared" si="42"/>
        <v>4.453670766891165E-2</v>
      </c>
      <c r="V53" s="229"/>
      <c r="W53" s="1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</row>
    <row r="54" spans="1:125" ht="15.6" x14ac:dyDescent="0.3">
      <c r="A54" s="124" t="s">
        <v>245</v>
      </c>
      <c r="B54" s="235"/>
      <c r="C54" s="234">
        <f t="shared" ref="C54:H54" si="43">SUM(C50:C53)</f>
        <v>77477</v>
      </c>
      <c r="D54" s="234">
        <f t="shared" si="43"/>
        <v>77790</v>
      </c>
      <c r="E54" s="234">
        <f t="shared" si="43"/>
        <v>92645</v>
      </c>
      <c r="F54" s="234">
        <f t="shared" si="43"/>
        <v>87379</v>
      </c>
      <c r="G54" s="234">
        <f t="shared" si="43"/>
        <v>92198</v>
      </c>
      <c r="H54" s="233">
        <f t="shared" si="43"/>
        <v>92415</v>
      </c>
      <c r="I54" s="229"/>
      <c r="J54" s="229"/>
      <c r="K54" s="123" t="s">
        <v>245</v>
      </c>
      <c r="L54" s="144"/>
      <c r="M54" s="136">
        <f t="shared" si="35"/>
        <v>0.15140240244348083</v>
      </c>
      <c r="N54" s="31">
        <f t="shared" si="36"/>
        <v>0.14918703708675823</v>
      </c>
      <c r="O54" s="31">
        <f t="shared" si="37"/>
        <v>0.16634855539176166</v>
      </c>
      <c r="P54" s="31">
        <f t="shared" si="38"/>
        <v>0.15330671167551521</v>
      </c>
      <c r="Q54" s="31">
        <f t="shared" si="39"/>
        <v>0.1515215758585724</v>
      </c>
      <c r="R54" s="31">
        <f t="shared" si="40"/>
        <v>0.14311554084712508</v>
      </c>
      <c r="S54" s="31">
        <f t="shared" si="41"/>
        <v>0.15248030388386891</v>
      </c>
      <c r="T54" s="31" cm="1">
        <f t="array" ref="T54">IFERROR(AVERAGE(IF(M54:R54&lt;&gt;MAX(M54:R54),IF(M54:R54&lt;&gt;MIN(M54:R54),M54:R54))),U54)</f>
        <v>0.15135443176608168</v>
      </c>
      <c r="U54" s="30">
        <f t="shared" si="42"/>
        <v>0.14311554084712508</v>
      </c>
      <c r="V54" s="229"/>
      <c r="W54" s="1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</row>
    <row r="55" spans="1:125" ht="15.6" x14ac:dyDescent="0.3">
      <c r="A55" s="94" t="s">
        <v>244</v>
      </c>
      <c r="B55" s="218"/>
      <c r="C55" s="209">
        <f>'Raw Data'!C43</f>
        <v>50203</v>
      </c>
      <c r="D55" s="209">
        <f>'Raw Data'!D43</f>
        <v>64192</v>
      </c>
      <c r="E55" s="209">
        <f>'Raw Data'!E43</f>
        <v>57950</v>
      </c>
      <c r="F55" s="209">
        <f>'Raw Data'!F43</f>
        <v>52116</v>
      </c>
      <c r="G55" s="209">
        <f>'Raw Data'!G43</f>
        <v>52320</v>
      </c>
      <c r="H55" s="208">
        <f>'Raw Data'!H43</f>
        <v>54784</v>
      </c>
      <c r="I55" s="229"/>
      <c r="J55" s="229"/>
      <c r="K55" s="132" t="s">
        <v>244</v>
      </c>
      <c r="L55" s="144"/>
      <c r="M55" s="136">
        <f t="shared" si="35"/>
        <v>9.8104660865418997E-2</v>
      </c>
      <c r="N55" s="31">
        <f t="shared" si="36"/>
        <v>0.12310855231614841</v>
      </c>
      <c r="O55" s="31">
        <f t="shared" si="37"/>
        <v>0.10405201343788212</v>
      </c>
      <c r="P55" s="31">
        <f t="shared" si="38"/>
        <v>9.1437674792354581E-2</v>
      </c>
      <c r="Q55" s="31">
        <f t="shared" si="39"/>
        <v>8.5984607571970198E-2</v>
      </c>
      <c r="R55" s="31">
        <f t="shared" si="40"/>
        <v>8.4839493477994909E-2</v>
      </c>
      <c r="S55" s="31">
        <f t="shared" si="41"/>
        <v>9.7921167076961538E-2</v>
      </c>
      <c r="T55" s="31" cm="1">
        <f t="array" ref="T55">IFERROR(AVERAGE(IF(M55:R55&lt;&gt;MAX(M55:R55),IF(M55:R55&lt;&gt;MIN(M55:R55),M55:R55))),U55)</f>
        <v>9.4894739166906467E-2</v>
      </c>
      <c r="U55" s="30">
        <f t="shared" si="42"/>
        <v>8.4839493477994909E-2</v>
      </c>
      <c r="V55" s="229"/>
      <c r="W55" s="1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</row>
    <row r="56" spans="1:125" ht="15.6" x14ac:dyDescent="0.3">
      <c r="A56" s="210" t="s">
        <v>332</v>
      </c>
      <c r="B56" s="232"/>
      <c r="C56" s="231">
        <f>SUM('Raw Data'!C45:C50)</f>
        <v>45661</v>
      </c>
      <c r="D56" s="231">
        <f>SUM('Raw Data'!D45:D50)</f>
        <v>67144</v>
      </c>
      <c r="E56" s="231">
        <f>SUM('Raw Data'!E45:E50)</f>
        <v>58681</v>
      </c>
      <c r="F56" s="231">
        <f>SUM('Raw Data'!F45:F50)</f>
        <v>47873</v>
      </c>
      <c r="G56" s="231">
        <f>SUM('Raw Data'!G45:G50)</f>
        <v>47477</v>
      </c>
      <c r="H56" s="230">
        <f>SUM('Raw Data'!H45:H50)</f>
        <v>49075</v>
      </c>
      <c r="I56" s="229"/>
      <c r="J56" s="229"/>
      <c r="K56" s="132" t="s">
        <v>332</v>
      </c>
      <c r="L56" s="144"/>
      <c r="M56" s="136">
        <f t="shared" si="35"/>
        <v>8.9228869186620263E-2</v>
      </c>
      <c r="N56" s="31">
        <f t="shared" si="36"/>
        <v>0.12876995009838405</v>
      </c>
      <c r="O56" s="31">
        <f t="shared" si="37"/>
        <v>0.10536455911213737</v>
      </c>
      <c r="P56" s="31">
        <f t="shared" si="38"/>
        <v>8.3993318852835799E-2</v>
      </c>
      <c r="Q56" s="31">
        <f t="shared" si="39"/>
        <v>7.8025443686820128E-2</v>
      </c>
      <c r="R56" s="31">
        <f t="shared" si="40"/>
        <v>7.5998432798492263E-2</v>
      </c>
      <c r="S56" s="31">
        <f t="shared" si="41"/>
        <v>9.3563428955881642E-2</v>
      </c>
      <c r="T56" s="31" cm="1">
        <f t="array" ref="T56">IFERROR(AVERAGE(IF(M56:R56&lt;&gt;MAX(M56:R56),IF(M56:R56&lt;&gt;MIN(M56:R56),M56:R56))),U56)</f>
        <v>8.9153047709603389E-2</v>
      </c>
      <c r="U56" s="30">
        <f t="shared" si="42"/>
        <v>7.5998432798492263E-2</v>
      </c>
      <c r="V56" s="229"/>
      <c r="W56" s="1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</row>
    <row r="57" spans="1:125" ht="15.6" x14ac:dyDescent="0.3">
      <c r="A57" s="210" t="s">
        <v>331</v>
      </c>
      <c r="B57" s="232"/>
      <c r="C57" s="231">
        <f>'Raw Data'!C51</f>
        <v>7412</v>
      </c>
      <c r="D57" s="231">
        <f>'Raw Data'!D51</f>
        <v>4818</v>
      </c>
      <c r="E57" s="231">
        <f>'Raw Data'!E51</f>
        <v>4338</v>
      </c>
      <c r="F57" s="231">
        <f>'Raw Data'!F51</f>
        <v>4243</v>
      </c>
      <c r="G57" s="231">
        <f>'Raw Data'!G51</f>
        <v>4843</v>
      </c>
      <c r="H57" s="230">
        <f>'Raw Data'!H51</f>
        <v>5709</v>
      </c>
      <c r="I57" s="229"/>
      <c r="J57" s="229"/>
      <c r="K57" s="132" t="s">
        <v>331</v>
      </c>
      <c r="L57" s="144"/>
      <c r="M57" s="136">
        <f t="shared" si="35"/>
        <v>1.448422895712379E-2</v>
      </c>
      <c r="N57" s="31">
        <f t="shared" si="36"/>
        <v>9.2400455673480042E-3</v>
      </c>
      <c r="O57" s="31">
        <f t="shared" si="37"/>
        <v>7.7890877358676898E-3</v>
      </c>
      <c r="P57" s="31">
        <f t="shared" si="38"/>
        <v>7.444355939518775E-3</v>
      </c>
      <c r="Q57" s="31">
        <f t="shared" si="39"/>
        <v>7.9591638851500696E-3</v>
      </c>
      <c r="R57" s="31">
        <f t="shared" si="40"/>
        <v>8.8410606795026464E-3</v>
      </c>
      <c r="S57" s="31">
        <f t="shared" si="41"/>
        <v>9.29299046075183E-3</v>
      </c>
      <c r="T57" s="31" cm="1">
        <f t="array" ref="T57">IFERROR(AVERAGE(IF(M57:R57&lt;&gt;MAX(M57:R57),IF(M57:R57&lt;&gt;MIN(M57:R57),M57:R57))),U57)</f>
        <v>8.4573394669671016E-3</v>
      </c>
      <c r="U57" s="30">
        <f t="shared" si="42"/>
        <v>8.8410606795026464E-3</v>
      </c>
      <c r="V57" s="229"/>
      <c r="W57" s="1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</row>
    <row r="58" spans="1:125" ht="15.6" x14ac:dyDescent="0.3">
      <c r="A58" s="94" t="s">
        <v>60</v>
      </c>
      <c r="B58" s="87"/>
      <c r="C58" s="209">
        <f>'Raw Data'!C52</f>
        <v>5685</v>
      </c>
      <c r="D58" s="209">
        <f>'Raw Data'!D52</f>
        <v>6757</v>
      </c>
      <c r="E58" s="209">
        <f>'Raw Data'!E52</f>
        <v>5925</v>
      </c>
      <c r="F58" s="209">
        <f>'Raw Data'!F52</f>
        <v>6557</v>
      </c>
      <c r="G58" s="209">
        <f>'Raw Data'!G52</f>
        <v>7419</v>
      </c>
      <c r="H58" s="208">
        <f>'Raw Data'!H52</f>
        <v>7381</v>
      </c>
      <c r="I58" s="1"/>
      <c r="J58" s="1"/>
      <c r="K58" s="132" t="s">
        <v>60</v>
      </c>
      <c r="L58" s="144"/>
      <c r="M58" s="136">
        <f t="shared" si="35"/>
        <v>1.1109395793476626E-2</v>
      </c>
      <c r="N58" s="31">
        <f t="shared" si="36"/>
        <v>1.2958694042874731E-2</v>
      </c>
      <c r="O58" s="31">
        <f t="shared" si="37"/>
        <v>1.0638622599127723E-2</v>
      </c>
      <c r="P58" s="31">
        <f t="shared" si="38"/>
        <v>1.1504275723644734E-2</v>
      </c>
      <c r="Q58" s="31">
        <f t="shared" si="39"/>
        <v>1.2192656796185912E-2</v>
      </c>
      <c r="R58" s="31">
        <f t="shared" si="40"/>
        <v>1.1430350127064115E-2</v>
      </c>
      <c r="S58" s="31">
        <f t="shared" si="41"/>
        <v>1.163899918039564E-2</v>
      </c>
      <c r="T58" s="31" cm="1">
        <f t="array" ref="T58">IFERROR(AVERAGE(IF(M58:R58&lt;&gt;MAX(M58:R58),IF(M58:R58&lt;&gt;MIN(M58:R58),M58:R58))),U58)</f>
        <v>1.1559169610092847E-2</v>
      </c>
      <c r="U58" s="30">
        <f t="shared" si="42"/>
        <v>1.1430350127064115E-2</v>
      </c>
      <c r="V58" s="1"/>
      <c r="W58" s="1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</row>
    <row r="59" spans="1:125" ht="15.6" x14ac:dyDescent="0.3">
      <c r="A59" s="228" t="s">
        <v>330</v>
      </c>
      <c r="B59" s="87"/>
      <c r="C59" s="209">
        <f>'Raw Data'!C53</f>
        <v>6296</v>
      </c>
      <c r="D59" s="209">
        <f>'Raw Data'!D53</f>
        <v>6204</v>
      </c>
      <c r="E59" s="209">
        <f>'Raw Data'!E53</f>
        <v>8445</v>
      </c>
      <c r="F59" s="209">
        <f>'Raw Data'!F53</f>
        <v>6917</v>
      </c>
      <c r="G59" s="209">
        <f>'Raw Data'!G53</f>
        <v>7269</v>
      </c>
      <c r="H59" s="208">
        <f>'Raw Data'!H53</f>
        <v>7248</v>
      </c>
      <c r="I59" s="1"/>
      <c r="J59" s="1"/>
      <c r="K59" s="132" t="s">
        <v>330</v>
      </c>
      <c r="L59" s="144"/>
      <c r="M59" s="136">
        <f t="shared" si="35"/>
        <v>1.2303387144367428E-2</v>
      </c>
      <c r="N59" s="31">
        <f t="shared" si="36"/>
        <v>1.1898140867544005E-2</v>
      </c>
      <c r="O59" s="31">
        <f t="shared" si="37"/>
        <v>1.5163403856478248E-2</v>
      </c>
      <c r="P59" s="31">
        <f t="shared" si="38"/>
        <v>1.2135896779083518E-2</v>
      </c>
      <c r="Q59" s="31">
        <f t="shared" si="39"/>
        <v>1.1946141292825906E-2</v>
      </c>
      <c r="R59" s="31">
        <f t="shared" si="40"/>
        <v>1.1224383921008088E-2</v>
      </c>
      <c r="S59" s="31">
        <f t="shared" si="41"/>
        <v>1.2445225643551201E-2</v>
      </c>
      <c r="T59" s="31" cm="1">
        <f t="array" ref="T59">IFERROR(AVERAGE(IF(M59:R59&lt;&gt;MAX(M59:R59),IF(M59:R59&lt;&gt;MIN(M59:R59),M59:R59))),U59)</f>
        <v>1.2070891520955213E-2</v>
      </c>
      <c r="U59" s="30">
        <f t="shared" si="42"/>
        <v>1.1224383921008088E-2</v>
      </c>
      <c r="V59" s="1"/>
      <c r="W59" s="1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</row>
    <row r="60" spans="1:125" ht="15.6" x14ac:dyDescent="0.3">
      <c r="A60" s="227" t="s">
        <v>58</v>
      </c>
      <c r="B60" s="149"/>
      <c r="C60" s="226">
        <f>'Raw Data'!C56</f>
        <v>0</v>
      </c>
      <c r="D60" s="226">
        <f>'Raw Data'!D56</f>
        <v>0</v>
      </c>
      <c r="E60" s="226">
        <f>'Raw Data'!E56</f>
        <v>0</v>
      </c>
      <c r="F60" s="226">
        <f>'Raw Data'!F56</f>
        <v>0</v>
      </c>
      <c r="G60" s="226">
        <f>'Raw Data'!G56</f>
        <v>237</v>
      </c>
      <c r="H60" s="225">
        <f>'Raw Data'!H56</f>
        <v>222</v>
      </c>
      <c r="I60" s="1"/>
      <c r="J60" s="1"/>
      <c r="K60" s="224" t="s">
        <v>58</v>
      </c>
      <c r="L60" s="223"/>
      <c r="M60" s="136">
        <f t="shared" si="35"/>
        <v>0</v>
      </c>
      <c r="N60" s="31">
        <f t="shared" si="36"/>
        <v>0</v>
      </c>
      <c r="O60" s="31">
        <f t="shared" si="37"/>
        <v>0</v>
      </c>
      <c r="P60" s="31">
        <f t="shared" si="38"/>
        <v>0</v>
      </c>
      <c r="Q60" s="31">
        <f t="shared" si="39"/>
        <v>3.8949449530880997E-4</v>
      </c>
      <c r="R60" s="31">
        <f t="shared" si="40"/>
        <v>3.4379321612359212E-4</v>
      </c>
      <c r="S60" s="31">
        <f t="shared" si="41"/>
        <v>1.2221461857206701E-4</v>
      </c>
      <c r="T60" s="57" cm="1">
        <f t="array" ref="T60">IFERROR(AVERAGE(IF(M60:R60&lt;&gt;MAX(M60:R60),IF(M60:R60&lt;&gt;MIN(M60:R60),M60:R60))),U60)</f>
        <v>3.4379321612359212E-4</v>
      </c>
      <c r="U60" s="30">
        <f t="shared" si="42"/>
        <v>3.4379321612359212E-4</v>
      </c>
      <c r="V60" s="1"/>
      <c r="W60" s="1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</row>
    <row r="61" spans="1:125" ht="16.2" thickBot="1" x14ac:dyDescent="0.35">
      <c r="A61" s="130" t="s">
        <v>232</v>
      </c>
      <c r="B61" s="129"/>
      <c r="C61" s="205">
        <f t="shared" ref="C61:H61" si="44">C54+C55+C58+C59+C60</f>
        <v>139661</v>
      </c>
      <c r="D61" s="205">
        <f t="shared" si="44"/>
        <v>154943</v>
      </c>
      <c r="E61" s="205">
        <f t="shared" si="44"/>
        <v>164965</v>
      </c>
      <c r="F61" s="205">
        <f t="shared" si="44"/>
        <v>152969</v>
      </c>
      <c r="G61" s="205">
        <f t="shared" si="44"/>
        <v>159443</v>
      </c>
      <c r="H61" s="204">
        <f t="shared" si="44"/>
        <v>162050</v>
      </c>
      <c r="I61" s="1"/>
      <c r="J61" s="1"/>
      <c r="K61" s="127" t="s">
        <v>232</v>
      </c>
      <c r="L61" s="126"/>
      <c r="M61" s="131">
        <f t="shared" si="35"/>
        <v>0.27291984624674387</v>
      </c>
      <c r="N61" s="24">
        <f t="shared" si="36"/>
        <v>0.29715242431332539</v>
      </c>
      <c r="O61" s="24">
        <f t="shared" si="37"/>
        <v>0.29620259528524973</v>
      </c>
      <c r="P61" s="24">
        <f t="shared" si="38"/>
        <v>0.26838455897059804</v>
      </c>
      <c r="Q61" s="24">
        <f t="shared" si="39"/>
        <v>0.26203447601486324</v>
      </c>
      <c r="R61" s="24">
        <f t="shared" si="40"/>
        <v>0.25095356158931575</v>
      </c>
      <c r="S61" s="24">
        <f t="shared" si="41"/>
        <v>0.27460791040334931</v>
      </c>
      <c r="T61" s="24" cm="1">
        <f t="array" ref="T61">IFERROR(AVERAGE(IF(M61:R61&lt;&gt;MAX(M61:R61),IF(M61:R61&lt;&gt;MIN(M61:R61),M61:R61))),U61)</f>
        <v>0.27488536912936368</v>
      </c>
      <c r="U61" s="23">
        <f t="shared" si="42"/>
        <v>0.25095356158931575</v>
      </c>
      <c r="V61" s="1"/>
      <c r="W61" s="1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</row>
    <row r="62" spans="1:125" ht="16.2" thickTop="1" x14ac:dyDescent="0.3">
      <c r="A62" s="98" t="s">
        <v>329</v>
      </c>
      <c r="B62" s="87"/>
      <c r="C62" s="209">
        <f>'Raw Data'!C57</f>
        <v>139661</v>
      </c>
      <c r="D62" s="209">
        <f>'Raw Data'!D57</f>
        <v>154943</v>
      </c>
      <c r="E62" s="209">
        <f>'Raw Data'!E57</f>
        <v>164965</v>
      </c>
      <c r="F62" s="209">
        <f>'Raw Data'!F57</f>
        <v>152969</v>
      </c>
      <c r="G62" s="209">
        <f>'Raw Data'!G57</f>
        <v>159443</v>
      </c>
      <c r="H62" s="208">
        <f>'Raw Data'!H57</f>
        <v>162050</v>
      </c>
      <c r="I62" s="1"/>
      <c r="J62" s="1"/>
      <c r="K62" s="179"/>
      <c r="L62" s="25"/>
      <c r="M62" s="207"/>
      <c r="N62" s="207"/>
      <c r="O62" s="207"/>
      <c r="P62" s="207"/>
      <c r="Q62" s="207"/>
      <c r="R62" s="206"/>
      <c r="S62" s="142"/>
      <c r="T62" s="141"/>
      <c r="U62" s="140"/>
      <c r="V62" s="1"/>
      <c r="W62" s="1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</row>
    <row r="63" spans="1:125" ht="15.6" x14ac:dyDescent="0.3">
      <c r="A63" s="222" t="s">
        <v>328</v>
      </c>
      <c r="B63" s="221"/>
      <c r="C63" s="220" t="b">
        <f t="shared" ref="C63:H63" si="45">IF(C61=C62,TRUE,FALSE)</f>
        <v>1</v>
      </c>
      <c r="D63" s="220" t="b">
        <f t="shared" si="45"/>
        <v>1</v>
      </c>
      <c r="E63" s="220" t="b">
        <f t="shared" si="45"/>
        <v>1</v>
      </c>
      <c r="F63" s="220" t="b">
        <f t="shared" si="45"/>
        <v>1</v>
      </c>
      <c r="G63" s="220" t="b">
        <f t="shared" si="45"/>
        <v>1</v>
      </c>
      <c r="H63" s="219" t="b">
        <f t="shared" si="45"/>
        <v>1</v>
      </c>
      <c r="I63" s="1"/>
      <c r="J63" s="1"/>
      <c r="K63" s="179"/>
      <c r="L63" s="25"/>
      <c r="M63" s="207"/>
      <c r="N63" s="207"/>
      <c r="O63" s="207"/>
      <c r="P63" s="207"/>
      <c r="Q63" s="207"/>
      <c r="R63" s="206"/>
      <c r="S63" s="118"/>
      <c r="T63" s="117"/>
      <c r="U63" s="116"/>
      <c r="V63" s="1"/>
      <c r="W63" s="1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</row>
    <row r="64" spans="1:125" ht="15.6" x14ac:dyDescent="0.3">
      <c r="A64" s="98"/>
      <c r="B64" s="87"/>
      <c r="C64" s="218"/>
      <c r="D64" s="218"/>
      <c r="E64" s="218"/>
      <c r="F64" s="218"/>
      <c r="G64" s="218"/>
      <c r="H64" s="217"/>
      <c r="I64" s="1"/>
      <c r="J64" s="1"/>
      <c r="K64" s="179"/>
      <c r="L64" s="25"/>
      <c r="M64" s="207"/>
      <c r="N64" s="207"/>
      <c r="O64" s="207"/>
      <c r="P64" s="207"/>
      <c r="Q64" s="207"/>
      <c r="R64" s="206"/>
      <c r="S64" s="175"/>
      <c r="T64" s="174"/>
      <c r="U64" s="173"/>
      <c r="V64" s="1"/>
      <c r="W64" s="1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</row>
    <row r="65" spans="1:125" ht="16.2" thickBot="1" x14ac:dyDescent="0.35">
      <c r="A65" s="216" t="s">
        <v>327</v>
      </c>
      <c r="B65" s="171"/>
      <c r="C65" s="215"/>
      <c r="D65" s="215"/>
      <c r="E65" s="215"/>
      <c r="F65" s="215"/>
      <c r="G65" s="215"/>
      <c r="H65" s="214"/>
      <c r="I65" s="1"/>
      <c r="J65" s="1"/>
      <c r="K65" s="213" t="s">
        <v>327</v>
      </c>
      <c r="L65" s="168"/>
      <c r="M65" s="212"/>
      <c r="N65" s="212"/>
      <c r="O65" s="212"/>
      <c r="P65" s="212"/>
      <c r="Q65" s="212"/>
      <c r="R65" s="211"/>
      <c r="S65" s="165"/>
      <c r="T65" s="164"/>
      <c r="U65" s="163"/>
      <c r="V65" s="1"/>
      <c r="W65" s="1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</row>
    <row r="66" spans="1:125" ht="15.6" x14ac:dyDescent="0.3">
      <c r="A66" s="94" t="s">
        <v>230</v>
      </c>
      <c r="B66" s="87"/>
      <c r="C66" s="59">
        <f>'Raw Data'!C59</f>
        <v>0</v>
      </c>
      <c r="D66" s="59">
        <f>'Raw Data'!D59</f>
        <v>0</v>
      </c>
      <c r="E66" s="59">
        <f>'Raw Data'!E59</f>
        <v>0</v>
      </c>
      <c r="F66" s="59">
        <f>'Raw Data'!F59</f>
        <v>0</v>
      </c>
      <c r="G66" s="59">
        <f>'Raw Data'!G59</f>
        <v>0</v>
      </c>
      <c r="H66" s="93">
        <f>'Raw Data'!H59</f>
        <v>0</v>
      </c>
      <c r="I66" s="1"/>
      <c r="J66" s="1"/>
      <c r="K66" s="132" t="s">
        <v>230</v>
      </c>
      <c r="L66" s="25"/>
      <c r="M66" s="139">
        <f t="shared" ref="M66:M74" si="46">C66/C$8</f>
        <v>0</v>
      </c>
      <c r="N66" s="138">
        <f t="shared" ref="N66:N74" si="47">D66/D$8</f>
        <v>0</v>
      </c>
      <c r="O66" s="138">
        <f t="shared" ref="O66:O74" si="48">E66/E$8</f>
        <v>0</v>
      </c>
      <c r="P66" s="138">
        <f t="shared" ref="P66:P74" si="49">F66/F$8</f>
        <v>0</v>
      </c>
      <c r="Q66" s="138">
        <f t="shared" ref="Q66:Q74" si="50">G66/G$8</f>
        <v>0</v>
      </c>
      <c r="R66" s="138">
        <f t="shared" ref="R66:R74" si="51">H66/H$8</f>
        <v>0</v>
      </c>
      <c r="S66" s="138">
        <f t="shared" ref="S66:S74" si="52">AVERAGE(M66:R66)</f>
        <v>0</v>
      </c>
      <c r="T66" s="138" cm="1">
        <f t="array" ref="T66">IFERROR(AVERAGE(IF(M66:R66&lt;&gt;MAX(M66:R66),IF(M66:R66&lt;&gt;MIN(M66:R66),M66:R66))),U66)</f>
        <v>0</v>
      </c>
      <c r="U66" s="137">
        <f t="shared" ref="U66:U74" si="53">R66</f>
        <v>0</v>
      </c>
      <c r="V66" s="1"/>
      <c r="W66" s="1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</row>
    <row r="67" spans="1:125" ht="15.6" x14ac:dyDescent="0.3">
      <c r="A67" s="94" t="s">
        <v>227</v>
      </c>
      <c r="B67" s="87"/>
      <c r="C67" s="59">
        <f>'Raw Data'!C62</f>
        <v>72496</v>
      </c>
      <c r="D67" s="59">
        <f>'Raw Data'!D62</f>
        <v>74669</v>
      </c>
      <c r="E67" s="59">
        <f>'Raw Data'!E62</f>
        <v>80925</v>
      </c>
      <c r="F67" s="59">
        <f>'Raw Data'!F62</f>
        <v>83253</v>
      </c>
      <c r="G67" s="59">
        <f>'Raw Data'!G62</f>
        <v>76693</v>
      </c>
      <c r="H67" s="93">
        <f>'Raw Data'!H62</f>
        <v>83861</v>
      </c>
      <c r="I67" s="1"/>
      <c r="J67" s="1"/>
      <c r="K67" s="132" t="s">
        <v>227</v>
      </c>
      <c r="L67" s="25"/>
      <c r="M67" s="136">
        <f t="shared" si="46"/>
        <v>0.14166873481862471</v>
      </c>
      <c r="N67" s="31">
        <f t="shared" si="47"/>
        <v>0.14320152811712497</v>
      </c>
      <c r="O67" s="31">
        <f t="shared" si="48"/>
        <v>0.14530473144884573</v>
      </c>
      <c r="P67" s="31">
        <f t="shared" si="49"/>
        <v>0.14606763257901403</v>
      </c>
      <c r="Q67" s="31">
        <f t="shared" si="50"/>
        <v>0.1260400899945931</v>
      </c>
      <c r="R67" s="31">
        <f t="shared" si="51"/>
        <v>0.12986866169973224</v>
      </c>
      <c r="S67" s="31">
        <f t="shared" si="52"/>
        <v>0.1386918964429891</v>
      </c>
      <c r="T67" s="31" cm="1">
        <f t="array" ref="T67">IFERROR(AVERAGE(IF(M67:R67&lt;&gt;MAX(M67:R67),IF(M67:R67&lt;&gt;MIN(M67:R67),M67:R67))),U67)</f>
        <v>0.1400109140210819</v>
      </c>
      <c r="U67" s="30">
        <f t="shared" si="53"/>
        <v>0.12986866169973224</v>
      </c>
      <c r="V67" s="1"/>
      <c r="W67" s="1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</row>
    <row r="68" spans="1:125" ht="15.6" x14ac:dyDescent="0.3">
      <c r="A68" s="210" t="s">
        <v>226</v>
      </c>
      <c r="B68" s="154"/>
      <c r="C68" s="153">
        <f>'Raw Data'!C63</f>
        <v>288</v>
      </c>
      <c r="D68" s="153">
        <f>'Raw Data'!D63</f>
        <v>284</v>
      </c>
      <c r="E68" s="153">
        <f>'Raw Data'!E63</f>
        <v>282</v>
      </c>
      <c r="F68" s="153">
        <f>'Raw Data'!F63</f>
        <v>276</v>
      </c>
      <c r="G68" s="153">
        <f>'Raw Data'!G63</f>
        <v>269</v>
      </c>
      <c r="H68" s="156">
        <f>'Raw Data'!H63</f>
        <v>268</v>
      </c>
      <c r="I68" s="1"/>
      <c r="J68" s="1"/>
      <c r="K68" s="132" t="s">
        <v>226</v>
      </c>
      <c r="L68" s="25"/>
      <c r="M68" s="136">
        <f t="shared" si="46"/>
        <v>5.6279788716293196E-4</v>
      </c>
      <c r="N68" s="31">
        <f t="shared" si="47"/>
        <v>5.44660220242182E-4</v>
      </c>
      <c r="O68" s="31">
        <f t="shared" si="48"/>
        <v>5.0634456927493973E-4</v>
      </c>
      <c r="P68" s="31">
        <f t="shared" si="49"/>
        <v>4.8424280916973411E-4</v>
      </c>
      <c r="Q68" s="31">
        <f t="shared" si="50"/>
        <v>4.4208446935894465E-4</v>
      </c>
      <c r="R68" s="31">
        <f t="shared" si="51"/>
        <v>4.1502964829334541E-4</v>
      </c>
      <c r="S68" s="31">
        <f t="shared" si="52"/>
        <v>4.9252660058367965E-4</v>
      </c>
      <c r="T68" s="31" cm="1">
        <f t="array" ref="T68">IFERROR(AVERAGE(IF(M68:R68&lt;&gt;MAX(M68:R68),IF(M68:R68&lt;&gt;MIN(M68:R68),M68:R68))),U68)</f>
        <v>4.9433301701145009E-4</v>
      </c>
      <c r="U68" s="30">
        <f t="shared" si="53"/>
        <v>4.1502964829334541E-4</v>
      </c>
      <c r="V68" s="1"/>
      <c r="W68" s="1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</row>
    <row r="69" spans="1:125" ht="15.6" x14ac:dyDescent="0.3">
      <c r="A69" s="210" t="s">
        <v>225</v>
      </c>
      <c r="B69" s="154"/>
      <c r="C69" s="153">
        <f>'Raw Data'!C64</f>
        <v>2965</v>
      </c>
      <c r="D69" s="153">
        <f>'Raw Data'!D64</f>
        <v>3247</v>
      </c>
      <c r="E69" s="153">
        <f>'Raw Data'!E64</f>
        <v>3646</v>
      </c>
      <c r="F69" s="153">
        <f>'Raw Data'!F64</f>
        <v>4839</v>
      </c>
      <c r="G69" s="153">
        <f>'Raw Data'!G64</f>
        <v>4969</v>
      </c>
      <c r="H69" s="156">
        <f>'Raw Data'!H64</f>
        <v>5081</v>
      </c>
      <c r="I69" s="1"/>
      <c r="J69" s="1"/>
      <c r="K69" s="132" t="s">
        <v>225</v>
      </c>
      <c r="L69" s="25"/>
      <c r="M69" s="136">
        <f t="shared" si="46"/>
        <v>5.7940824147156011E-3</v>
      </c>
      <c r="N69" s="31">
        <f t="shared" si="47"/>
        <v>6.2271539969238204E-3</v>
      </c>
      <c r="O69" s="31">
        <f t="shared" si="48"/>
        <v>6.5465684382142912E-3</v>
      </c>
      <c r="P69" s="31">
        <f t="shared" si="49"/>
        <v>8.4900396868563162E-3</v>
      </c>
      <c r="Q69" s="31">
        <f t="shared" si="50"/>
        <v>8.1662369079724753E-3</v>
      </c>
      <c r="R69" s="31">
        <f t="shared" si="51"/>
        <v>7.8685285185764488E-3</v>
      </c>
      <c r="S69" s="31">
        <f t="shared" si="52"/>
        <v>7.1821016605431581E-3</v>
      </c>
      <c r="T69" s="31" cm="1">
        <f t="array" ref="T69">IFERROR(AVERAGE(IF(M69:R69&lt;&gt;MAX(M69:R69),IF(M69:R69&lt;&gt;MIN(M69:R69),M69:R69))),U69)</f>
        <v>7.2021219654217587E-3</v>
      </c>
      <c r="U69" s="30">
        <f t="shared" si="53"/>
        <v>7.8685285185764488E-3</v>
      </c>
      <c r="V69" s="1"/>
      <c r="W69" s="1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</row>
    <row r="70" spans="1:125" ht="15.6" x14ac:dyDescent="0.3">
      <c r="A70" s="210" t="s">
        <v>224</v>
      </c>
      <c r="B70" s="154"/>
      <c r="C70" s="153">
        <f>'Raw Data'!C65</f>
        <v>69243</v>
      </c>
      <c r="D70" s="153">
        <f>'Raw Data'!D65</f>
        <v>71138</v>
      </c>
      <c r="E70" s="153">
        <f>'Raw Data'!E65</f>
        <v>76997</v>
      </c>
      <c r="F70" s="153">
        <f>'Raw Data'!F65</f>
        <v>78138</v>
      </c>
      <c r="G70" s="153">
        <f>'Raw Data'!G65</f>
        <v>71455</v>
      </c>
      <c r="H70" s="156">
        <f>'Raw Data'!H65</f>
        <v>78512</v>
      </c>
      <c r="I70" s="1"/>
      <c r="J70" s="1"/>
      <c r="K70" s="132" t="s">
        <v>224</v>
      </c>
      <c r="L70" s="25"/>
      <c r="M70" s="136">
        <f t="shared" si="46"/>
        <v>0.13531185451674616</v>
      </c>
      <c r="N70" s="31">
        <f t="shared" si="47"/>
        <v>0.13642971389995895</v>
      </c>
      <c r="O70" s="31">
        <f t="shared" si="48"/>
        <v>0.13825181844135651</v>
      </c>
      <c r="P70" s="31">
        <f t="shared" si="49"/>
        <v>0.13709335008298798</v>
      </c>
      <c r="Q70" s="31">
        <f t="shared" si="50"/>
        <v>0.11743176861726168</v>
      </c>
      <c r="R70" s="31">
        <f t="shared" si="51"/>
        <v>0.12158510353286245</v>
      </c>
      <c r="S70" s="31">
        <f t="shared" si="52"/>
        <v>0.1310172681818623</v>
      </c>
      <c r="T70" s="31" cm="1">
        <f t="array" ref="T70">IFERROR(AVERAGE(IF(M70:R70&lt;&gt;MAX(M70:R70),IF(M70:R70&lt;&gt;MIN(M70:R70),M70:R70))),U70)</f>
        <v>0.13260500550813889</v>
      </c>
      <c r="U70" s="30">
        <f t="shared" si="53"/>
        <v>0.12158510353286245</v>
      </c>
      <c r="V70" s="1"/>
      <c r="W70" s="1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</row>
    <row r="71" spans="1:125" ht="15.6" x14ac:dyDescent="0.3">
      <c r="A71" s="210" t="s">
        <v>223</v>
      </c>
      <c r="B71" s="154"/>
      <c r="C71" s="153">
        <f>'Raw Data'!C66</f>
        <v>0</v>
      </c>
      <c r="D71" s="153">
        <f>'Raw Data'!D66</f>
        <v>0</v>
      </c>
      <c r="E71" s="153">
        <f>'Raw Data'!E66</f>
        <v>0</v>
      </c>
      <c r="F71" s="153">
        <f>'Raw Data'!F66</f>
        <v>0</v>
      </c>
      <c r="G71" s="153">
        <f>'Raw Data'!G66</f>
        <v>0</v>
      </c>
      <c r="H71" s="156">
        <f>'Raw Data'!H66</f>
        <v>0</v>
      </c>
      <c r="I71" s="1"/>
      <c r="J71" s="1"/>
      <c r="K71" s="132" t="s">
        <v>223</v>
      </c>
      <c r="L71" s="25"/>
      <c r="M71" s="136">
        <f t="shared" si="46"/>
        <v>0</v>
      </c>
      <c r="N71" s="31">
        <f t="shared" si="47"/>
        <v>0</v>
      </c>
      <c r="O71" s="31">
        <f t="shared" si="48"/>
        <v>0</v>
      </c>
      <c r="P71" s="31">
        <f t="shared" si="49"/>
        <v>0</v>
      </c>
      <c r="Q71" s="31">
        <f t="shared" si="50"/>
        <v>0</v>
      </c>
      <c r="R71" s="31">
        <f t="shared" si="51"/>
        <v>0</v>
      </c>
      <c r="S71" s="31">
        <f t="shared" si="52"/>
        <v>0</v>
      </c>
      <c r="T71" s="31" cm="1">
        <f t="array" ref="T71">IFERROR(AVERAGE(IF(M71:R71&lt;&gt;MAX(M71:R71),IF(M71:R71&lt;&gt;MIN(M71:R71),M71:R71))),U71)</f>
        <v>0</v>
      </c>
      <c r="U71" s="30">
        <f t="shared" si="53"/>
        <v>0</v>
      </c>
      <c r="V71" s="1"/>
      <c r="W71" s="1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</row>
    <row r="72" spans="1:125" ht="15.6" x14ac:dyDescent="0.3">
      <c r="A72" s="94" t="s">
        <v>52</v>
      </c>
      <c r="B72" s="87"/>
      <c r="C72" s="59">
        <f t="shared" ref="C72:H72" si="54">C66+C67</f>
        <v>72496</v>
      </c>
      <c r="D72" s="59">
        <f t="shared" si="54"/>
        <v>74669</v>
      </c>
      <c r="E72" s="59">
        <f t="shared" si="54"/>
        <v>80925</v>
      </c>
      <c r="F72" s="59">
        <f t="shared" si="54"/>
        <v>83253</v>
      </c>
      <c r="G72" s="59">
        <f t="shared" si="54"/>
        <v>76693</v>
      </c>
      <c r="H72" s="93">
        <f t="shared" si="54"/>
        <v>83861</v>
      </c>
      <c r="I72" s="1"/>
      <c r="J72" s="1"/>
      <c r="K72" s="132" t="s">
        <v>52</v>
      </c>
      <c r="L72" s="25"/>
      <c r="M72" s="136">
        <f t="shared" si="46"/>
        <v>0.14166873481862471</v>
      </c>
      <c r="N72" s="31">
        <f t="shared" si="47"/>
        <v>0.14320152811712497</v>
      </c>
      <c r="O72" s="31">
        <f t="shared" si="48"/>
        <v>0.14530473144884573</v>
      </c>
      <c r="P72" s="31">
        <f t="shared" si="49"/>
        <v>0.14606763257901403</v>
      </c>
      <c r="Q72" s="31">
        <f t="shared" si="50"/>
        <v>0.1260400899945931</v>
      </c>
      <c r="R72" s="31">
        <f t="shared" si="51"/>
        <v>0.12986866169973224</v>
      </c>
      <c r="S72" s="31">
        <f t="shared" si="52"/>
        <v>0.1386918964429891</v>
      </c>
      <c r="T72" s="31" cm="1">
        <f t="array" ref="T72">IFERROR(AVERAGE(IF(M72:R72&lt;&gt;MAX(M72:R72),IF(M72:R72&lt;&gt;MIN(M72:R72),M72:R72))),U72)</f>
        <v>0.1400109140210819</v>
      </c>
      <c r="U72" s="30">
        <f t="shared" si="53"/>
        <v>0.12986866169973224</v>
      </c>
      <c r="V72" s="1"/>
      <c r="W72" s="1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</row>
    <row r="73" spans="1:125" ht="15.6" x14ac:dyDescent="0.3">
      <c r="A73" s="94" t="s">
        <v>51</v>
      </c>
      <c r="B73" s="87"/>
      <c r="C73" s="59">
        <f>'Raw Data'!C68</f>
        <v>7138</v>
      </c>
      <c r="D73" s="59">
        <f>'Raw Data'!D68</f>
        <v>6883</v>
      </c>
      <c r="E73" s="59">
        <f>'Raw Data'!E68</f>
        <v>6606</v>
      </c>
      <c r="F73" s="59">
        <f>'Raw Data'!F68</f>
        <v>8638</v>
      </c>
      <c r="G73" s="59">
        <f>'Raw Data'!G68</f>
        <v>7061</v>
      </c>
      <c r="H73" s="93">
        <f>'Raw Data'!H68</f>
        <v>6488</v>
      </c>
      <c r="I73" s="1"/>
      <c r="J73" s="1"/>
      <c r="K73" s="132" t="s">
        <v>51</v>
      </c>
      <c r="L73" s="25"/>
      <c r="M73" s="136">
        <f t="shared" si="46"/>
        <v>1.3948789300586835E-2</v>
      </c>
      <c r="N73" s="31">
        <f t="shared" si="47"/>
        <v>1.3200339070165278E-2</v>
      </c>
      <c r="O73" s="31">
        <f t="shared" si="48"/>
        <v>1.1861390867483163E-2</v>
      </c>
      <c r="P73" s="31">
        <f t="shared" si="49"/>
        <v>1.5155396324667258E-2</v>
      </c>
      <c r="Q73" s="31">
        <f t="shared" si="50"/>
        <v>1.1604306461500031E-2</v>
      </c>
      <c r="R73" s="31">
        <f t="shared" si="51"/>
        <v>1.0047434172116511E-2</v>
      </c>
      <c r="S73" s="31">
        <f t="shared" si="52"/>
        <v>1.2636276032753179E-2</v>
      </c>
      <c r="T73" s="31" cm="1">
        <f t="array" ref="T73">IFERROR(AVERAGE(IF(M73:R73&lt;&gt;MAX(M73:R73),IF(M73:R73&lt;&gt;MIN(M73:R73),M73:R73))),U73)</f>
        <v>1.2653706424933825E-2</v>
      </c>
      <c r="U73" s="30">
        <f t="shared" si="53"/>
        <v>1.0047434172116511E-2</v>
      </c>
      <c r="V73" s="1"/>
      <c r="W73" s="1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</row>
    <row r="74" spans="1:125" ht="16.2" thickBot="1" x14ac:dyDescent="0.35">
      <c r="A74" s="130" t="s">
        <v>222</v>
      </c>
      <c r="B74" s="129"/>
      <c r="C74" s="69">
        <f t="shared" ref="C74:H74" si="55">C72+C73</f>
        <v>79634</v>
      </c>
      <c r="D74" s="69">
        <f t="shared" si="55"/>
        <v>81552</v>
      </c>
      <c r="E74" s="69">
        <f t="shared" si="55"/>
        <v>87531</v>
      </c>
      <c r="F74" s="69">
        <f t="shared" si="55"/>
        <v>91891</v>
      </c>
      <c r="G74" s="69">
        <f t="shared" si="55"/>
        <v>83754</v>
      </c>
      <c r="H74" s="128">
        <f t="shared" si="55"/>
        <v>90349</v>
      </c>
      <c r="I74" s="1"/>
      <c r="J74" s="1"/>
      <c r="K74" s="127" t="s">
        <v>222</v>
      </c>
      <c r="L74" s="126"/>
      <c r="M74" s="131">
        <f t="shared" si="46"/>
        <v>0.15561752411921154</v>
      </c>
      <c r="N74" s="24">
        <f t="shared" si="47"/>
        <v>0.15640186718729024</v>
      </c>
      <c r="O74" s="24">
        <f t="shared" si="48"/>
        <v>0.1571661223163289</v>
      </c>
      <c r="P74" s="24">
        <f t="shared" si="49"/>
        <v>0.16122302890368129</v>
      </c>
      <c r="Q74" s="24">
        <f t="shared" si="50"/>
        <v>0.13764439645609311</v>
      </c>
      <c r="R74" s="24">
        <f t="shared" si="51"/>
        <v>0.13991609587184875</v>
      </c>
      <c r="S74" s="24">
        <f t="shared" si="52"/>
        <v>0.15132817247574232</v>
      </c>
      <c r="T74" s="24" cm="1">
        <f t="array" ref="T74">IFERROR(AVERAGE(IF(M74:R74&lt;&gt;MAX(M74:R74),IF(M74:R74&lt;&gt;MIN(M74:R74),M74:R74))),U74)</f>
        <v>0.15227540237366985</v>
      </c>
      <c r="U74" s="23">
        <f t="shared" si="53"/>
        <v>0.13991609587184875</v>
      </c>
      <c r="V74" s="1"/>
      <c r="W74" s="1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</row>
    <row r="75" spans="1:125" ht="16.8" thickTop="1" thickBot="1" x14ac:dyDescent="0.35">
      <c r="A75" s="94"/>
      <c r="B75" s="87"/>
      <c r="C75" s="209"/>
      <c r="D75" s="209"/>
      <c r="E75" s="209"/>
      <c r="F75" s="209"/>
      <c r="G75" s="209"/>
      <c r="H75" s="208"/>
      <c r="I75" s="1"/>
      <c r="J75" s="1"/>
      <c r="K75" s="132"/>
      <c r="L75" s="25"/>
      <c r="M75" s="207"/>
      <c r="N75" s="207"/>
      <c r="O75" s="207"/>
      <c r="P75" s="207"/>
      <c r="Q75" s="207"/>
      <c r="R75" s="206"/>
      <c r="S75" s="118"/>
      <c r="T75" s="117"/>
      <c r="U75" s="116"/>
      <c r="V75" s="1"/>
      <c r="W75" s="1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</row>
    <row r="76" spans="1:125" ht="16.2" thickBot="1" x14ac:dyDescent="0.35">
      <c r="A76" s="130" t="s">
        <v>326</v>
      </c>
      <c r="B76" s="129"/>
      <c r="C76" s="205">
        <f t="shared" ref="C76:H76" si="56">C61+C74</f>
        <v>219295</v>
      </c>
      <c r="D76" s="205">
        <f t="shared" si="56"/>
        <v>236495</v>
      </c>
      <c r="E76" s="205">
        <f t="shared" si="56"/>
        <v>252496</v>
      </c>
      <c r="F76" s="205">
        <f t="shared" si="56"/>
        <v>244860</v>
      </c>
      <c r="G76" s="205">
        <f t="shared" si="56"/>
        <v>243197</v>
      </c>
      <c r="H76" s="204">
        <f t="shared" si="56"/>
        <v>252399</v>
      </c>
      <c r="I76" s="1"/>
      <c r="J76" s="1"/>
      <c r="K76" s="127" t="s">
        <v>326</v>
      </c>
      <c r="L76" s="126"/>
      <c r="M76" s="203">
        <f t="shared" ref="M76:R76" si="57">C76/C$8</f>
        <v>0.42853737036595541</v>
      </c>
      <c r="N76" s="202">
        <f t="shared" si="57"/>
        <v>0.4535542915006156</v>
      </c>
      <c r="O76" s="202">
        <f t="shared" si="57"/>
        <v>0.45336871760157865</v>
      </c>
      <c r="P76" s="202">
        <f t="shared" si="57"/>
        <v>0.42960758787427933</v>
      </c>
      <c r="Q76" s="202">
        <f t="shared" si="57"/>
        <v>0.39967887247095635</v>
      </c>
      <c r="R76" s="202">
        <f t="shared" si="57"/>
        <v>0.39086965746116453</v>
      </c>
      <c r="S76" s="203">
        <f>AVERAGE(M76:R76)</f>
        <v>0.42593608287909163</v>
      </c>
      <c r="T76" s="202" cm="1">
        <f t="array" ref="T76">IFERROR(AVERAGE(IF(M76:R76&lt;&gt;MAX(M76:R76),IF(M76:R76&lt;&gt;MIN(M76:R76),M76:R76))),U76)</f>
        <v>0.42779813707819242</v>
      </c>
      <c r="U76" s="201">
        <f>R76</f>
        <v>0.39086965746116453</v>
      </c>
      <c r="V76" s="1"/>
      <c r="W76" s="1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</row>
    <row r="77" spans="1:125" ht="16.8" thickTop="1" thickBot="1" x14ac:dyDescent="0.35">
      <c r="A77" s="200" t="s">
        <v>325</v>
      </c>
      <c r="B77" s="199"/>
      <c r="C77" s="199" t="b">
        <f>IF(C45=C76,TRUE,FALSE)</f>
        <v>1</v>
      </c>
      <c r="D77" s="199" t="b">
        <f>IF(D45=D76,TRUE,FALSE)</f>
        <v>1</v>
      </c>
      <c r="E77" s="199" t="b">
        <f>IF(E45=E76,TRUE,FALSE)</f>
        <v>1</v>
      </c>
      <c r="F77" s="199" t="b">
        <f>IF(F45=F76,TRUE,FALSE)</f>
        <v>1</v>
      </c>
      <c r="G77" s="199" t="b">
        <f>IF(G45=G76,TRUE,FALSE)</f>
        <v>1</v>
      </c>
      <c r="I77" s="1"/>
      <c r="J77" s="1"/>
      <c r="K77" s="198"/>
      <c r="L77" s="197"/>
      <c r="M77" s="197"/>
      <c r="N77" s="197"/>
      <c r="O77" s="197"/>
      <c r="P77" s="197"/>
      <c r="Q77" s="197"/>
      <c r="R77" s="196"/>
      <c r="S77" s="107"/>
      <c r="T77" s="106"/>
      <c r="U77" s="105"/>
      <c r="V77" s="1"/>
      <c r="W77" s="1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</row>
    <row r="78" spans="1:125" ht="16.8" thickBot="1" x14ac:dyDescent="0.4">
      <c r="A78" s="1"/>
      <c r="B78" s="195"/>
      <c r="C78" s="194"/>
      <c r="D78" s="1"/>
      <c r="E78" s="1"/>
      <c r="F78" s="1"/>
      <c r="G78" s="1"/>
      <c r="H78" s="193" t="b">
        <f>IF(H45=H76,TRUE,FALSE)</f>
        <v>1</v>
      </c>
      <c r="I78" s="1"/>
      <c r="J78" s="1"/>
      <c r="K78" s="22" t="s">
        <v>324</v>
      </c>
      <c r="L78" s="1"/>
      <c r="M78" s="1"/>
      <c r="N78" s="1"/>
      <c r="O78" s="1"/>
      <c r="P78" s="1"/>
      <c r="Q78" s="1"/>
      <c r="R78" s="1"/>
      <c r="S78" s="52"/>
      <c r="T78" s="52"/>
      <c r="U78" s="52"/>
      <c r="V78" s="1"/>
      <c r="W78" s="1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</row>
    <row r="79" spans="1:125" ht="16.8" thickBot="1" x14ac:dyDescent="0.4">
      <c r="A79" s="191" t="s">
        <v>323</v>
      </c>
      <c r="B79" s="192"/>
      <c r="C79" s="33">
        <f t="shared" ref="C79:H79" si="58">SUM(C34:C36)-SUM(C51:C53)</f>
        <v>-15472</v>
      </c>
      <c r="D79" s="33">
        <f t="shared" si="58"/>
        <v>-17208</v>
      </c>
      <c r="E79" s="33">
        <f t="shared" si="58"/>
        <v>-15023</v>
      </c>
      <c r="F79" s="33">
        <f t="shared" si="58"/>
        <v>-15862</v>
      </c>
      <c r="G79" s="33">
        <f t="shared" si="58"/>
        <v>-18565</v>
      </c>
      <c r="H79" s="33">
        <f t="shared" si="58"/>
        <v>-18868</v>
      </c>
      <c r="I79" s="1"/>
      <c r="J79" s="1"/>
      <c r="K79" s="191" t="s">
        <v>323</v>
      </c>
      <c r="L79" s="190"/>
      <c r="M79" s="139">
        <f t="shared" ref="M79:R79" si="59">C79/C$8</f>
        <v>-3.0234753160364176E-2</v>
      </c>
      <c r="N79" s="138">
        <f t="shared" si="59"/>
        <v>-3.3001806584251649E-2</v>
      </c>
      <c r="O79" s="138">
        <f t="shared" si="59"/>
        <v>-2.6974519376657517E-2</v>
      </c>
      <c r="P79" s="138">
        <f t="shared" si="59"/>
        <v>-2.7829925503805517E-2</v>
      </c>
      <c r="Q79" s="138">
        <f t="shared" si="59"/>
        <v>-3.0510402132523446E-2</v>
      </c>
      <c r="R79" s="138">
        <f t="shared" si="59"/>
        <v>-2.9219326134324035E-2</v>
      </c>
      <c r="S79" s="138">
        <f>AVERAGE(M79:R79)</f>
        <v>-2.9628455481987725E-2</v>
      </c>
      <c r="T79" s="138" cm="1">
        <f t="array" ref="T79">IFERROR(AVERAGE(IF(M79:R79&lt;&gt;MAX(M79:R79),IF(M79:R79&lt;&gt;MIN(M79:R79),M79:R79))),U79)</f>
        <v>-2.9448601732754293E-2</v>
      </c>
      <c r="U79" s="137">
        <f>R79</f>
        <v>-2.9219326134324035E-2</v>
      </c>
      <c r="V79" s="1"/>
      <c r="W79" s="1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</row>
    <row r="80" spans="1:125" ht="16.8" thickBot="1" x14ac:dyDescent="0.4">
      <c r="A80" s="188" t="s">
        <v>322</v>
      </c>
      <c r="B80" s="187"/>
      <c r="C80" s="189" t="s">
        <v>321</v>
      </c>
      <c r="D80" s="33">
        <f>C79-D79</f>
        <v>1736</v>
      </c>
      <c r="E80" s="33">
        <f>D79-E79</f>
        <v>-2185</v>
      </c>
      <c r="F80" s="33">
        <f>E79-F79</f>
        <v>839</v>
      </c>
      <c r="G80" s="33">
        <f>F79-G79</f>
        <v>2703</v>
      </c>
      <c r="H80" s="33">
        <f>G79-H79</f>
        <v>303</v>
      </c>
      <c r="I80" s="1"/>
      <c r="J80" s="1"/>
      <c r="K80" s="188" t="s">
        <v>322</v>
      </c>
      <c r="L80" s="187"/>
      <c r="M80" s="186" t="s">
        <v>321</v>
      </c>
      <c r="N80" s="138">
        <f t="shared" ref="N80:U80" si="60">M79-N79</f>
        <v>2.7670534238874722E-3</v>
      </c>
      <c r="O80" s="138">
        <f t="shared" si="60"/>
        <v>-6.0272872075941321E-3</v>
      </c>
      <c r="P80" s="138">
        <f t="shared" si="60"/>
        <v>8.5540612714799999E-4</v>
      </c>
      <c r="Q80" s="138">
        <f t="shared" si="60"/>
        <v>2.6804766287179295E-3</v>
      </c>
      <c r="R80" s="138">
        <f t="shared" si="60"/>
        <v>-1.2910759981994112E-3</v>
      </c>
      <c r="S80" s="138">
        <f t="shared" si="60"/>
        <v>4.0912934766369063E-4</v>
      </c>
      <c r="T80" s="138">
        <f t="shared" si="60"/>
        <v>-1.7985374923343289E-4</v>
      </c>
      <c r="U80" s="137">
        <f t="shared" si="60"/>
        <v>-2.2927559843025774E-4</v>
      </c>
      <c r="V80" s="1"/>
      <c r="W80" s="1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</row>
    <row r="81" spans="1:125" ht="16.2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52"/>
      <c r="T81" s="52"/>
      <c r="U81" s="52"/>
      <c r="V81" s="1"/>
      <c r="W81" s="1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</row>
    <row r="82" spans="1:125" ht="16.2" x14ac:dyDescent="0.3">
      <c r="A82" s="104"/>
      <c r="B82" s="76" t="str">
        <f t="shared" ref="B82:H82" si="61">B29</f>
        <v>Fiscal Year</v>
      </c>
      <c r="C82" s="75">
        <f t="shared" si="61"/>
        <v>2018</v>
      </c>
      <c r="D82" s="75">
        <f t="shared" si="61"/>
        <v>2019</v>
      </c>
      <c r="E82" s="75">
        <f t="shared" si="61"/>
        <v>2020</v>
      </c>
      <c r="F82" s="75">
        <f t="shared" si="61"/>
        <v>2021</v>
      </c>
      <c r="G82" s="75">
        <f t="shared" si="61"/>
        <v>2022</v>
      </c>
      <c r="H82" s="75">
        <f t="shared" si="61"/>
        <v>2023</v>
      </c>
      <c r="I82" s="1"/>
      <c r="J82" s="1"/>
      <c r="K82" s="104"/>
      <c r="L82" s="76" t="str">
        <f t="shared" ref="L82:R82" si="62">L29</f>
        <v>Fiscal Year</v>
      </c>
      <c r="M82" s="75">
        <f t="shared" si="62"/>
        <v>2018</v>
      </c>
      <c r="N82" s="75">
        <f t="shared" si="62"/>
        <v>2019</v>
      </c>
      <c r="O82" s="75">
        <f t="shared" si="62"/>
        <v>2020</v>
      </c>
      <c r="P82" s="75">
        <f t="shared" si="62"/>
        <v>2021</v>
      </c>
      <c r="Q82" s="75">
        <f t="shared" si="62"/>
        <v>2022</v>
      </c>
      <c r="R82" s="75">
        <f t="shared" si="62"/>
        <v>2023</v>
      </c>
      <c r="S82" s="185" t="s">
        <v>292</v>
      </c>
      <c r="T82" s="184" t="s">
        <v>291</v>
      </c>
      <c r="U82" s="183" t="s">
        <v>290</v>
      </c>
      <c r="V82" s="1"/>
      <c r="W82" s="1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</row>
    <row r="83" spans="1:125" ht="16.2" x14ac:dyDescent="0.3">
      <c r="A83" s="102" t="s">
        <v>320</v>
      </c>
      <c r="B83" s="43" t="s">
        <v>305</v>
      </c>
      <c r="C83" s="42">
        <f t="shared" ref="C83:H83" si="63">C4</f>
        <v>43496</v>
      </c>
      <c r="D83" s="42">
        <f t="shared" si="63"/>
        <v>43861</v>
      </c>
      <c r="E83" s="42">
        <f t="shared" si="63"/>
        <v>44227</v>
      </c>
      <c r="F83" s="42">
        <f t="shared" si="63"/>
        <v>44592</v>
      </c>
      <c r="G83" s="42">
        <f t="shared" si="63"/>
        <v>44957</v>
      </c>
      <c r="H83" s="42">
        <f t="shared" si="63"/>
        <v>45322</v>
      </c>
      <c r="I83" s="1"/>
      <c r="J83" s="1"/>
      <c r="K83" s="102" t="s">
        <v>319</v>
      </c>
      <c r="L83" s="43"/>
      <c r="M83" s="42">
        <f t="shared" ref="M83:R83" si="64">C4</f>
        <v>43496</v>
      </c>
      <c r="N83" s="42">
        <f t="shared" si="64"/>
        <v>43861</v>
      </c>
      <c r="O83" s="42">
        <f t="shared" si="64"/>
        <v>44227</v>
      </c>
      <c r="P83" s="42">
        <f t="shared" si="64"/>
        <v>44592</v>
      </c>
      <c r="Q83" s="42">
        <f t="shared" si="64"/>
        <v>44957</v>
      </c>
      <c r="R83" s="42">
        <f t="shared" si="64"/>
        <v>45322</v>
      </c>
      <c r="S83" s="182" t="s">
        <v>288</v>
      </c>
      <c r="T83" s="181" t="s">
        <v>287</v>
      </c>
      <c r="U83" s="180" t="s">
        <v>286</v>
      </c>
      <c r="V83" s="1"/>
      <c r="W83" s="1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</row>
    <row r="84" spans="1:125" ht="15.6" x14ac:dyDescent="0.3">
      <c r="A84" s="179"/>
      <c r="B84" s="25"/>
      <c r="C84" s="25"/>
      <c r="D84" s="25"/>
      <c r="E84" s="25"/>
      <c r="F84" s="25"/>
      <c r="G84" s="25"/>
      <c r="H84" s="176"/>
      <c r="I84" s="1"/>
      <c r="J84" s="1"/>
      <c r="K84" s="179"/>
      <c r="L84" s="178"/>
      <c r="M84" s="177"/>
      <c r="N84" s="25"/>
      <c r="O84" s="25"/>
      <c r="P84" s="25"/>
      <c r="Q84" s="25"/>
      <c r="R84" s="176"/>
      <c r="S84" s="175"/>
      <c r="T84" s="174"/>
      <c r="U84" s="173"/>
      <c r="V84" s="1"/>
      <c r="W84" s="1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</row>
    <row r="85" spans="1:125" ht="16.2" thickBot="1" x14ac:dyDescent="0.35">
      <c r="A85" s="172" t="s">
        <v>195</v>
      </c>
      <c r="B85" s="171"/>
      <c r="C85" s="171"/>
      <c r="D85" s="171"/>
      <c r="E85" s="171"/>
      <c r="F85" s="171"/>
      <c r="G85" s="171"/>
      <c r="H85" s="170"/>
      <c r="I85" s="1"/>
      <c r="J85" s="1"/>
      <c r="K85" s="169" t="s">
        <v>195</v>
      </c>
      <c r="L85" s="168"/>
      <c r="M85" s="167"/>
      <c r="N85" s="167"/>
      <c r="O85" s="167"/>
      <c r="P85" s="167"/>
      <c r="Q85" s="167"/>
      <c r="R85" s="166"/>
      <c r="S85" s="165"/>
      <c r="T85" s="164"/>
      <c r="U85" s="163"/>
      <c r="V85" s="1"/>
      <c r="W85" s="1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</row>
    <row r="86" spans="1:125" ht="15.6" x14ac:dyDescent="0.3">
      <c r="A86" s="94" t="s">
        <v>318</v>
      </c>
      <c r="B86" s="87"/>
      <c r="C86" s="59">
        <f>'Raw Data'!C113</f>
        <v>7179</v>
      </c>
      <c r="D86" s="59">
        <f>'Raw Data'!D113</f>
        <v>15201</v>
      </c>
      <c r="E86" s="59">
        <f>'Raw Data'!E113</f>
        <v>13706</v>
      </c>
      <c r="F86" s="59">
        <f>'Raw Data'!F113</f>
        <v>13940</v>
      </c>
      <c r="G86" s="59">
        <f>'Raw Data'!G113</f>
        <v>11292</v>
      </c>
      <c r="H86" s="93">
        <f>'Raw Data'!H113</f>
        <v>16270</v>
      </c>
      <c r="I86" s="1"/>
      <c r="J86" s="1"/>
      <c r="K86" s="132" t="s">
        <v>318</v>
      </c>
      <c r="L86" s="25"/>
      <c r="M86" s="139">
        <f t="shared" ref="M86:M99" si="65">C86/C$8</f>
        <v>1.4028909833134335E-2</v>
      </c>
      <c r="N86" s="138">
        <f t="shared" ref="N86:N99" si="66">D86/D$8</f>
        <v>2.9152746506695103E-2</v>
      </c>
      <c r="O86" s="138">
        <f t="shared" ref="O86:O99" si="67">E86/E$8</f>
        <v>2.4609782505256469E-2</v>
      </c>
      <c r="P86" s="138">
        <f t="shared" ref="P86:P99" si="68">F86/F$8</f>
        <v>2.4457770868935122E-2</v>
      </c>
      <c r="Q86" s="138">
        <f t="shared" ref="Q86:Q99" si="69">G86/G$8</f>
        <v>1.8557687092941276E-2</v>
      </c>
      <c r="R86" s="138">
        <f t="shared" ref="R86:R99" si="70">H86/H$8</f>
        <v>2.5196016334823622E-2</v>
      </c>
      <c r="S86" s="138">
        <f t="shared" ref="S86:S99" si="71">AVERAGE(M86:R86)</f>
        <v>2.2667152190297659E-2</v>
      </c>
      <c r="T86" s="138" cm="1">
        <f t="array" ref="T86">IFERROR(AVERAGE(IF(M86:R86&lt;&gt;MAX(M86:R86),IF(M86:R86&lt;&gt;MIN(M86:R86),M86:R86))),U86)</f>
        <v>2.3205314200489123E-2</v>
      </c>
      <c r="U86" s="137">
        <f t="shared" ref="U86:U99" si="72">R86</f>
        <v>2.5196016334823622E-2</v>
      </c>
      <c r="V86" s="1"/>
      <c r="W86" s="1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</row>
    <row r="87" spans="1:125" ht="15.6" x14ac:dyDescent="0.3">
      <c r="A87" s="94" t="s">
        <v>193</v>
      </c>
      <c r="B87" s="87"/>
      <c r="C87" s="59">
        <f>'Raw Data'!C114</f>
        <v>10678</v>
      </c>
      <c r="D87" s="59">
        <f>'Raw Data'!D114</f>
        <v>10987</v>
      </c>
      <c r="E87" s="59">
        <f>'Raw Data'!E114</f>
        <v>11152</v>
      </c>
      <c r="F87" s="59">
        <f>'Raw Data'!F114</f>
        <v>10658</v>
      </c>
      <c r="G87" s="59">
        <f>'Raw Data'!G114</f>
        <v>10945</v>
      </c>
      <c r="H87" s="93">
        <f>'Raw Data'!H114</f>
        <v>11853</v>
      </c>
      <c r="I87" s="1"/>
      <c r="J87" s="1"/>
      <c r="K87" s="132" t="s">
        <v>193</v>
      </c>
      <c r="L87" s="25"/>
      <c r="M87" s="136">
        <f t="shared" si="65"/>
        <v>2.0866513330297872E-2</v>
      </c>
      <c r="N87" s="31">
        <f t="shared" si="66"/>
        <v>2.1071062816200189E-2</v>
      </c>
      <c r="O87" s="31">
        <f t="shared" si="67"/>
        <v>2.0023952611894071E-2</v>
      </c>
      <c r="P87" s="31">
        <f t="shared" si="68"/>
        <v>1.8699492246851544E-2</v>
      </c>
      <c r="Q87" s="31">
        <f t="shared" si="69"/>
        <v>1.7987414561835127E-2</v>
      </c>
      <c r="R87" s="31">
        <f t="shared" si="70"/>
        <v>1.8355770228436655E-2</v>
      </c>
      <c r="S87" s="31">
        <f t="shared" si="71"/>
        <v>1.950070096591924E-2</v>
      </c>
      <c r="T87" s="31" cm="1">
        <f t="array" ref="T87">IFERROR(AVERAGE(IF(M87:R87&lt;&gt;MAX(M87:R87),IF(M87:R87&lt;&gt;MIN(M87:R87),M87:R87))),U87)</f>
        <v>1.9486432104370035E-2</v>
      </c>
      <c r="U87" s="30">
        <f t="shared" si="72"/>
        <v>1.8355770228436655E-2</v>
      </c>
      <c r="V87" s="1"/>
      <c r="W87" s="1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</row>
    <row r="88" spans="1:125" ht="15.6" x14ac:dyDescent="0.3">
      <c r="A88" s="94" t="s">
        <v>192</v>
      </c>
      <c r="B88" s="87"/>
      <c r="C88" s="59">
        <f>'Raw Data'!C115</f>
        <v>0</v>
      </c>
      <c r="D88" s="59">
        <f>'Raw Data'!D115</f>
        <v>0</v>
      </c>
      <c r="E88" s="59">
        <f>'Raw Data'!E115</f>
        <v>0</v>
      </c>
      <c r="F88" s="59">
        <f>'Raw Data'!F115</f>
        <v>0</v>
      </c>
      <c r="G88" s="59">
        <f>'Raw Data'!G115</f>
        <v>0</v>
      </c>
      <c r="H88" s="93">
        <f>'Raw Data'!H115</f>
        <v>0</v>
      </c>
      <c r="I88" s="1"/>
      <c r="J88" s="1"/>
      <c r="K88" s="132" t="s">
        <v>192</v>
      </c>
      <c r="L88" s="25"/>
      <c r="M88" s="136">
        <f t="shared" si="65"/>
        <v>0</v>
      </c>
      <c r="N88" s="31">
        <f t="shared" si="66"/>
        <v>0</v>
      </c>
      <c r="O88" s="31">
        <f t="shared" si="67"/>
        <v>0</v>
      </c>
      <c r="P88" s="31">
        <f t="shared" si="68"/>
        <v>0</v>
      </c>
      <c r="Q88" s="31">
        <f t="shared" si="69"/>
        <v>0</v>
      </c>
      <c r="R88" s="31">
        <f t="shared" si="70"/>
        <v>0</v>
      </c>
      <c r="S88" s="31">
        <f t="shared" si="71"/>
        <v>0</v>
      </c>
      <c r="T88" s="31" cm="1">
        <f t="array" ref="T88">IFERROR(AVERAGE(IF(M88:R88&lt;&gt;MAX(M88:R88),IF(M88:R88&lt;&gt;MIN(M88:R88),M88:R88))),U88)</f>
        <v>0</v>
      </c>
      <c r="U88" s="30">
        <f t="shared" si="72"/>
        <v>0</v>
      </c>
      <c r="V88" s="1"/>
      <c r="W88" s="1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</row>
    <row r="89" spans="1:125" ht="15.6" x14ac:dyDescent="0.3">
      <c r="A89" s="94" t="s">
        <v>191</v>
      </c>
      <c r="B89" s="87"/>
      <c r="C89" s="59">
        <f>'Raw Data'!C116</f>
        <v>-499</v>
      </c>
      <c r="D89" s="59">
        <f>'Raw Data'!D116</f>
        <v>320</v>
      </c>
      <c r="E89" s="59">
        <f>'Raw Data'!E116</f>
        <v>1911</v>
      </c>
      <c r="F89" s="59">
        <f>'Raw Data'!F116</f>
        <v>-755</v>
      </c>
      <c r="G89" s="59">
        <f>'Raw Data'!G116</f>
        <v>449</v>
      </c>
      <c r="H89" s="93">
        <f>'Raw Data'!H116</f>
        <v>-175</v>
      </c>
      <c r="I89" s="1"/>
      <c r="J89" s="1"/>
      <c r="K89" s="132" t="s">
        <v>191</v>
      </c>
      <c r="L89" s="25"/>
      <c r="M89" s="136">
        <f t="shared" si="65"/>
        <v>-9.7512550588299671E-4</v>
      </c>
      <c r="N89" s="31">
        <f t="shared" si="66"/>
        <v>6.1370165661090933E-4</v>
      </c>
      <c r="O89" s="31">
        <f t="shared" si="67"/>
        <v>3.4312924534908151E-3</v>
      </c>
      <c r="P89" s="31">
        <f t="shared" si="68"/>
        <v>-1.3246497134896712E-3</v>
      </c>
      <c r="Q89" s="31">
        <f t="shared" si="69"/>
        <v>7.3790307339095221E-4</v>
      </c>
      <c r="R89" s="31">
        <f t="shared" si="70"/>
        <v>-2.7100816586319199E-4</v>
      </c>
      <c r="S89" s="31">
        <f t="shared" si="71"/>
        <v>3.6868563304280291E-4</v>
      </c>
      <c r="T89" s="31" cm="1">
        <f t="array" ref="T89">IFERROR(AVERAGE(IF(M89:R89&lt;&gt;MAX(M89:R89),IF(M89:R89&lt;&gt;MIN(M89:R89),M89:R89))),U89)</f>
        <v>2.6367764563918212E-5</v>
      </c>
      <c r="U89" s="30">
        <f t="shared" si="72"/>
        <v>-2.7100816586319199E-4</v>
      </c>
      <c r="V89" s="1"/>
      <c r="W89" s="1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</row>
    <row r="90" spans="1:125" ht="15.6" x14ac:dyDescent="0.3">
      <c r="A90" s="94" t="s">
        <v>190</v>
      </c>
      <c r="B90" s="87"/>
      <c r="C90" s="59">
        <f>'Raw Data'!C117</f>
        <v>0</v>
      </c>
      <c r="D90" s="59">
        <f>'Raw Data'!D117</f>
        <v>0</v>
      </c>
      <c r="E90" s="59">
        <f>'Raw Data'!E117</f>
        <v>0</v>
      </c>
      <c r="F90" s="59">
        <f>'Raw Data'!F117</f>
        <v>0</v>
      </c>
      <c r="G90" s="59">
        <f>'Raw Data'!G117</f>
        <v>0</v>
      </c>
      <c r="H90" s="93">
        <f>'Raw Data'!H117</f>
        <v>0</v>
      </c>
      <c r="I90" s="1"/>
      <c r="J90" s="1"/>
      <c r="K90" s="132" t="s">
        <v>190</v>
      </c>
      <c r="L90" s="25"/>
      <c r="M90" s="136">
        <f t="shared" si="65"/>
        <v>0</v>
      </c>
      <c r="N90" s="31">
        <f t="shared" si="66"/>
        <v>0</v>
      </c>
      <c r="O90" s="31">
        <f t="shared" si="67"/>
        <v>0</v>
      </c>
      <c r="P90" s="31">
        <f t="shared" si="68"/>
        <v>0</v>
      </c>
      <c r="Q90" s="31">
        <f t="shared" si="69"/>
        <v>0</v>
      </c>
      <c r="R90" s="31">
        <f t="shared" si="70"/>
        <v>0</v>
      </c>
      <c r="S90" s="31">
        <f t="shared" si="71"/>
        <v>0</v>
      </c>
      <c r="T90" s="31" cm="1">
        <f t="array" ref="T90">IFERROR(AVERAGE(IF(M90:R90&lt;&gt;MAX(M90:R90),IF(M90:R90&lt;&gt;MIN(M90:R90),M90:R90))),U90)</f>
        <v>0</v>
      </c>
      <c r="U90" s="30">
        <f t="shared" si="72"/>
        <v>0</v>
      </c>
      <c r="V90" s="1"/>
      <c r="W90" s="1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</row>
    <row r="91" spans="1:125" ht="15.6" x14ac:dyDescent="0.3">
      <c r="A91" s="94" t="s">
        <v>189</v>
      </c>
      <c r="B91" s="87"/>
      <c r="C91" s="59">
        <f>'Raw Data'!C118</f>
        <v>4850</v>
      </c>
      <c r="D91" s="59">
        <f>'Raw Data'!D118</f>
        <v>15</v>
      </c>
      <c r="E91" s="59">
        <f>'Raw Data'!E118</f>
        <v>8401</v>
      </c>
      <c r="F91" s="59">
        <f>'Raw Data'!F118</f>
        <v>433</v>
      </c>
      <c r="G91" s="59">
        <f>'Raw Data'!G118</f>
        <v>0</v>
      </c>
      <c r="H91" s="93">
        <f>'Raw Data'!H118</f>
        <v>0</v>
      </c>
      <c r="I91" s="1"/>
      <c r="J91" s="1"/>
      <c r="K91" s="132" t="s">
        <v>189</v>
      </c>
      <c r="L91" s="25"/>
      <c r="M91" s="136">
        <f t="shared" si="65"/>
        <v>9.4776727525702088E-3</v>
      </c>
      <c r="N91" s="31">
        <f t="shared" si="66"/>
        <v>2.8767265153636373E-5</v>
      </c>
      <c r="O91" s="31">
        <f t="shared" si="67"/>
        <v>1.5084399739286413E-2</v>
      </c>
      <c r="P91" s="31">
        <f t="shared" si="68"/>
        <v>7.5969976945831474E-4</v>
      </c>
      <c r="Q91" s="31">
        <f t="shared" si="69"/>
        <v>0</v>
      </c>
      <c r="R91" s="31">
        <f t="shared" si="70"/>
        <v>0</v>
      </c>
      <c r="S91" s="31">
        <f t="shared" si="71"/>
        <v>4.2250899210780953E-3</v>
      </c>
      <c r="T91" s="57" cm="1">
        <f t="array" ref="T91">IFERROR(AVERAGE(IF(M91:R91&lt;&gt;MAX(M91:R91),IF(M91:R91&lt;&gt;MIN(M91:R91),M91:R91))),U91)</f>
        <v>3.4220465957273869E-3</v>
      </c>
      <c r="U91" s="30">
        <f t="shared" si="72"/>
        <v>0</v>
      </c>
      <c r="V91" s="1"/>
      <c r="W91" s="1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</row>
    <row r="92" spans="1:125" ht="15.6" x14ac:dyDescent="0.3">
      <c r="A92" s="94" t="s">
        <v>188</v>
      </c>
      <c r="B92" s="87"/>
      <c r="C92" s="59">
        <f>'Raw Data'!C119</f>
        <v>5250</v>
      </c>
      <c r="D92" s="59">
        <f>'Raw Data'!D119</f>
        <v>-941</v>
      </c>
      <c r="E92" s="59">
        <f>'Raw Data'!E119</f>
        <v>-7068</v>
      </c>
      <c r="F92" s="59">
        <f>'Raw Data'!F119</f>
        <v>6502</v>
      </c>
      <c r="G92" s="59">
        <f>'Raw Data'!G119</f>
        <v>3602</v>
      </c>
      <c r="H92" s="93">
        <f>'Raw Data'!H119</f>
        <v>5835</v>
      </c>
      <c r="I92" s="1"/>
      <c r="J92" s="1"/>
      <c r="K92" s="132" t="s">
        <v>188</v>
      </c>
      <c r="L92" s="25"/>
      <c r="M92" s="136">
        <f t="shared" si="65"/>
        <v>1.0259336484740946E-2</v>
      </c>
      <c r="N92" s="31">
        <f t="shared" si="66"/>
        <v>-1.8046664339714553E-3</v>
      </c>
      <c r="O92" s="31">
        <f t="shared" si="67"/>
        <v>-1.2690934097997425E-2</v>
      </c>
      <c r="P92" s="31">
        <f t="shared" si="68"/>
        <v>1.1407778062397142E-2</v>
      </c>
      <c r="Q92" s="31">
        <f t="shared" si="69"/>
        <v>5.9196589540182849E-3</v>
      </c>
      <c r="R92" s="31">
        <f t="shared" si="70"/>
        <v>9.0361865589241447E-3</v>
      </c>
      <c r="S92" s="31">
        <f t="shared" si="71"/>
        <v>3.6878932546852727E-3</v>
      </c>
      <c r="T92" s="31" cm="1">
        <f t="array" ref="T92">IFERROR(AVERAGE(IF(M92:R92&lt;&gt;MAX(M92:R92),IF(M92:R92&lt;&gt;MIN(M92:R92),M92:R92))),U92)</f>
        <v>5.8526288909279802E-3</v>
      </c>
      <c r="U92" s="30">
        <f t="shared" si="72"/>
        <v>9.0361865589241447E-3</v>
      </c>
      <c r="V92" s="1"/>
      <c r="W92" s="1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</row>
    <row r="93" spans="1:125" ht="16.2" x14ac:dyDescent="0.35">
      <c r="A93" s="162" t="s">
        <v>317</v>
      </c>
      <c r="B93" s="161"/>
      <c r="C93" s="160">
        <f t="shared" ref="C93:H93" si="73">SUM(C94:C98)</f>
        <v>295</v>
      </c>
      <c r="D93" s="160">
        <f t="shared" si="73"/>
        <v>-327</v>
      </c>
      <c r="E93" s="160">
        <f t="shared" si="73"/>
        <v>7972</v>
      </c>
      <c r="F93" s="160">
        <f t="shared" si="73"/>
        <v>-6597</v>
      </c>
      <c r="G93" s="160">
        <f t="shared" si="73"/>
        <v>2553</v>
      </c>
      <c r="H93" s="159">
        <f t="shared" si="73"/>
        <v>1943</v>
      </c>
      <c r="I93" s="1"/>
      <c r="J93" s="1"/>
      <c r="K93" s="158" t="s">
        <v>316</v>
      </c>
      <c r="L93" s="157"/>
      <c r="M93" s="136">
        <f t="shared" si="65"/>
        <v>5.764770024759199E-4</v>
      </c>
      <c r="N93" s="31">
        <f t="shared" si="66"/>
        <v>-6.27126380349273E-4</v>
      </c>
      <c r="O93" s="31">
        <f t="shared" si="67"/>
        <v>1.4314109596666026E-2</v>
      </c>
      <c r="P93" s="31">
        <f t="shared" si="68"/>
        <v>-1.1574455840915709E-2</v>
      </c>
      <c r="Q93" s="31">
        <f t="shared" si="69"/>
        <v>4.1956938671873075E-3</v>
      </c>
      <c r="R93" s="31">
        <f t="shared" si="70"/>
        <v>3.0089649501267544E-3</v>
      </c>
      <c r="S93" s="31">
        <f t="shared" si="71"/>
        <v>1.6489438658651712E-3</v>
      </c>
      <c r="T93" s="31" cm="1">
        <f t="array" ref="T93">IFERROR(AVERAGE(IF(M93:R93&lt;&gt;MAX(M93:R93),IF(M93:R93&lt;&gt;MIN(M93:R93),M93:R93))),U93)</f>
        <v>1.7885023598601772E-3</v>
      </c>
      <c r="U93" s="30">
        <f t="shared" si="72"/>
        <v>3.0089649501267544E-3</v>
      </c>
      <c r="V93" s="22" t="s">
        <v>315</v>
      </c>
      <c r="W93" s="1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</row>
    <row r="94" spans="1:125" ht="15.6" x14ac:dyDescent="0.3">
      <c r="A94" s="155" t="s">
        <v>187</v>
      </c>
      <c r="B94" s="154"/>
      <c r="C94" s="153">
        <f>'Raw Data'!C120</f>
        <v>-368</v>
      </c>
      <c r="D94" s="153">
        <f>'Raw Data'!D120</f>
        <v>154</v>
      </c>
      <c r="E94" s="153">
        <f>'Raw Data'!E120</f>
        <v>-1086</v>
      </c>
      <c r="F94" s="153">
        <f>'Raw Data'!F120</f>
        <v>-1796</v>
      </c>
      <c r="G94" s="153">
        <f>'Raw Data'!G120</f>
        <v>240</v>
      </c>
      <c r="H94" s="156">
        <f>'Raw Data'!H120</f>
        <v>-797</v>
      </c>
      <c r="I94" s="1"/>
      <c r="J94" s="1"/>
      <c r="K94" s="155" t="s">
        <v>187</v>
      </c>
      <c r="L94" s="25"/>
      <c r="M94" s="136">
        <f t="shared" si="65"/>
        <v>-7.1913063359707976E-4</v>
      </c>
      <c r="N94" s="31">
        <f t="shared" si="66"/>
        <v>2.9534392224400013E-4</v>
      </c>
      <c r="O94" s="31">
        <f t="shared" si="67"/>
        <v>-1.9499652561439167E-3</v>
      </c>
      <c r="P94" s="31">
        <f t="shared" si="68"/>
        <v>-3.1510872654668207E-3</v>
      </c>
      <c r="Q94" s="31">
        <f t="shared" si="69"/>
        <v>3.9442480537601012E-4</v>
      </c>
      <c r="R94" s="31">
        <f t="shared" si="70"/>
        <v>-1.2342486182455087E-3</v>
      </c>
      <c r="S94" s="31">
        <f t="shared" si="71"/>
        <v>-1.0607771743055526E-3</v>
      </c>
      <c r="T94" s="31" cm="1">
        <f t="array" ref="T94">IFERROR(AVERAGE(IF(M94:R94&lt;&gt;MAX(M94:R94),IF(M94:R94&lt;&gt;MIN(M94:R94),M94:R94))),U94)</f>
        <v>-9.0200014643562624E-4</v>
      </c>
      <c r="U94" s="30">
        <f t="shared" si="72"/>
        <v>-1.2342486182455087E-3</v>
      </c>
      <c r="V94" s="1"/>
      <c r="W94" s="1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</row>
    <row r="95" spans="1:125" ht="15.6" x14ac:dyDescent="0.3">
      <c r="A95" s="155" t="s">
        <v>186</v>
      </c>
      <c r="B95" s="154"/>
      <c r="C95" s="153">
        <f>'Raw Data'!C121</f>
        <v>-1311</v>
      </c>
      <c r="D95" s="153">
        <f>'Raw Data'!D121</f>
        <v>-300</v>
      </c>
      <c r="E95" s="153">
        <f>'Raw Data'!E121</f>
        <v>-2395</v>
      </c>
      <c r="F95" s="153">
        <f>'Raw Data'!F121</f>
        <v>-11764</v>
      </c>
      <c r="G95" s="153">
        <f>'Raw Data'!G121</f>
        <v>-528</v>
      </c>
      <c r="H95" s="156">
        <f>'Raw Data'!H121</f>
        <v>2017</v>
      </c>
      <c r="I95" s="1"/>
      <c r="J95" s="1"/>
      <c r="K95" s="155" t="s">
        <v>186</v>
      </c>
      <c r="L95" s="25"/>
      <c r="M95" s="136">
        <f t="shared" si="65"/>
        <v>-2.5619028821895966E-3</v>
      </c>
      <c r="N95" s="31">
        <f t="shared" si="66"/>
        <v>-5.7534530307272751E-4</v>
      </c>
      <c r="O95" s="31">
        <f t="shared" si="67"/>
        <v>-4.300337742600995E-3</v>
      </c>
      <c r="P95" s="31">
        <f t="shared" si="68"/>
        <v>-2.0639972489394028E-2</v>
      </c>
      <c r="Q95" s="31">
        <f t="shared" si="69"/>
        <v>-8.6773457182722218E-4</v>
      </c>
      <c r="R95" s="31">
        <f t="shared" si="70"/>
        <v>3.1235626888346186E-3</v>
      </c>
      <c r="S95" s="31">
        <f t="shared" si="71"/>
        <v>-4.303621716708326E-3</v>
      </c>
      <c r="T95" s="31" cm="1">
        <f t="array" ref="T95">IFERROR(AVERAGE(IF(M95:R95&lt;&gt;MAX(M95:R95),IF(M95:R95&lt;&gt;MIN(M95:R95),M95:R95))),U95)</f>
        <v>-2.0763301249226355E-3</v>
      </c>
      <c r="U95" s="30">
        <f t="shared" si="72"/>
        <v>3.1235626888346186E-3</v>
      </c>
      <c r="V95" s="1"/>
      <c r="W95" s="1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</row>
    <row r="96" spans="1:125" ht="15.6" x14ac:dyDescent="0.3">
      <c r="A96" s="155" t="s">
        <v>185</v>
      </c>
      <c r="B96" s="154"/>
      <c r="C96" s="153">
        <f>'Raw Data'!C122</f>
        <v>2014</v>
      </c>
      <c r="D96" s="153">
        <f>'Raw Data'!D122</f>
        <v>-88</v>
      </c>
      <c r="E96" s="153">
        <f>'Raw Data'!E122</f>
        <v>11589</v>
      </c>
      <c r="F96" s="153">
        <f>'Raw Data'!F122</f>
        <v>6924</v>
      </c>
      <c r="G96" s="153">
        <f>'Raw Data'!G122</f>
        <v>2968</v>
      </c>
      <c r="H96" s="156">
        <f>'Raw Data'!H122</f>
        <v>1191</v>
      </c>
      <c r="I96" s="1"/>
      <c r="J96" s="1"/>
      <c r="K96" s="155" t="s">
        <v>185</v>
      </c>
      <c r="L96" s="25"/>
      <c r="M96" s="136">
        <f t="shared" si="65"/>
        <v>3.9356768914796695E-3</v>
      </c>
      <c r="N96" s="31">
        <f t="shared" si="66"/>
        <v>-1.6876795556800006E-4</v>
      </c>
      <c r="O96" s="31">
        <f t="shared" si="67"/>
        <v>2.0808607139458427E-2</v>
      </c>
      <c r="P96" s="31">
        <f t="shared" si="68"/>
        <v>1.2148178299605938E-2</v>
      </c>
      <c r="Q96" s="31">
        <f t="shared" si="69"/>
        <v>4.8777200931499915E-3</v>
      </c>
      <c r="R96" s="31">
        <f t="shared" si="70"/>
        <v>1.8444041459603523E-3</v>
      </c>
      <c r="S96" s="31">
        <f t="shared" si="71"/>
        <v>7.2409697690143963E-3</v>
      </c>
      <c r="T96" s="31" cm="1">
        <f t="array" ref="T96">IFERROR(AVERAGE(IF(M96:R96&lt;&gt;MAX(M96:R96),IF(M96:R96&lt;&gt;MIN(M96:R96),M96:R96))),U96)</f>
        <v>5.7014948575489872E-3</v>
      </c>
      <c r="U96" s="30">
        <f t="shared" si="72"/>
        <v>1.8444041459603523E-3</v>
      </c>
      <c r="V96" s="1"/>
      <c r="W96" s="1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</row>
    <row r="97" spans="1:125" ht="15.6" x14ac:dyDescent="0.3">
      <c r="A97" s="155" t="s">
        <v>184</v>
      </c>
      <c r="B97" s="154"/>
      <c r="C97" s="153">
        <f>'Raw Data'!C123</f>
        <v>-40</v>
      </c>
      <c r="D97" s="153">
        <f>'Raw Data'!D123</f>
        <v>-93</v>
      </c>
      <c r="E97" s="153">
        <f>'Raw Data'!E123</f>
        <v>-136</v>
      </c>
      <c r="F97" s="153">
        <f>'Raw Data'!F123</f>
        <v>39</v>
      </c>
      <c r="G97" s="153">
        <f>'Raw Data'!G123</f>
        <v>-127</v>
      </c>
      <c r="H97" s="156">
        <f>'Raw Data'!H123</f>
        <v>-468</v>
      </c>
      <c r="I97" s="1"/>
      <c r="J97" s="1"/>
      <c r="K97" s="155" t="s">
        <v>184</v>
      </c>
      <c r="L97" s="25"/>
      <c r="M97" s="136">
        <f t="shared" si="65"/>
        <v>-7.8166373217073887E-5</v>
      </c>
      <c r="N97" s="31">
        <f t="shared" si="66"/>
        <v>-1.7835704395254551E-4</v>
      </c>
      <c r="O97" s="31">
        <f t="shared" si="67"/>
        <v>-2.4419454404748863E-4</v>
      </c>
      <c r="P97" s="31">
        <f t="shared" si="68"/>
        <v>6.8425614339201563E-5</v>
      </c>
      <c r="Q97" s="31">
        <f t="shared" si="69"/>
        <v>-2.0871645951147202E-4</v>
      </c>
      <c r="R97" s="31">
        <f t="shared" si="70"/>
        <v>-7.2475326642270764E-4</v>
      </c>
      <c r="S97" s="31">
        <f t="shared" si="71"/>
        <v>-2.2762701213534771E-4</v>
      </c>
      <c r="T97" s="31" cm="1">
        <f t="array" ref="T97">IFERROR(AVERAGE(IF(M97:R97&lt;&gt;MAX(M97:R97),IF(M97:R97&lt;&gt;MIN(M97:R97),M97:R97))),U97)</f>
        <v>-1.77358605182145E-4</v>
      </c>
      <c r="U97" s="30">
        <f t="shared" si="72"/>
        <v>-7.2475326642270764E-4</v>
      </c>
      <c r="V97" s="1"/>
      <c r="W97" s="1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</row>
    <row r="98" spans="1:125" ht="16.2" thickBot="1" x14ac:dyDescent="0.35">
      <c r="A98" s="151" t="s">
        <v>183</v>
      </c>
      <c r="B98" s="154"/>
      <c r="C98" s="153">
        <f>'Raw Data'!C124</f>
        <v>0</v>
      </c>
      <c r="D98" s="153">
        <f>'Raw Data'!D124</f>
        <v>0</v>
      </c>
      <c r="E98" s="153">
        <f>'Raw Data'!E124</f>
        <v>0</v>
      </c>
      <c r="F98" s="153">
        <f>'Raw Data'!F124</f>
        <v>0</v>
      </c>
      <c r="G98" s="153">
        <f>'Raw Data'!G124</f>
        <v>0</v>
      </c>
      <c r="H98" s="152">
        <f>'Raw Data'!H124</f>
        <v>0</v>
      </c>
      <c r="I98" s="1"/>
      <c r="J98" s="1"/>
      <c r="K98" s="151" t="s">
        <v>183</v>
      </c>
      <c r="L98" s="25"/>
      <c r="M98" s="131">
        <f t="shared" si="65"/>
        <v>0</v>
      </c>
      <c r="N98" s="24">
        <f t="shared" si="66"/>
        <v>0</v>
      </c>
      <c r="O98" s="24">
        <f t="shared" si="67"/>
        <v>0</v>
      </c>
      <c r="P98" s="24">
        <f t="shared" si="68"/>
        <v>0</v>
      </c>
      <c r="Q98" s="24">
        <f t="shared" si="69"/>
        <v>0</v>
      </c>
      <c r="R98" s="24">
        <f t="shared" si="70"/>
        <v>0</v>
      </c>
      <c r="S98" s="24">
        <f t="shared" si="71"/>
        <v>0</v>
      </c>
      <c r="T98" s="24" cm="1">
        <f t="array" ref="T98">IFERROR(AVERAGE(IF(M98:R98&lt;&gt;MAX(M98:R98),IF(M98:R98&lt;&gt;MIN(M98:R98),M98:R98))),U98)</f>
        <v>0</v>
      </c>
      <c r="U98" s="23">
        <f t="shared" si="72"/>
        <v>0</v>
      </c>
      <c r="V98" s="1"/>
      <c r="W98" s="1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</row>
    <row r="99" spans="1:125" ht="16.2" thickBot="1" x14ac:dyDescent="0.35">
      <c r="A99" s="130" t="s">
        <v>23</v>
      </c>
      <c r="B99" s="129"/>
      <c r="C99" s="69">
        <f t="shared" ref="C99:H99" si="74">SUM(C86:C93)</f>
        <v>27753</v>
      </c>
      <c r="D99" s="69">
        <f t="shared" si="74"/>
        <v>25255</v>
      </c>
      <c r="E99" s="69">
        <f t="shared" si="74"/>
        <v>36074</v>
      </c>
      <c r="F99" s="69">
        <f t="shared" si="74"/>
        <v>24181</v>
      </c>
      <c r="G99" s="69">
        <f t="shared" si="74"/>
        <v>28841</v>
      </c>
      <c r="H99" s="128">
        <f t="shared" si="74"/>
        <v>35726</v>
      </c>
      <c r="I99" s="1"/>
      <c r="J99" s="1"/>
      <c r="K99" s="127" t="s">
        <v>23</v>
      </c>
      <c r="L99" s="126"/>
      <c r="M99" s="125">
        <f t="shared" si="65"/>
        <v>5.4233783897336282E-2</v>
      </c>
      <c r="N99" s="16">
        <f t="shared" si="66"/>
        <v>4.8434485430339111E-2</v>
      </c>
      <c r="O99" s="16">
        <f t="shared" si="67"/>
        <v>6.4772602808596369E-2</v>
      </c>
      <c r="P99" s="16">
        <f t="shared" si="68"/>
        <v>4.2425635393236745E-2</v>
      </c>
      <c r="Q99" s="16">
        <f t="shared" si="69"/>
        <v>4.7398357549372945E-2</v>
      </c>
      <c r="R99" s="16">
        <f t="shared" si="70"/>
        <v>5.5325929906447982E-2</v>
      </c>
      <c r="S99" s="16">
        <f t="shared" si="71"/>
        <v>5.2098465830888237E-2</v>
      </c>
      <c r="T99" s="16" cm="1">
        <f t="array" ref="T99">IFERROR(AVERAGE(IF(M99:R99&lt;&gt;MAX(M99:R99),IF(M99:R99&lt;&gt;MIN(M99:R99),M99:R99))),U99)</f>
        <v>5.1348139195874082E-2</v>
      </c>
      <c r="U99" s="15">
        <f t="shared" si="72"/>
        <v>5.5325929906447982E-2</v>
      </c>
      <c r="V99" s="1"/>
      <c r="W99" s="1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</row>
    <row r="100" spans="1:125" ht="16.8" thickTop="1" thickBot="1" x14ac:dyDescent="0.35">
      <c r="A100" s="150" t="s">
        <v>182</v>
      </c>
      <c r="B100" s="149"/>
      <c r="C100" s="148"/>
      <c r="D100" s="148"/>
      <c r="E100" s="148"/>
      <c r="F100" s="148"/>
      <c r="G100" s="148"/>
      <c r="H100" s="147"/>
      <c r="I100" s="1"/>
      <c r="J100" s="1"/>
      <c r="K100" s="146" t="s">
        <v>182</v>
      </c>
      <c r="L100" s="145"/>
      <c r="M100" s="144"/>
      <c r="N100" s="144"/>
      <c r="O100" s="144"/>
      <c r="P100" s="144"/>
      <c r="Q100" s="144"/>
      <c r="R100" s="143"/>
      <c r="S100" s="142"/>
      <c r="T100" s="141"/>
      <c r="U100" s="140"/>
      <c r="V100" s="1"/>
      <c r="W100" s="1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</row>
    <row r="101" spans="1:125" ht="15.6" x14ac:dyDescent="0.3">
      <c r="A101" s="94" t="s">
        <v>314</v>
      </c>
      <c r="B101" s="87"/>
      <c r="C101" s="59">
        <f>-'Raw Data'!C130</f>
        <v>-10344</v>
      </c>
      <c r="D101" s="59">
        <f>-'Raw Data'!D130</f>
        <v>-10705</v>
      </c>
      <c r="E101" s="59">
        <f>-'Raw Data'!E130</f>
        <v>-10264</v>
      </c>
      <c r="F101" s="59">
        <f>-'Raw Data'!F130</f>
        <v>-13106</v>
      </c>
      <c r="G101" s="59">
        <f>-'Raw Data'!G130</f>
        <v>-16857</v>
      </c>
      <c r="H101" s="93">
        <f>-'Raw Data'!H130</f>
        <v>-20606</v>
      </c>
      <c r="I101" s="1"/>
      <c r="J101" s="1"/>
      <c r="K101" s="132" t="s">
        <v>314</v>
      </c>
      <c r="L101" s="25"/>
      <c r="M101" s="139">
        <f t="shared" ref="M101:R103" si="75">C101/C$8</f>
        <v>-2.0213824113935304E-2</v>
      </c>
      <c r="N101" s="138">
        <f t="shared" si="75"/>
        <v>-2.0530238231311827E-2</v>
      </c>
      <c r="O101" s="138">
        <f t="shared" si="75"/>
        <v>-1.8429505883113408E-2</v>
      </c>
      <c r="P101" s="138">
        <f t="shared" si="75"/>
        <v>-2.2994515423835273E-2</v>
      </c>
      <c r="Q101" s="138">
        <f t="shared" si="75"/>
        <v>-2.770341226759751E-2</v>
      </c>
      <c r="R101" s="138">
        <f t="shared" si="75"/>
        <v>-3.1910824375868195E-2</v>
      </c>
      <c r="S101" s="138">
        <f>AVERAGE(M101:R101)</f>
        <v>-2.3630386715943585E-2</v>
      </c>
      <c r="T101" s="138" cm="1">
        <f t="array" ref="T101">IFERROR(AVERAGE(IF(M101:R101&lt;&gt;MAX(M101:R101),IF(M101:R101&lt;&gt;MIN(M101:R101),M101:R101))),U101)</f>
        <v>-2.2860497509169977E-2</v>
      </c>
      <c r="U101" s="137">
        <f>R101</f>
        <v>-3.1910824375868195E-2</v>
      </c>
      <c r="V101" s="1"/>
      <c r="W101" s="1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</row>
    <row r="102" spans="1:125" ht="16.2" thickBot="1" x14ac:dyDescent="0.35">
      <c r="A102" s="94" t="s">
        <v>313</v>
      </c>
      <c r="B102" s="87"/>
      <c r="C102" s="59">
        <f>'Raw Data'!C134-'Constructed Financials'!C101</f>
        <v>-13692</v>
      </c>
      <c r="D102" s="59">
        <f>'Raw Data'!D134-'Constructed Financials'!D101</f>
        <v>1577</v>
      </c>
      <c r="E102" s="59">
        <f>'Raw Data'!E134-'Constructed Financials'!E101</f>
        <v>193</v>
      </c>
      <c r="F102" s="59">
        <f>'Raw Data'!F134-'Constructed Financials'!F101</f>
        <v>7091</v>
      </c>
      <c r="G102" s="59">
        <f>'Raw Data'!G134-'Constructed Financials'!G101</f>
        <v>-865</v>
      </c>
      <c r="H102" s="93">
        <f>'Raw Data'!H134-'Constructed Financials'!H101</f>
        <v>-681</v>
      </c>
      <c r="I102" s="1"/>
      <c r="J102" s="1"/>
      <c r="K102" s="132" t="s">
        <v>313</v>
      </c>
      <c r="L102" s="25"/>
      <c r="M102" s="131">
        <f t="shared" si="75"/>
        <v>-2.6756349552204389E-2</v>
      </c>
      <c r="N102" s="24">
        <f t="shared" si="75"/>
        <v>3.0243984764856376E-3</v>
      </c>
      <c r="O102" s="24">
        <f t="shared" si="75"/>
        <v>3.4654078677327435E-4</v>
      </c>
      <c r="P102" s="24">
        <f t="shared" si="75"/>
        <v>1.2441180289212263E-2</v>
      </c>
      <c r="Q102" s="24">
        <f t="shared" si="75"/>
        <v>-1.421572736042703E-3</v>
      </c>
      <c r="R102" s="24">
        <f t="shared" si="75"/>
        <v>-1.0546089197304785E-3</v>
      </c>
      <c r="S102" s="24">
        <f>AVERAGE(M102:R102)</f>
        <v>-2.2367352759177328E-3</v>
      </c>
      <c r="T102" s="24" cm="1">
        <f t="array" ref="T102">IFERROR(AVERAGE(IF(M102:R102&lt;&gt;MAX(M102:R102),IF(M102:R102&lt;&gt;MIN(M102:R102),M102:R102))),U102)</f>
        <v>2.2368940187143262E-4</v>
      </c>
      <c r="U102" s="23">
        <f>R102</f>
        <v>-1.0546089197304785E-3</v>
      </c>
      <c r="V102" s="1"/>
      <c r="W102" s="1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</row>
    <row r="103" spans="1:125" ht="16.2" thickBot="1" x14ac:dyDescent="0.35">
      <c r="A103" s="130" t="s">
        <v>176</v>
      </c>
      <c r="B103" s="129"/>
      <c r="C103" s="69">
        <f t="shared" ref="C103:H103" si="76">SUM(C101:C102)</f>
        <v>-24036</v>
      </c>
      <c r="D103" s="69">
        <f t="shared" si="76"/>
        <v>-9128</v>
      </c>
      <c r="E103" s="69">
        <f t="shared" si="76"/>
        <v>-10071</v>
      </c>
      <c r="F103" s="69">
        <f t="shared" si="76"/>
        <v>-6015</v>
      </c>
      <c r="G103" s="69">
        <f t="shared" si="76"/>
        <v>-17722</v>
      </c>
      <c r="H103" s="128">
        <f t="shared" si="76"/>
        <v>-21287</v>
      </c>
      <c r="I103" s="1"/>
      <c r="J103" s="1"/>
      <c r="K103" s="127" t="s">
        <v>176</v>
      </c>
      <c r="L103" s="126"/>
      <c r="M103" s="125">
        <f t="shared" si="75"/>
        <v>-4.6970173666139696E-2</v>
      </c>
      <c r="N103" s="16">
        <f t="shared" si="75"/>
        <v>-1.750583975482619E-2</v>
      </c>
      <c r="O103" s="16">
        <f t="shared" si="75"/>
        <v>-1.8082965096340133E-2</v>
      </c>
      <c r="P103" s="16">
        <f t="shared" si="75"/>
        <v>-1.0553335134623009E-2</v>
      </c>
      <c r="Q103" s="16">
        <f t="shared" si="75"/>
        <v>-2.9124985003640212E-2</v>
      </c>
      <c r="R103" s="16">
        <f t="shared" si="75"/>
        <v>-3.2965433295598673E-2</v>
      </c>
      <c r="S103" s="16">
        <f>AVERAGE(M103:R103)</f>
        <v>-2.5867121991861319E-2</v>
      </c>
      <c r="T103" s="16" cm="1">
        <f t="array" ref="T103">IFERROR(AVERAGE(IF(M103:R103&lt;&gt;MAX(M103:R103),IF(M103:R103&lt;&gt;MIN(M103:R103),M103:R103))),U103)</f>
        <v>-2.4419805787601299E-2</v>
      </c>
      <c r="U103" s="15">
        <f>R103</f>
        <v>-3.2965433295598673E-2</v>
      </c>
      <c r="V103" s="1"/>
      <c r="W103" s="1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</row>
    <row r="104" spans="1:125" ht="16.8" thickTop="1" thickBot="1" x14ac:dyDescent="0.35">
      <c r="A104" s="150" t="s">
        <v>175</v>
      </c>
      <c r="B104" s="149"/>
      <c r="C104" s="148"/>
      <c r="D104" s="148"/>
      <c r="E104" s="148"/>
      <c r="F104" s="148"/>
      <c r="G104" s="148"/>
      <c r="H104" s="147"/>
      <c r="I104" s="1"/>
      <c r="J104" s="1"/>
      <c r="K104" s="146" t="s">
        <v>175</v>
      </c>
      <c r="L104" s="145"/>
      <c r="M104" s="144"/>
      <c r="N104" s="144"/>
      <c r="O104" s="144"/>
      <c r="P104" s="144"/>
      <c r="Q104" s="144"/>
      <c r="R104" s="143"/>
      <c r="S104" s="142"/>
      <c r="T104" s="141"/>
      <c r="U104" s="140"/>
      <c r="V104" s="1"/>
      <c r="W104" s="1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</row>
    <row r="105" spans="1:125" ht="15.6" x14ac:dyDescent="0.3">
      <c r="A105" s="94" t="s">
        <v>312</v>
      </c>
      <c r="B105" s="87"/>
      <c r="C105" s="59">
        <f>'Raw Data'!C136-'Raw Data'!C137</f>
        <v>-7410</v>
      </c>
      <c r="D105" s="59">
        <f>'Raw Data'!D136-'Raw Data'!D137</f>
        <v>-5717</v>
      </c>
      <c r="E105" s="59">
        <f>'Raw Data'!E136-'Raw Data'!E137</f>
        <v>-2625</v>
      </c>
      <c r="F105" s="59">
        <f>'Raw Data'!F136-'Raw Data'!F137</f>
        <v>-9787</v>
      </c>
      <c r="G105" s="59">
        <f>'Raw Data'!G136-'Raw Data'!G137</f>
        <v>-9920</v>
      </c>
      <c r="H105" s="93">
        <f>'Raw Data'!H136-'Raw Data'!H137</f>
        <v>-2779</v>
      </c>
      <c r="I105" s="1"/>
      <c r="J105" s="1"/>
      <c r="K105" s="132" t="s">
        <v>312</v>
      </c>
      <c r="L105" s="25"/>
      <c r="M105" s="139">
        <f t="shared" ref="M105:R112" si="77">C105/C$8</f>
        <v>-1.4480320638462937E-2</v>
      </c>
      <c r="N105" s="138">
        <f t="shared" si="77"/>
        <v>-1.0964163658889277E-2</v>
      </c>
      <c r="O105" s="138">
        <f t="shared" si="77"/>
        <v>-4.7133138097401302E-3</v>
      </c>
      <c r="P105" s="138">
        <f t="shared" si="77"/>
        <v>-1.7171320193276041E-2</v>
      </c>
      <c r="Q105" s="138">
        <f t="shared" si="77"/>
        <v>-1.630289195554175E-2</v>
      </c>
      <c r="R105" s="138">
        <f t="shared" si="77"/>
        <v>-4.3036096739074887E-3</v>
      </c>
      <c r="S105" s="138">
        <f t="shared" ref="S105:S112" si="78">AVERAGE(M105:R105)</f>
        <v>-1.1322603321636272E-2</v>
      </c>
      <c r="T105" s="138" cm="1">
        <f t="array" ref="T105">IFERROR(AVERAGE(IF(M105:R105&lt;&gt;MAX(M105:R105),IF(M105:R105&lt;&gt;MIN(M105:R105),M105:R105))),U105)</f>
        <v>-1.1615172515658523E-2</v>
      </c>
      <c r="U105" s="137">
        <f t="shared" ref="U105:U112" si="79">R105</f>
        <v>-4.3036096739074887E-3</v>
      </c>
      <c r="V105" s="1"/>
      <c r="W105" s="1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</row>
    <row r="106" spans="1:125" ht="15.6" x14ac:dyDescent="0.3">
      <c r="A106" s="94" t="s">
        <v>18</v>
      </c>
      <c r="B106" s="87"/>
      <c r="C106" s="59">
        <f>-'Raw Data'!C138</f>
        <v>-6102</v>
      </c>
      <c r="D106" s="59">
        <f>-'Raw Data'!D138</f>
        <v>-6048</v>
      </c>
      <c r="E106" s="59">
        <f>-'Raw Data'!E138</f>
        <v>-6116</v>
      </c>
      <c r="F106" s="59">
        <f>-'Raw Data'!F138</f>
        <v>-6152</v>
      </c>
      <c r="G106" s="59">
        <f>-'Raw Data'!G138</f>
        <v>-6114</v>
      </c>
      <c r="H106" s="93">
        <f>-'Raw Data'!H138</f>
        <v>-6140</v>
      </c>
      <c r="I106" s="1"/>
      <c r="J106" s="1"/>
      <c r="K106" s="132" t="s">
        <v>18</v>
      </c>
      <c r="L106" s="25"/>
      <c r="M106" s="136">
        <f t="shared" si="77"/>
        <v>-1.192428023426462E-2</v>
      </c>
      <c r="N106" s="31">
        <f t="shared" si="77"/>
        <v>-1.1598961309946186E-2</v>
      </c>
      <c r="O106" s="31">
        <f t="shared" si="77"/>
        <v>-1.0981572289665004E-2</v>
      </c>
      <c r="P106" s="31">
        <f t="shared" si="77"/>
        <v>-1.0793702036276102E-2</v>
      </c>
      <c r="Q106" s="31">
        <f t="shared" si="77"/>
        <v>-1.0047971916953858E-2</v>
      </c>
      <c r="R106" s="31">
        <f t="shared" si="77"/>
        <v>-9.5085150765714214E-3</v>
      </c>
      <c r="S106" s="31">
        <f t="shared" si="78"/>
        <v>-1.0809167143946198E-2</v>
      </c>
      <c r="T106" s="31" cm="1">
        <f t="array" ref="T106">IFERROR(AVERAGE(IF(M106:R106&lt;&gt;MAX(M106:R106),IF(M106:R106&lt;&gt;MIN(M106:R106),M106:R106))),U106)</f>
        <v>-1.0855551888210286E-2</v>
      </c>
      <c r="U106" s="30">
        <f t="shared" si="79"/>
        <v>-9.5085150765714214E-3</v>
      </c>
      <c r="V106" s="1"/>
      <c r="W106" s="1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</row>
    <row r="107" spans="1:125" ht="15.6" x14ac:dyDescent="0.3">
      <c r="A107" s="94" t="s">
        <v>311</v>
      </c>
      <c r="B107" s="87"/>
      <c r="C107" s="59">
        <f>'Raw Data'!C139-'Raw Data'!C140</f>
        <v>12088</v>
      </c>
      <c r="D107" s="59">
        <f>'Raw Data'!D139-'Raw Data'!D140</f>
        <v>3585</v>
      </c>
      <c r="E107" s="59">
        <f>'Raw Data'!E139-'Raw Data'!E140</f>
        <v>-5382</v>
      </c>
      <c r="F107" s="59">
        <f>'Raw Data'!F139-'Raw Data'!F140</f>
        <v>-6065</v>
      </c>
      <c r="G107" s="59">
        <f>'Raw Data'!G139-'Raw Data'!G140</f>
        <v>2352</v>
      </c>
      <c r="H107" s="93">
        <f>'Raw Data'!H139-'Raw Data'!H140</f>
        <v>750</v>
      </c>
      <c r="I107" s="1"/>
      <c r="J107" s="1"/>
      <c r="K107" s="132" t="s">
        <v>311</v>
      </c>
      <c r="L107" s="25"/>
      <c r="M107" s="136">
        <f t="shared" si="77"/>
        <v>2.3621877986199726E-2</v>
      </c>
      <c r="N107" s="31">
        <f t="shared" si="77"/>
        <v>6.8753763717190938E-3</v>
      </c>
      <c r="O107" s="31">
        <f t="shared" si="77"/>
        <v>-9.6636399710557635E-3</v>
      </c>
      <c r="P107" s="31">
        <f t="shared" si="77"/>
        <v>-1.064106028121173E-2</v>
      </c>
      <c r="Q107" s="31">
        <f t="shared" si="77"/>
        <v>3.865363092684899E-3</v>
      </c>
      <c r="R107" s="31">
        <f t="shared" si="77"/>
        <v>1.1614635679851085E-3</v>
      </c>
      <c r="S107" s="31">
        <f t="shared" si="78"/>
        <v>2.5365634610535555E-3</v>
      </c>
      <c r="T107" s="31" cm="1">
        <f t="array" ref="T107">IFERROR(AVERAGE(IF(M107:R107&lt;&gt;MAX(M107:R107),IF(M107:R107&lt;&gt;MIN(M107:R107),M107:R107))),U107)</f>
        <v>5.5964076533333439E-4</v>
      </c>
      <c r="U107" s="30">
        <f t="shared" si="79"/>
        <v>1.1614635679851085E-3</v>
      </c>
      <c r="V107" s="1"/>
      <c r="W107" s="1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</row>
    <row r="108" spans="1:125" ht="15.6" x14ac:dyDescent="0.3">
      <c r="A108" s="94" t="s">
        <v>310</v>
      </c>
      <c r="B108" s="87"/>
      <c r="C108" s="59">
        <f>'Raw Data'!C141</f>
        <v>-53</v>
      </c>
      <c r="D108" s="59">
        <f>'Raw Data'!D141</f>
        <v>-4656</v>
      </c>
      <c r="E108" s="59">
        <f>'Raw Data'!E141</f>
        <v>-324</v>
      </c>
      <c r="F108" s="59">
        <f>'Raw Data'!F141</f>
        <v>193</v>
      </c>
      <c r="G108" s="59">
        <f>'Raw Data'!G141</f>
        <v>-34</v>
      </c>
      <c r="H108" s="93">
        <f>'Raw Data'!H141</f>
        <v>512</v>
      </c>
      <c r="I108" s="1"/>
      <c r="J108" s="1"/>
      <c r="K108" s="132" t="s">
        <v>310</v>
      </c>
      <c r="L108" s="25"/>
      <c r="M108" s="136">
        <f t="shared" si="77"/>
        <v>-1.0357044451262289E-4</v>
      </c>
      <c r="N108" s="31">
        <f t="shared" si="77"/>
        <v>-8.9293591036887308E-3</v>
      </c>
      <c r="O108" s="31">
        <f t="shared" si="77"/>
        <v>-5.817575902307818E-4</v>
      </c>
      <c r="P108" s="31">
        <f t="shared" si="77"/>
        <v>3.3861906583245902E-4</v>
      </c>
      <c r="Q108" s="31">
        <f t="shared" si="77"/>
        <v>-5.58768474282681E-5</v>
      </c>
      <c r="R108" s="31">
        <f t="shared" si="77"/>
        <v>7.9289246241116742E-4</v>
      </c>
      <c r="S108" s="31">
        <f t="shared" si="78"/>
        <v>-1.423175409602796E-3</v>
      </c>
      <c r="T108" s="31" cm="1">
        <f t="array" ref="T108">IFERROR(AVERAGE(IF(M108:R108&lt;&gt;MAX(M108:R108),IF(M108:R108&lt;&gt;MIN(M108:R108),M108:R108))),U108)</f>
        <v>-1.0064645408480343E-4</v>
      </c>
      <c r="U108" s="30">
        <f t="shared" si="79"/>
        <v>7.9289246241116742E-4</v>
      </c>
      <c r="V108" s="1"/>
      <c r="W108" s="1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</row>
    <row r="109" spans="1:125" ht="16.2" thickBot="1" x14ac:dyDescent="0.35">
      <c r="A109" s="94" t="s">
        <v>169</v>
      </c>
      <c r="B109" s="87"/>
      <c r="C109" s="59">
        <f>'Raw Data'!C142</f>
        <v>-1060</v>
      </c>
      <c r="D109" s="59">
        <f>'Raw Data'!D142</f>
        <v>-1463</v>
      </c>
      <c r="E109" s="59">
        <f>'Raw Data'!E142</f>
        <v>-1670</v>
      </c>
      <c r="F109" s="59">
        <f>'Raw Data'!F142</f>
        <v>-1017</v>
      </c>
      <c r="G109" s="59">
        <f>'Raw Data'!G142</f>
        <v>-3323</v>
      </c>
      <c r="H109" s="93">
        <f>'Raw Data'!H142</f>
        <v>-5757</v>
      </c>
      <c r="I109" s="1"/>
      <c r="J109" s="1"/>
      <c r="K109" s="132" t="s">
        <v>169</v>
      </c>
      <c r="L109" s="25"/>
      <c r="M109" s="131">
        <f t="shared" si="77"/>
        <v>-2.071408890252458E-3</v>
      </c>
      <c r="N109" s="24">
        <f t="shared" si="77"/>
        <v>-2.8057672613180009E-3</v>
      </c>
      <c r="O109" s="24">
        <f t="shared" si="77"/>
        <v>-2.9985653570537211E-3</v>
      </c>
      <c r="P109" s="24">
        <f t="shared" si="77"/>
        <v>-1.7843294816145638E-3</v>
      </c>
      <c r="Q109" s="24">
        <f t="shared" si="77"/>
        <v>-5.461140117768673E-3</v>
      </c>
      <c r="R109" s="24">
        <f t="shared" si="77"/>
        <v>-8.9153943478536921E-3</v>
      </c>
      <c r="S109" s="24">
        <f t="shared" si="78"/>
        <v>-4.0061009093101847E-3</v>
      </c>
      <c r="T109" s="24" cm="1">
        <f t="array" ref="T109">IFERROR(AVERAGE(IF(M109:R109&lt;&gt;MAX(M109:R109),IF(M109:R109&lt;&gt;MIN(M109:R109),M109:R109))),U109)</f>
        <v>-3.3342204065982132E-3</v>
      </c>
      <c r="U109" s="23">
        <f t="shared" si="79"/>
        <v>-8.9153943478536921E-3</v>
      </c>
      <c r="V109" s="1"/>
      <c r="W109" s="1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</row>
    <row r="110" spans="1:125" ht="16.2" thickBot="1" x14ac:dyDescent="0.35">
      <c r="A110" s="130" t="s">
        <v>168</v>
      </c>
      <c r="B110" s="129"/>
      <c r="C110" s="69">
        <f t="shared" ref="C110:H110" si="80">SUM(C105:C109)</f>
        <v>-2537</v>
      </c>
      <c r="D110" s="69">
        <f t="shared" si="80"/>
        <v>-14299</v>
      </c>
      <c r="E110" s="69">
        <f t="shared" si="80"/>
        <v>-16117</v>
      </c>
      <c r="F110" s="69">
        <f t="shared" si="80"/>
        <v>-22828</v>
      </c>
      <c r="G110" s="69">
        <f t="shared" si="80"/>
        <v>-17039</v>
      </c>
      <c r="H110" s="128">
        <f t="shared" si="80"/>
        <v>-13414</v>
      </c>
      <c r="I110" s="1"/>
      <c r="J110" s="1"/>
      <c r="K110" s="127" t="s">
        <v>168</v>
      </c>
      <c r="L110" s="126"/>
      <c r="M110" s="135">
        <f t="shared" si="77"/>
        <v>-4.9577022212929107E-3</v>
      </c>
      <c r="N110" s="134">
        <f t="shared" si="77"/>
        <v>-2.74228749621231E-2</v>
      </c>
      <c r="O110" s="134">
        <f t="shared" si="77"/>
        <v>-2.8938849017745401E-2</v>
      </c>
      <c r="P110" s="134">
        <f t="shared" si="77"/>
        <v>-4.0051792926545982E-2</v>
      </c>
      <c r="Q110" s="134">
        <f t="shared" si="77"/>
        <v>-2.800251774500765E-2</v>
      </c>
      <c r="R110" s="134">
        <f t="shared" si="77"/>
        <v>-2.0773163067936327E-2</v>
      </c>
      <c r="S110" s="134">
        <f t="shared" si="78"/>
        <v>-2.5024483323441898E-2</v>
      </c>
      <c r="T110" s="134" cm="1">
        <f t="array" ref="T110">IFERROR(AVERAGE(IF(M110:R110&lt;&gt;MAX(M110:R110),IF(M110:R110&lt;&gt;MIN(M110:R110),M110:R110))),U110)</f>
        <v>-2.6284351198203118E-2</v>
      </c>
      <c r="U110" s="133">
        <f t="shared" si="79"/>
        <v>-2.0773163067936327E-2</v>
      </c>
      <c r="V110" s="1"/>
      <c r="W110" s="1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</row>
    <row r="111" spans="1:125" ht="16.8" thickTop="1" thickBot="1" x14ac:dyDescent="0.35">
      <c r="A111" s="94" t="s">
        <v>167</v>
      </c>
      <c r="B111" s="87"/>
      <c r="C111" s="59">
        <f>'Raw Data'!C144</f>
        <v>-438</v>
      </c>
      <c r="D111" s="59">
        <f>'Raw Data'!D144</f>
        <v>-69</v>
      </c>
      <c r="E111" s="59">
        <f>'Raw Data'!E144</f>
        <v>235</v>
      </c>
      <c r="F111" s="59">
        <f>'Raw Data'!F144</f>
        <v>-140</v>
      </c>
      <c r="G111" s="59">
        <f>'Raw Data'!G144</f>
        <v>-73</v>
      </c>
      <c r="H111" s="93">
        <f>'Raw Data'!H144</f>
        <v>69</v>
      </c>
      <c r="I111" s="1"/>
      <c r="J111" s="1"/>
      <c r="K111" s="132" t="s">
        <v>167</v>
      </c>
      <c r="L111" s="25"/>
      <c r="M111" s="131">
        <f t="shared" si="77"/>
        <v>-8.5592178672695902E-4</v>
      </c>
      <c r="N111" s="24">
        <f t="shared" si="77"/>
        <v>-1.3232941970672731E-4</v>
      </c>
      <c r="O111" s="24">
        <f t="shared" si="77"/>
        <v>4.2195380772911642E-4</v>
      </c>
      <c r="P111" s="24">
        <f t="shared" si="77"/>
        <v>-2.4563041044841586E-4</v>
      </c>
      <c r="Q111" s="24">
        <f t="shared" si="77"/>
        <v>-1.1997087830186974E-4</v>
      </c>
      <c r="R111" s="24">
        <f t="shared" si="77"/>
        <v>1.0685464825462998E-4</v>
      </c>
      <c r="S111" s="24">
        <f t="shared" si="78"/>
        <v>-1.3750733986670429E-4</v>
      </c>
      <c r="T111" s="24" cm="1">
        <f t="array" ref="T111">IFERROR(AVERAGE(IF(M111:R111&lt;&gt;MAX(M111:R111),IF(M111:R111&lt;&gt;MIN(M111:R111),M111:R111))),U111)</f>
        <v>-9.7769015050595744E-5</v>
      </c>
      <c r="U111" s="23">
        <f t="shared" si="79"/>
        <v>1.0685464825462998E-4</v>
      </c>
      <c r="V111" s="1"/>
      <c r="W111" s="1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</row>
    <row r="112" spans="1:125" ht="16.2" thickBot="1" x14ac:dyDescent="0.35">
      <c r="A112" s="130" t="s">
        <v>166</v>
      </c>
      <c r="B112" s="129"/>
      <c r="C112" s="69">
        <f t="shared" ref="C112:H112" si="81">C99+C103+C110+C111</f>
        <v>742</v>
      </c>
      <c r="D112" s="69">
        <f t="shared" si="81"/>
        <v>1759</v>
      </c>
      <c r="E112" s="69">
        <f t="shared" si="81"/>
        <v>10121</v>
      </c>
      <c r="F112" s="69">
        <f t="shared" si="81"/>
        <v>-4802</v>
      </c>
      <c r="G112" s="69">
        <f t="shared" si="81"/>
        <v>-5993</v>
      </c>
      <c r="H112" s="128">
        <f t="shared" si="81"/>
        <v>1094</v>
      </c>
      <c r="I112" s="1"/>
      <c r="J112" s="1"/>
      <c r="K112" s="127" t="s">
        <v>166</v>
      </c>
      <c r="L112" s="126"/>
      <c r="M112" s="125">
        <f t="shared" si="77"/>
        <v>1.4499862231767205E-3</v>
      </c>
      <c r="N112" s="16">
        <f t="shared" si="77"/>
        <v>3.3734412936830922E-3</v>
      </c>
      <c r="O112" s="16">
        <f t="shared" si="77"/>
        <v>1.8172742502239946E-2</v>
      </c>
      <c r="P112" s="16">
        <f t="shared" si="77"/>
        <v>-8.4251230783806644E-3</v>
      </c>
      <c r="Q112" s="16">
        <f t="shared" si="77"/>
        <v>-9.849116077576785E-3</v>
      </c>
      <c r="R112" s="16">
        <f t="shared" si="77"/>
        <v>1.6941881911676116E-3</v>
      </c>
      <c r="S112" s="16">
        <f t="shared" si="78"/>
        <v>1.0693531757183202E-3</v>
      </c>
      <c r="T112" s="16" cm="1">
        <f t="array" ref="T112">IFERROR(AVERAGE(IF(M112:R112&lt;&gt;MAX(M112:R112),IF(M112:R112&lt;&gt;MIN(M112:R112),M112:R112))),U112)</f>
        <v>-4.7687684258831004E-4</v>
      </c>
      <c r="U112" s="15">
        <f t="shared" si="79"/>
        <v>1.6941881911676116E-3</v>
      </c>
      <c r="V112" s="1"/>
      <c r="W112" s="1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</row>
    <row r="113" spans="1:125" ht="16.2" thickTop="1" x14ac:dyDescent="0.3">
      <c r="A113" s="124" t="s">
        <v>309</v>
      </c>
      <c r="B113" s="87"/>
      <c r="C113" s="59">
        <f>'Raw Data'!C145</f>
        <v>742</v>
      </c>
      <c r="D113" s="59">
        <f>'Raw Data'!D145</f>
        <v>1759</v>
      </c>
      <c r="E113" s="59">
        <f>'Raw Data'!E145</f>
        <v>10121</v>
      </c>
      <c r="F113" s="59">
        <f>'Raw Data'!F145</f>
        <v>-4802</v>
      </c>
      <c r="G113" s="59">
        <f>'Raw Data'!G145</f>
        <v>-5993</v>
      </c>
      <c r="H113" s="93">
        <f>'Raw Data'!H145</f>
        <v>1094</v>
      </c>
      <c r="I113" s="1"/>
      <c r="J113" s="1"/>
      <c r="K113" s="123"/>
      <c r="L113" s="121"/>
      <c r="M113" s="120"/>
      <c r="N113" s="120"/>
      <c r="O113" s="120"/>
      <c r="P113" s="120"/>
      <c r="Q113" s="120"/>
      <c r="R113" s="119"/>
      <c r="S113" s="118"/>
      <c r="T113" s="117"/>
      <c r="U113" s="116"/>
      <c r="V113" s="1"/>
      <c r="W113" s="1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</row>
    <row r="114" spans="1:125" ht="15.6" x14ac:dyDescent="0.3">
      <c r="A114" s="98" t="s">
        <v>308</v>
      </c>
      <c r="B114" s="87"/>
      <c r="C114" s="59"/>
      <c r="D114" s="59">
        <f>D115-D112</f>
        <v>-16</v>
      </c>
      <c r="E114" s="59">
        <f>E115-E112</f>
        <v>-1845</v>
      </c>
      <c r="F114" s="59">
        <f>F115-F112</f>
        <v>1821</v>
      </c>
      <c r="G114" s="59">
        <f>G115-G112</f>
        <v>-142</v>
      </c>
      <c r="H114" s="93">
        <f>H115-H112</f>
        <v>148</v>
      </c>
      <c r="I114" s="1"/>
      <c r="J114" s="1"/>
      <c r="K114" s="122"/>
      <c r="L114" s="121"/>
      <c r="M114" s="120"/>
      <c r="N114" s="120"/>
      <c r="O114" s="120"/>
      <c r="P114" s="120"/>
      <c r="Q114" s="120"/>
      <c r="R114" s="119"/>
      <c r="S114" s="118"/>
      <c r="T114" s="117"/>
      <c r="U114" s="116"/>
      <c r="V114" s="1"/>
      <c r="W114" s="1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</row>
    <row r="115" spans="1:125" ht="16.2" thickBot="1" x14ac:dyDescent="0.35">
      <c r="A115" s="115" t="s">
        <v>307</v>
      </c>
      <c r="B115" s="114"/>
      <c r="C115" s="113"/>
      <c r="D115" s="113">
        <f>D33-C33</f>
        <v>1743</v>
      </c>
      <c r="E115" s="113">
        <f>E33-D33</f>
        <v>8276</v>
      </c>
      <c r="F115" s="113">
        <f>F33-E33</f>
        <v>-2981</v>
      </c>
      <c r="G115" s="113">
        <f>G33-F33</f>
        <v>-6135</v>
      </c>
      <c r="H115" s="112">
        <f>H33-G33</f>
        <v>1242</v>
      </c>
      <c r="I115" s="1"/>
      <c r="J115" s="1"/>
      <c r="K115" s="111"/>
      <c r="L115" s="110"/>
      <c r="M115" s="109"/>
      <c r="N115" s="109"/>
      <c r="O115" s="109"/>
      <c r="P115" s="109"/>
      <c r="Q115" s="109"/>
      <c r="R115" s="108"/>
      <c r="S115" s="107"/>
      <c r="T115" s="106"/>
      <c r="U115" s="105"/>
      <c r="V115" s="1"/>
      <c r="W115" s="1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</row>
    <row r="116" spans="1:125" ht="16.2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52"/>
      <c r="T116" s="52"/>
      <c r="U116" s="52"/>
      <c r="V116" s="1"/>
      <c r="W116" s="1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</row>
    <row r="117" spans="1:125" ht="15.6" x14ac:dyDescent="0.3">
      <c r="A117" s="104"/>
      <c r="B117" s="76" t="str">
        <f t="shared" ref="B117:H117" si="82">B82</f>
        <v>Fiscal Year</v>
      </c>
      <c r="C117" s="75">
        <f t="shared" si="82"/>
        <v>2018</v>
      </c>
      <c r="D117" s="75">
        <f t="shared" si="82"/>
        <v>2019</v>
      </c>
      <c r="E117" s="75">
        <f t="shared" si="82"/>
        <v>2020</v>
      </c>
      <c r="F117" s="75">
        <f t="shared" si="82"/>
        <v>2021</v>
      </c>
      <c r="G117" s="75">
        <f t="shared" si="82"/>
        <v>2022</v>
      </c>
      <c r="H117" s="75">
        <f t="shared" si="82"/>
        <v>2023</v>
      </c>
      <c r="I117" s="1"/>
      <c r="J117" s="1"/>
      <c r="K117" s="100"/>
      <c r="L117" s="100"/>
      <c r="M117" s="103"/>
      <c r="N117" s="103"/>
      <c r="O117" s="103"/>
      <c r="P117" s="103"/>
      <c r="Q117" s="103"/>
      <c r="R117" s="103"/>
      <c r="S117" s="52"/>
      <c r="T117" s="52"/>
      <c r="U117" s="52"/>
      <c r="V117" s="1"/>
      <c r="W117" s="1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</row>
    <row r="118" spans="1:125" ht="15.6" x14ac:dyDescent="0.3">
      <c r="A118" s="102" t="s">
        <v>306</v>
      </c>
      <c r="B118" s="43" t="s">
        <v>305</v>
      </c>
      <c r="C118" s="101">
        <f t="shared" ref="C118:H118" si="83">C4</f>
        <v>43496</v>
      </c>
      <c r="D118" s="101">
        <f t="shared" si="83"/>
        <v>43861</v>
      </c>
      <c r="E118" s="101">
        <f t="shared" si="83"/>
        <v>44227</v>
      </c>
      <c r="F118" s="101">
        <f t="shared" si="83"/>
        <v>44592</v>
      </c>
      <c r="G118" s="101">
        <f t="shared" si="83"/>
        <v>44957</v>
      </c>
      <c r="H118" s="101">
        <f t="shared" si="83"/>
        <v>45322</v>
      </c>
      <c r="I118" s="1"/>
      <c r="J118" s="1"/>
      <c r="K118" s="100"/>
      <c r="L118" s="100"/>
      <c r="M118" s="99"/>
      <c r="N118" s="99"/>
      <c r="O118" s="99"/>
      <c r="P118" s="99"/>
      <c r="Q118" s="99"/>
      <c r="R118" s="99"/>
      <c r="S118" s="52"/>
      <c r="T118" s="52"/>
      <c r="U118" s="52"/>
      <c r="V118" s="1"/>
      <c r="W118" s="1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</row>
    <row r="119" spans="1:125" ht="15.6" x14ac:dyDescent="0.3">
      <c r="A119" s="98" t="s">
        <v>304</v>
      </c>
      <c r="B119" s="87"/>
      <c r="C119" s="59">
        <f>'Raw Data'!C334</f>
        <v>95.83</v>
      </c>
      <c r="D119" s="59">
        <f>'Raw Data'!D334</f>
        <v>114.49</v>
      </c>
      <c r="E119" s="59">
        <f>'Raw Data'!E334</f>
        <v>140.49</v>
      </c>
      <c r="F119" s="59">
        <f>'Raw Data'!F334</f>
        <v>139.81</v>
      </c>
      <c r="G119" s="59">
        <f>'Raw Data'!G334</f>
        <v>143.87</v>
      </c>
      <c r="H119" s="93">
        <f>'Raw Data'!H334</f>
        <v>165.25</v>
      </c>
      <c r="I119" s="1"/>
      <c r="J119" s="1"/>
      <c r="K119" s="84"/>
      <c r="L119" s="84"/>
      <c r="M119" s="83"/>
      <c r="N119" s="83"/>
      <c r="O119" s="83"/>
      <c r="P119" s="83"/>
      <c r="Q119" s="83"/>
      <c r="R119" s="83"/>
      <c r="S119" s="52"/>
      <c r="T119" s="52"/>
      <c r="U119" s="52"/>
      <c r="V119" s="1"/>
      <c r="W119" s="1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</row>
    <row r="120" spans="1:125" ht="15.6" x14ac:dyDescent="0.3">
      <c r="A120" s="94" t="s">
        <v>303</v>
      </c>
      <c r="B120" s="87"/>
      <c r="C120" s="96">
        <f>'Raw Data'!C313</f>
        <v>2878</v>
      </c>
      <c r="D120" s="96">
        <f>'Raw Data'!D313</f>
        <v>2832.4929999999999</v>
      </c>
      <c r="E120" s="96">
        <f>'Raw Data'!E313</f>
        <v>2821</v>
      </c>
      <c r="F120" s="96">
        <f>'Raw Data'!F313</f>
        <v>2761</v>
      </c>
      <c r="G120" s="96">
        <f>'Raw Data'!G313</f>
        <v>2693</v>
      </c>
      <c r="H120" s="95">
        <f>'Raw Data'!H313</f>
        <v>2685</v>
      </c>
      <c r="I120" s="1"/>
      <c r="J120" s="1"/>
      <c r="K120" s="97"/>
      <c r="L120" s="84"/>
      <c r="M120" s="83"/>
      <c r="N120" s="83"/>
      <c r="O120" s="83"/>
      <c r="P120" s="83"/>
      <c r="Q120" s="83"/>
      <c r="R120" s="83"/>
      <c r="S120" s="52"/>
      <c r="T120" s="52"/>
      <c r="U120" s="52"/>
      <c r="V120" s="1"/>
      <c r="W120" s="1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</row>
    <row r="121" spans="1:125" ht="15.6" x14ac:dyDescent="0.3">
      <c r="A121" s="94" t="s">
        <v>302</v>
      </c>
      <c r="B121" s="87"/>
      <c r="C121" s="59">
        <f>'Raw Data'!C328</f>
        <v>2.08</v>
      </c>
      <c r="D121" s="59">
        <f>'Raw Data'!D328</f>
        <v>2.12</v>
      </c>
      <c r="E121" s="59">
        <f>'Raw Data'!E328</f>
        <v>2.16</v>
      </c>
      <c r="F121" s="59">
        <f>'Raw Data'!F328</f>
        <v>2.2000000000000002</v>
      </c>
      <c r="G121" s="59">
        <f>'Raw Data'!G328</f>
        <v>2.2400000000000002</v>
      </c>
      <c r="H121" s="93">
        <f>'Raw Data'!H328</f>
        <v>2.2799999999999998</v>
      </c>
      <c r="I121" s="1"/>
      <c r="J121" s="1"/>
      <c r="K121" s="85"/>
      <c r="L121" s="84"/>
      <c r="M121" s="83"/>
      <c r="N121" s="83"/>
      <c r="O121" s="83"/>
      <c r="P121" s="83"/>
      <c r="Q121" s="83"/>
      <c r="R121" s="83"/>
      <c r="S121" s="52"/>
      <c r="T121" s="52"/>
      <c r="U121" s="52"/>
      <c r="V121" s="1"/>
      <c r="W121" s="1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</row>
    <row r="122" spans="1:125" ht="15.6" x14ac:dyDescent="0.3">
      <c r="A122" s="94" t="s">
        <v>31</v>
      </c>
      <c r="B122" s="87"/>
      <c r="C122" s="59">
        <f>'Raw Data'!C306</f>
        <v>2.2799999999999998</v>
      </c>
      <c r="D122" s="59">
        <f>'Raw Data'!D306</f>
        <v>5.22</v>
      </c>
      <c r="E122" s="59">
        <f>'Raw Data'!E306</f>
        <v>4.7699999999999996</v>
      </c>
      <c r="F122" s="59">
        <f>'Raw Data'!F306</f>
        <v>4.9000000000000004</v>
      </c>
      <c r="G122" s="59">
        <f>'Raw Data'!G306</f>
        <v>4.29</v>
      </c>
      <c r="H122" s="93">
        <f>'Raw Data'!H306</f>
        <v>5.76</v>
      </c>
      <c r="I122" s="1"/>
      <c r="J122" s="1"/>
      <c r="K122" s="85"/>
      <c r="L122" s="84"/>
      <c r="M122" s="83"/>
      <c r="N122" s="83"/>
      <c r="O122" s="83"/>
      <c r="P122" s="83"/>
      <c r="Q122" s="83"/>
      <c r="R122" s="83"/>
      <c r="S122" s="52"/>
      <c r="T122" s="52"/>
      <c r="U122" s="52"/>
      <c r="V122" s="1"/>
      <c r="W122" s="1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</row>
    <row r="123" spans="1:125" ht="15.6" x14ac:dyDescent="0.3">
      <c r="A123" s="94" t="s">
        <v>301</v>
      </c>
      <c r="B123" s="87"/>
      <c r="C123" s="96">
        <f>'Raw Data'!C310</f>
        <v>2929</v>
      </c>
      <c r="D123" s="96">
        <f>'Raw Data'!D310</f>
        <v>2850</v>
      </c>
      <c r="E123" s="96">
        <f>'Raw Data'!E310</f>
        <v>2831</v>
      </c>
      <c r="F123" s="96">
        <f>'Raw Data'!F310</f>
        <v>2792</v>
      </c>
      <c r="G123" s="96">
        <f>'Raw Data'!G310</f>
        <v>2724</v>
      </c>
      <c r="H123" s="95">
        <f>'Raw Data'!H310</f>
        <v>2692</v>
      </c>
      <c r="I123" s="1"/>
      <c r="J123" s="1"/>
      <c r="K123" s="85"/>
      <c r="L123" s="84"/>
      <c r="M123" s="83"/>
      <c r="N123" s="83"/>
      <c r="O123" s="83"/>
      <c r="P123" s="83"/>
      <c r="Q123" s="83"/>
      <c r="R123" s="83"/>
      <c r="S123" s="52"/>
      <c r="T123" s="52"/>
      <c r="U123" s="52"/>
      <c r="V123" s="1"/>
      <c r="W123" s="1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</row>
    <row r="124" spans="1:125" ht="15.6" x14ac:dyDescent="0.3">
      <c r="A124" s="94" t="s">
        <v>29</v>
      </c>
      <c r="B124" s="87"/>
      <c r="C124" s="59">
        <f>'Raw Data'!C308</f>
        <v>2.2599999999999998</v>
      </c>
      <c r="D124" s="59">
        <f>'Raw Data'!D308</f>
        <v>5.19</v>
      </c>
      <c r="E124" s="59">
        <f>'Raw Data'!E308</f>
        <v>4.75</v>
      </c>
      <c r="F124" s="59">
        <f>'Raw Data'!F308</f>
        <v>4.87</v>
      </c>
      <c r="G124" s="59">
        <f>'Raw Data'!G308</f>
        <v>4.2699999999999996</v>
      </c>
      <c r="H124" s="93">
        <f>'Raw Data'!H308</f>
        <v>5.74</v>
      </c>
      <c r="I124" s="1"/>
      <c r="J124" s="1"/>
      <c r="K124" s="85"/>
      <c r="L124" s="84"/>
      <c r="M124" s="83"/>
      <c r="N124" s="83"/>
      <c r="O124" s="83"/>
      <c r="P124" s="83"/>
      <c r="Q124" s="83"/>
      <c r="R124" s="83"/>
      <c r="S124" s="52"/>
      <c r="T124" s="52"/>
      <c r="U124" s="52"/>
      <c r="V124" s="1"/>
      <c r="W124" s="1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</row>
    <row r="125" spans="1:125" ht="16.2" thickBot="1" x14ac:dyDescent="0.35">
      <c r="A125" s="92" t="s">
        <v>300</v>
      </c>
      <c r="B125" s="91"/>
      <c r="C125" s="90">
        <f>'Raw Data'!C312</f>
        <v>2945</v>
      </c>
      <c r="D125" s="90">
        <f>'Raw Data'!D312</f>
        <v>2868</v>
      </c>
      <c r="E125" s="90">
        <f>'Raw Data'!E312</f>
        <v>2847</v>
      </c>
      <c r="F125" s="90">
        <f>'Raw Data'!F312</f>
        <v>2805</v>
      </c>
      <c r="G125" s="90">
        <f>'Raw Data'!G312</f>
        <v>2734</v>
      </c>
      <c r="H125" s="89">
        <f>'Raw Data'!H312</f>
        <v>2703</v>
      </c>
      <c r="I125" s="1"/>
      <c r="J125" s="1"/>
      <c r="K125" s="85"/>
      <c r="L125" s="84"/>
      <c r="M125" s="83"/>
      <c r="N125" s="83"/>
      <c r="O125" s="83"/>
      <c r="P125" s="83"/>
      <c r="Q125" s="83"/>
      <c r="R125" s="83"/>
      <c r="S125" s="52"/>
      <c r="T125" s="52"/>
      <c r="U125" s="52"/>
      <c r="V125" s="1"/>
      <c r="W125" s="1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</row>
    <row r="126" spans="1:125" ht="16.2" thickBot="1" x14ac:dyDescent="0.35">
      <c r="A126" s="88"/>
      <c r="B126" s="87"/>
      <c r="C126" s="86"/>
      <c r="D126" s="86"/>
      <c r="E126" s="86"/>
      <c r="F126" s="86"/>
      <c r="G126" s="86"/>
      <c r="H126" s="86"/>
      <c r="I126" s="1"/>
      <c r="J126" s="1"/>
      <c r="K126" s="85"/>
      <c r="L126" s="84"/>
      <c r="M126" s="83"/>
      <c r="N126" s="83"/>
      <c r="O126" s="83"/>
      <c r="P126" s="83"/>
      <c r="Q126" s="83"/>
      <c r="R126" s="83"/>
      <c r="S126" s="52"/>
      <c r="T126" s="52"/>
      <c r="U126" s="52"/>
      <c r="V126" s="1"/>
      <c r="W126" s="1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</row>
    <row r="127" spans="1:125" ht="16.2" thickBot="1" x14ac:dyDescent="0.35">
      <c r="A127" s="50" t="s">
        <v>299</v>
      </c>
      <c r="B127" s="81"/>
      <c r="C127" s="80"/>
      <c r="D127" s="80"/>
      <c r="E127" s="80"/>
      <c r="F127" s="80"/>
      <c r="G127" s="80"/>
      <c r="H127" s="82"/>
      <c r="I127" s="1"/>
      <c r="J127" s="1"/>
      <c r="K127" s="50" t="s">
        <v>299</v>
      </c>
      <c r="L127" s="81"/>
      <c r="M127" s="80"/>
      <c r="N127" s="80"/>
      <c r="O127" s="80"/>
      <c r="P127" s="80"/>
      <c r="Q127" s="80"/>
      <c r="R127" s="80"/>
      <c r="S127" s="79"/>
      <c r="T127" s="79"/>
      <c r="U127" s="78"/>
      <c r="V127" s="1"/>
      <c r="W127" s="1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</row>
    <row r="128" spans="1:125" ht="16.2" x14ac:dyDescent="0.3">
      <c r="A128" s="77"/>
      <c r="B128" s="76" t="str">
        <f>B117</f>
        <v>Fiscal Year</v>
      </c>
      <c r="C128" s="75">
        <f t="shared" ref="C128:H128" si="84">C5</f>
        <v>2018</v>
      </c>
      <c r="D128" s="75">
        <f t="shared" si="84"/>
        <v>2019</v>
      </c>
      <c r="E128" s="75">
        <f t="shared" si="84"/>
        <v>2020</v>
      </c>
      <c r="F128" s="75">
        <f t="shared" si="84"/>
        <v>2021</v>
      </c>
      <c r="G128" s="75">
        <f t="shared" si="84"/>
        <v>2022</v>
      </c>
      <c r="H128" s="74">
        <f t="shared" si="84"/>
        <v>2023</v>
      </c>
      <c r="I128" s="1"/>
      <c r="J128" s="1"/>
      <c r="K128" s="66"/>
      <c r="L128" s="73" t="str">
        <f>L82</f>
        <v>Fiscal Year</v>
      </c>
      <c r="M128" s="72">
        <f t="shared" ref="M128:R128" si="85">M5</f>
        <v>2018</v>
      </c>
      <c r="N128" s="72">
        <f t="shared" si="85"/>
        <v>2019</v>
      </c>
      <c r="O128" s="72">
        <f t="shared" si="85"/>
        <v>2020</v>
      </c>
      <c r="P128" s="72">
        <f t="shared" si="85"/>
        <v>2021</v>
      </c>
      <c r="Q128" s="72">
        <f t="shared" si="85"/>
        <v>2022</v>
      </c>
      <c r="R128" s="72">
        <f t="shared" si="85"/>
        <v>2023</v>
      </c>
      <c r="S128" s="71" t="s">
        <v>292</v>
      </c>
      <c r="T128" s="71" t="s">
        <v>291</v>
      </c>
      <c r="U128" s="70" t="s">
        <v>290</v>
      </c>
      <c r="V128" s="1"/>
      <c r="W128" s="1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</row>
    <row r="129" spans="1:125" ht="16.8" thickBot="1" x14ac:dyDescent="0.4">
      <c r="A129" s="44" t="s">
        <v>298</v>
      </c>
      <c r="B129" s="43"/>
      <c r="C129" s="42">
        <f t="shared" ref="C129:H129" si="86">C4</f>
        <v>43496</v>
      </c>
      <c r="D129" s="42">
        <f t="shared" si="86"/>
        <v>43861</v>
      </c>
      <c r="E129" s="42">
        <f t="shared" si="86"/>
        <v>44227</v>
      </c>
      <c r="F129" s="42">
        <f t="shared" si="86"/>
        <v>44592</v>
      </c>
      <c r="G129" s="42">
        <f t="shared" si="86"/>
        <v>44957</v>
      </c>
      <c r="H129" s="41">
        <f t="shared" si="86"/>
        <v>45322</v>
      </c>
      <c r="I129" s="34" t="s">
        <v>285</v>
      </c>
      <c r="J129" s="1"/>
      <c r="K129" s="40" t="s">
        <v>298</v>
      </c>
      <c r="L129" s="39"/>
      <c r="M129" s="38">
        <f t="shared" ref="M129:R129" si="87">C4</f>
        <v>43496</v>
      </c>
      <c r="N129" s="38">
        <f t="shared" si="87"/>
        <v>43861</v>
      </c>
      <c r="O129" s="38">
        <f t="shared" si="87"/>
        <v>44227</v>
      </c>
      <c r="P129" s="38">
        <f t="shared" si="87"/>
        <v>44592</v>
      </c>
      <c r="Q129" s="38">
        <f t="shared" si="87"/>
        <v>44957</v>
      </c>
      <c r="R129" s="38">
        <f t="shared" si="87"/>
        <v>45322</v>
      </c>
      <c r="S129" s="36" t="s">
        <v>288</v>
      </c>
      <c r="T129" s="36" t="s">
        <v>287</v>
      </c>
      <c r="U129" s="35" t="s">
        <v>286</v>
      </c>
      <c r="V129" s="34" t="s">
        <v>285</v>
      </c>
      <c r="W129" s="1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</row>
    <row r="130" spans="1:125" ht="16.2" x14ac:dyDescent="0.35">
      <c r="A130" s="26" t="s">
        <v>296</v>
      </c>
      <c r="B130" s="29"/>
      <c r="C130" s="59">
        <f t="shared" ref="C130:H130" si="88">C14*(1-C3)+C13</f>
        <v>22875.409162303666</v>
      </c>
      <c r="D130" s="59">
        <f t="shared" si="88"/>
        <v>25459.536886060851</v>
      </c>
      <c r="E130" s="59">
        <f t="shared" si="88"/>
        <v>27737.966251702001</v>
      </c>
      <c r="F130" s="59">
        <f t="shared" si="88"/>
        <v>29863.526315789473</v>
      </c>
      <c r="G130" s="59">
        <f t="shared" si="88"/>
        <v>25407.732016925245</v>
      </c>
      <c r="H130" s="59">
        <f t="shared" si="88"/>
        <v>30259.517301354816</v>
      </c>
      <c r="I130" s="22" t="s">
        <v>295</v>
      </c>
      <c r="J130" s="1"/>
      <c r="K130" s="26" t="s">
        <v>296</v>
      </c>
      <c r="L130" s="25"/>
      <c r="M130" s="31">
        <f t="shared" ref="M130:R133" si="89">C130/C$8</f>
        <v>4.4702194251847495E-2</v>
      </c>
      <c r="N130" s="31">
        <f t="shared" si="89"/>
        <v>4.8826749886006549E-2</v>
      </c>
      <c r="O130" s="31">
        <f t="shared" si="89"/>
        <v>4.9804853100286747E-2</v>
      </c>
      <c r="P130" s="31">
        <f t="shared" si="89"/>
        <v>5.2395644474174545E-2</v>
      </c>
      <c r="Q130" s="31">
        <f t="shared" si="89"/>
        <v>4.1755998982589831E-2</v>
      </c>
      <c r="R130" s="31">
        <f t="shared" si="89"/>
        <v>4.6860435907118247E-2</v>
      </c>
      <c r="S130" s="31">
        <f>AVERAGE(M130:R130)</f>
        <v>4.7390979433670564E-2</v>
      </c>
      <c r="T130" s="31" cm="1">
        <f t="array" ref="T130">IFERROR(AVERAGE(IF(M130:R130&lt;&gt;MAX(M130:R130),IF(M130:R130&lt;&gt;MIN(M130:R130),M130:R130))),U130)</f>
        <v>4.7548558286314754E-2</v>
      </c>
      <c r="U130" s="31">
        <f>R130</f>
        <v>4.6860435907118247E-2</v>
      </c>
      <c r="V130" s="22" t="s">
        <v>295</v>
      </c>
      <c r="W130" s="1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</row>
    <row r="131" spans="1:125" ht="16.8" thickBot="1" x14ac:dyDescent="0.4">
      <c r="A131" s="26" t="s">
        <v>283</v>
      </c>
      <c r="B131" s="29"/>
      <c r="C131" s="59">
        <f t="shared" ref="C131:H131" si="90">C101</f>
        <v>-10344</v>
      </c>
      <c r="D131" s="59">
        <f t="shared" si="90"/>
        <v>-10705</v>
      </c>
      <c r="E131" s="59">
        <f t="shared" si="90"/>
        <v>-10264</v>
      </c>
      <c r="F131" s="59">
        <f t="shared" si="90"/>
        <v>-13106</v>
      </c>
      <c r="G131" s="59">
        <f t="shared" si="90"/>
        <v>-16857</v>
      </c>
      <c r="H131" s="59">
        <f t="shared" si="90"/>
        <v>-20606</v>
      </c>
      <c r="I131" s="22" t="s">
        <v>282</v>
      </c>
      <c r="J131" s="1"/>
      <c r="K131" s="26" t="s">
        <v>283</v>
      </c>
      <c r="L131" s="25"/>
      <c r="M131" s="24">
        <f t="shared" si="89"/>
        <v>-2.0213824113935304E-2</v>
      </c>
      <c r="N131" s="24">
        <f t="shared" si="89"/>
        <v>-2.0530238231311827E-2</v>
      </c>
      <c r="O131" s="24">
        <f t="shared" si="89"/>
        <v>-1.8429505883113408E-2</v>
      </c>
      <c r="P131" s="24">
        <f t="shared" si="89"/>
        <v>-2.2994515423835273E-2</v>
      </c>
      <c r="Q131" s="24">
        <f t="shared" si="89"/>
        <v>-2.770341226759751E-2</v>
      </c>
      <c r="R131" s="24">
        <f t="shared" si="89"/>
        <v>-3.1910824375868195E-2</v>
      </c>
      <c r="S131" s="24">
        <f>AVERAGE(M131:R131)</f>
        <v>-2.3630386715943585E-2</v>
      </c>
      <c r="T131" s="24" cm="1">
        <f t="array" ref="T131">IFERROR(AVERAGE(IF(M131:R131&lt;&gt;MAX(M131:R131),IF(M131:R131&lt;&gt;MIN(M131:R131),M131:R131))),U131)</f>
        <v>-2.2860497509169977E-2</v>
      </c>
      <c r="U131" s="24">
        <f>R131</f>
        <v>-3.1910824375868195E-2</v>
      </c>
      <c r="V131" s="22" t="s">
        <v>282</v>
      </c>
      <c r="W131" s="1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</row>
    <row r="132" spans="1:125" ht="16.2" x14ac:dyDescent="0.35">
      <c r="A132" s="26" t="s">
        <v>294</v>
      </c>
      <c r="B132" s="29"/>
      <c r="C132" s="59">
        <f t="shared" ref="C132:H132" si="91">C93</f>
        <v>295</v>
      </c>
      <c r="D132" s="59">
        <f t="shared" si="91"/>
        <v>-327</v>
      </c>
      <c r="E132" s="59">
        <f t="shared" si="91"/>
        <v>7972</v>
      </c>
      <c r="F132" s="59">
        <f t="shared" si="91"/>
        <v>-6597</v>
      </c>
      <c r="G132" s="59">
        <f t="shared" si="91"/>
        <v>2553</v>
      </c>
      <c r="H132" s="59">
        <f t="shared" si="91"/>
        <v>1943</v>
      </c>
      <c r="I132" s="22" t="s">
        <v>282</v>
      </c>
      <c r="J132" s="1"/>
      <c r="K132" s="26" t="s">
        <v>294</v>
      </c>
      <c r="L132" s="25"/>
      <c r="M132" s="31">
        <f t="shared" si="89"/>
        <v>5.764770024759199E-4</v>
      </c>
      <c r="N132" s="31">
        <f t="shared" si="89"/>
        <v>-6.27126380349273E-4</v>
      </c>
      <c r="O132" s="31">
        <f t="shared" si="89"/>
        <v>1.4314109596666026E-2</v>
      </c>
      <c r="P132" s="31">
        <f t="shared" si="89"/>
        <v>-1.1574455840915709E-2</v>
      </c>
      <c r="Q132" s="31">
        <f t="shared" si="89"/>
        <v>4.1956938671873075E-3</v>
      </c>
      <c r="R132" s="31">
        <f t="shared" si="89"/>
        <v>3.0089649501267544E-3</v>
      </c>
      <c r="S132" s="31">
        <f>AVERAGE(M132:R132)</f>
        <v>1.6489438658651712E-3</v>
      </c>
      <c r="T132" s="31" cm="1">
        <f t="array" ref="T132">IFERROR(AVERAGE(IF(M132:R132&lt;&gt;MAX(M132:R132),IF(M132:R132&lt;&gt;MIN(M132:R132),M132:R132))),U132)</f>
        <v>1.7885023598601772E-3</v>
      </c>
      <c r="U132" s="31">
        <f>R132</f>
        <v>3.0089649501267544E-3</v>
      </c>
      <c r="V132" s="22" t="s">
        <v>282</v>
      </c>
      <c r="W132" s="1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</row>
    <row r="133" spans="1:125" ht="16.2" thickBot="1" x14ac:dyDescent="0.35">
      <c r="A133" s="18" t="s">
        <v>281</v>
      </c>
      <c r="B133" s="21"/>
      <c r="C133" s="69">
        <f t="shared" ref="C133:H133" si="92">SUM(C130:C132)</f>
        <v>12826.409162303666</v>
      </c>
      <c r="D133" s="69">
        <f t="shared" si="92"/>
        <v>14427.536886060851</v>
      </c>
      <c r="E133" s="69">
        <f t="shared" si="92"/>
        <v>25445.966251702001</v>
      </c>
      <c r="F133" s="69">
        <f t="shared" si="92"/>
        <v>10160.526315789473</v>
      </c>
      <c r="G133" s="69">
        <f t="shared" si="92"/>
        <v>11103.732016925245</v>
      </c>
      <c r="H133" s="69">
        <f t="shared" si="92"/>
        <v>11596.517301354816</v>
      </c>
      <c r="I133" s="1"/>
      <c r="J133" s="1"/>
      <c r="K133" s="68" t="s">
        <v>281</v>
      </c>
      <c r="L133" s="67"/>
      <c r="M133" s="24">
        <f t="shared" si="89"/>
        <v>2.5064847140388109E-2</v>
      </c>
      <c r="N133" s="24">
        <f t="shared" si="89"/>
        <v>2.766938527434545E-2</v>
      </c>
      <c r="O133" s="24">
        <f t="shared" si="89"/>
        <v>4.5689456813839367E-2</v>
      </c>
      <c r="P133" s="24">
        <f t="shared" si="89"/>
        <v>1.7826673209423563E-2</v>
      </c>
      <c r="Q133" s="24">
        <f t="shared" si="89"/>
        <v>1.8248280582179633E-2</v>
      </c>
      <c r="R133" s="24">
        <f t="shared" si="89"/>
        <v>1.7958576481376807E-2</v>
      </c>
      <c r="S133" s="24">
        <f>AVERAGE(M133:R133)</f>
        <v>2.5409536583592154E-2</v>
      </c>
      <c r="T133" s="24" cm="1">
        <f t="array" ref="T133">IFERROR(AVERAGE(IF(M133:R133&lt;&gt;MAX(M133:R133),IF(M133:R133&lt;&gt;MIN(M133:R133),M133:R133))),U133)</f>
        <v>2.2235272369572498E-2</v>
      </c>
      <c r="U133" s="24">
        <f>R133</f>
        <v>1.7958576481376807E-2</v>
      </c>
      <c r="V133" s="1"/>
      <c r="W133" s="1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</row>
    <row r="134" spans="1:125" ht="16.2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52"/>
      <c r="T134" s="52"/>
      <c r="U134" s="52"/>
      <c r="V134" s="1"/>
      <c r="W134" s="1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</row>
    <row r="135" spans="1:125" ht="16.2" x14ac:dyDescent="0.3">
      <c r="A135" s="50"/>
      <c r="B135" s="49" t="str">
        <f t="shared" ref="B135:H135" si="93">B128</f>
        <v>Fiscal Year</v>
      </c>
      <c r="C135" s="48">
        <f t="shared" si="93"/>
        <v>2018</v>
      </c>
      <c r="D135" s="48">
        <f t="shared" si="93"/>
        <v>2019</v>
      </c>
      <c r="E135" s="48">
        <f t="shared" si="93"/>
        <v>2020</v>
      </c>
      <c r="F135" s="48">
        <f t="shared" si="93"/>
        <v>2021</v>
      </c>
      <c r="G135" s="48">
        <f t="shared" si="93"/>
        <v>2022</v>
      </c>
      <c r="H135" s="51">
        <f t="shared" si="93"/>
        <v>2023</v>
      </c>
      <c r="I135" s="1"/>
      <c r="J135" s="1"/>
      <c r="K135" s="50"/>
      <c r="L135" s="49" t="str">
        <f t="shared" ref="L135:R135" si="94">L128</f>
        <v>Fiscal Year</v>
      </c>
      <c r="M135" s="48">
        <f t="shared" si="94"/>
        <v>2018</v>
      </c>
      <c r="N135" s="48">
        <f t="shared" si="94"/>
        <v>2019</v>
      </c>
      <c r="O135" s="48">
        <f t="shared" si="94"/>
        <v>2020</v>
      </c>
      <c r="P135" s="48">
        <f t="shared" si="94"/>
        <v>2021</v>
      </c>
      <c r="Q135" s="48">
        <f t="shared" si="94"/>
        <v>2022</v>
      </c>
      <c r="R135" s="48">
        <f t="shared" si="94"/>
        <v>2023</v>
      </c>
      <c r="S135" s="47" t="s">
        <v>292</v>
      </c>
      <c r="T135" s="46" t="s">
        <v>291</v>
      </c>
      <c r="U135" s="45" t="s">
        <v>290</v>
      </c>
      <c r="V135" s="1"/>
      <c r="W135" s="1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</row>
    <row r="136" spans="1:125" ht="16.8" thickBot="1" x14ac:dyDescent="0.4">
      <c r="A136" s="66" t="s">
        <v>297</v>
      </c>
      <c r="B136" s="43"/>
      <c r="C136" s="42">
        <f t="shared" ref="C136:H136" si="95">C4</f>
        <v>43496</v>
      </c>
      <c r="D136" s="42">
        <f t="shared" si="95"/>
        <v>43861</v>
      </c>
      <c r="E136" s="42">
        <f t="shared" si="95"/>
        <v>44227</v>
      </c>
      <c r="F136" s="42">
        <f t="shared" si="95"/>
        <v>44592</v>
      </c>
      <c r="G136" s="42">
        <f t="shared" si="95"/>
        <v>44957</v>
      </c>
      <c r="H136" s="41">
        <f t="shared" si="95"/>
        <v>45322</v>
      </c>
      <c r="I136" s="34" t="s">
        <v>285</v>
      </c>
      <c r="J136" s="1"/>
      <c r="K136" s="40" t="s">
        <v>297</v>
      </c>
      <c r="L136" s="39"/>
      <c r="M136" s="38">
        <f t="shared" ref="M136:R136" si="96">C4</f>
        <v>43496</v>
      </c>
      <c r="N136" s="38">
        <f t="shared" si="96"/>
        <v>43861</v>
      </c>
      <c r="O136" s="38">
        <f t="shared" si="96"/>
        <v>44227</v>
      </c>
      <c r="P136" s="38">
        <f t="shared" si="96"/>
        <v>44592</v>
      </c>
      <c r="Q136" s="38">
        <f t="shared" si="96"/>
        <v>44957</v>
      </c>
      <c r="R136" s="38">
        <f t="shared" si="96"/>
        <v>45322</v>
      </c>
      <c r="S136" s="37" t="s">
        <v>288</v>
      </c>
      <c r="T136" s="36" t="s">
        <v>287</v>
      </c>
      <c r="U136" s="35" t="s">
        <v>286</v>
      </c>
      <c r="V136" s="34" t="s">
        <v>285</v>
      </c>
      <c r="W136" s="1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</row>
    <row r="137" spans="1:125" ht="16.2" x14ac:dyDescent="0.35">
      <c r="A137" s="26" t="s">
        <v>296</v>
      </c>
      <c r="B137" s="61"/>
      <c r="C137" s="60"/>
      <c r="D137" s="59">
        <f>D14*(1-D3)+D13</f>
        <v>25459.536886060851</v>
      </c>
      <c r="E137" s="59">
        <f>E14*(1-E3)+E13</f>
        <v>27737.966251702001</v>
      </c>
      <c r="F137" s="59">
        <f>F14*(1-F3)+F13</f>
        <v>29863.526315789473</v>
      </c>
      <c r="G137" s="59">
        <f>G14*(1-G3)+G13</f>
        <v>25407.732016925245</v>
      </c>
      <c r="H137" s="59">
        <f>H14*(1-H3)+H13</f>
        <v>30259.517301354816</v>
      </c>
      <c r="I137" s="22" t="s">
        <v>295</v>
      </c>
      <c r="J137" s="1"/>
      <c r="K137" s="65" t="s">
        <v>296</v>
      </c>
      <c r="L137" s="64"/>
      <c r="M137" s="63"/>
      <c r="N137" s="31">
        <f t="shared" ref="N137:R140" si="97">D137/D$8</f>
        <v>4.8826749886006549E-2</v>
      </c>
      <c r="O137" s="31">
        <f t="shared" si="97"/>
        <v>4.9804853100286747E-2</v>
      </c>
      <c r="P137" s="31">
        <f t="shared" si="97"/>
        <v>5.2395644474174545E-2</v>
      </c>
      <c r="Q137" s="31">
        <f t="shared" si="97"/>
        <v>4.1755998982589831E-2</v>
      </c>
      <c r="R137" s="31">
        <f t="shared" si="97"/>
        <v>4.6860435907118247E-2</v>
      </c>
      <c r="S137" s="31">
        <f>AVERAGE(N137:R137)</f>
        <v>4.7928736470035184E-2</v>
      </c>
      <c r="T137" s="31" cm="1">
        <f t="array" ref="T137">IFERROR(AVERAGE(IF(N137:R137&lt;&gt;MAX(N137:R137),IF(N137:R137&lt;&gt;MIN(N137:R137),N137:R137))),U137)</f>
        <v>4.8497346297803855E-2</v>
      </c>
      <c r="U137" s="31">
        <f>R137</f>
        <v>4.6860435907118247E-2</v>
      </c>
      <c r="V137" s="22" t="s">
        <v>295</v>
      </c>
      <c r="W137" s="1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</row>
    <row r="138" spans="1:125" ht="16.2" x14ac:dyDescent="0.35">
      <c r="A138" s="26" t="s">
        <v>283</v>
      </c>
      <c r="B138" s="61"/>
      <c r="C138" s="60"/>
      <c r="D138" s="59">
        <f>D101</f>
        <v>-10705</v>
      </c>
      <c r="E138" s="59">
        <f>E101</f>
        <v>-10264</v>
      </c>
      <c r="F138" s="59">
        <f>F101</f>
        <v>-13106</v>
      </c>
      <c r="G138" s="59">
        <f>G101</f>
        <v>-16857</v>
      </c>
      <c r="H138" s="59">
        <f>H101</f>
        <v>-20606</v>
      </c>
      <c r="I138" s="22" t="s">
        <v>282</v>
      </c>
      <c r="J138" s="1"/>
      <c r="K138" s="26" t="s">
        <v>283</v>
      </c>
      <c r="L138" s="25"/>
      <c r="M138" s="62"/>
      <c r="N138" s="31">
        <f t="shared" si="97"/>
        <v>-2.0530238231311827E-2</v>
      </c>
      <c r="O138" s="31">
        <f t="shared" si="97"/>
        <v>-1.8429505883113408E-2</v>
      </c>
      <c r="P138" s="31">
        <f t="shared" si="97"/>
        <v>-2.2994515423835273E-2</v>
      </c>
      <c r="Q138" s="31">
        <f t="shared" si="97"/>
        <v>-2.770341226759751E-2</v>
      </c>
      <c r="R138" s="31">
        <f t="shared" si="97"/>
        <v>-3.1910824375868195E-2</v>
      </c>
      <c r="S138" s="31">
        <f>AVERAGE(N138:R138)</f>
        <v>-2.4313699236345243E-2</v>
      </c>
      <c r="T138" s="31" cm="1">
        <f t="array" ref="T138">IFERROR(AVERAGE(IF(N138:R138&lt;&gt;MAX(N138:R138),IF(N138:R138&lt;&gt;MIN(N138:R138),N138:R138))),U138)</f>
        <v>-2.3742721974248204E-2</v>
      </c>
      <c r="U138" s="31">
        <f>R138</f>
        <v>-3.1910824375868195E-2</v>
      </c>
      <c r="V138" s="22" t="s">
        <v>282</v>
      </c>
      <c r="W138" s="1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</row>
    <row r="139" spans="1:125" ht="16.8" thickBot="1" x14ac:dyDescent="0.4">
      <c r="A139" s="26" t="s">
        <v>294</v>
      </c>
      <c r="B139" s="61"/>
      <c r="C139" s="60"/>
      <c r="D139" s="59">
        <f>D80</f>
        <v>1736</v>
      </c>
      <c r="E139" s="59">
        <f>E80</f>
        <v>-2185</v>
      </c>
      <c r="F139" s="59">
        <f>F80</f>
        <v>839</v>
      </c>
      <c r="G139" s="59">
        <f>G80</f>
        <v>2703</v>
      </c>
      <c r="H139" s="59">
        <f>H80</f>
        <v>303</v>
      </c>
      <c r="I139" s="22" t="s">
        <v>293</v>
      </c>
      <c r="J139" s="1"/>
      <c r="K139" s="26" t="s">
        <v>294</v>
      </c>
      <c r="L139" s="25"/>
      <c r="M139" s="58"/>
      <c r="N139" s="53">
        <f t="shared" si="97"/>
        <v>3.3293314871141832E-3</v>
      </c>
      <c r="O139" s="53">
        <f t="shared" si="97"/>
        <v>-3.9232726378217843E-3</v>
      </c>
      <c r="P139" s="53">
        <f t="shared" si="97"/>
        <v>1.4720279597587207E-3</v>
      </c>
      <c r="Q139" s="53">
        <f t="shared" si="97"/>
        <v>4.4422093705473141E-3</v>
      </c>
      <c r="R139" s="53">
        <f t="shared" si="97"/>
        <v>4.6923128146598384E-4</v>
      </c>
      <c r="S139" s="53">
        <f>AVERAGE(N139:R139)</f>
        <v>1.1579054922128836E-3</v>
      </c>
      <c r="T139" s="57" cm="1">
        <f t="array" ref="T139">IFERROR(AVERAGE(IF(N139:R139&lt;&gt;MAX(N139:R139),IF(N139:R139&lt;&gt;MIN(N139:R139),N139:R139))),U139)</f>
        <v>1.7568635761129627E-3</v>
      </c>
      <c r="U139" s="53">
        <f>R139</f>
        <v>4.6923128146598384E-4</v>
      </c>
      <c r="V139" s="22" t="s">
        <v>293</v>
      </c>
      <c r="W139" s="1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</row>
    <row r="140" spans="1:125" ht="16.2" thickBot="1" x14ac:dyDescent="0.35">
      <c r="A140" s="18" t="s">
        <v>281</v>
      </c>
      <c r="B140" s="56"/>
      <c r="C140" s="55"/>
      <c r="D140" s="20">
        <f>SUM(D137:D139)</f>
        <v>16490.536886060851</v>
      </c>
      <c r="E140" s="20">
        <f>SUM(E137:E139)</f>
        <v>15288.966251702001</v>
      </c>
      <c r="F140" s="20">
        <f>SUM(F137:F139)</f>
        <v>17596.526315789473</v>
      </c>
      <c r="G140" s="20">
        <f>SUM(G137:G139)</f>
        <v>11253.732016925245</v>
      </c>
      <c r="H140" s="19">
        <f>SUM(H137:H139)</f>
        <v>9956.5173013548156</v>
      </c>
      <c r="I140" s="1"/>
      <c r="J140" s="1"/>
      <c r="K140" s="18" t="s">
        <v>281</v>
      </c>
      <c r="L140" s="17"/>
      <c r="M140" s="54"/>
      <c r="N140" s="53">
        <f t="shared" si="97"/>
        <v>3.1625843141808906E-2</v>
      </c>
      <c r="O140" s="53">
        <f t="shared" si="97"/>
        <v>2.7452074579351556E-2</v>
      </c>
      <c r="P140" s="53">
        <f t="shared" si="97"/>
        <v>3.0873157010097994E-2</v>
      </c>
      <c r="Q140" s="53">
        <f t="shared" si="97"/>
        <v>1.8494796085539639E-2</v>
      </c>
      <c r="R140" s="53">
        <f t="shared" si="97"/>
        <v>1.5418842812716037E-2</v>
      </c>
      <c r="S140" s="53">
        <f>AVERAGE(N140:R140)</f>
        <v>2.4772942725902823E-2</v>
      </c>
      <c r="T140" s="53" cm="1">
        <f t="array" ref="T140">IFERROR(AVERAGE(IF(M140:R140&lt;&gt;MAX(M140:R140),IF(M140:R140&lt;&gt;MIN(M140:R140),M140:R140))),U140)</f>
        <v>1.9205006918747297E-2</v>
      </c>
      <c r="U140" s="53">
        <f>R140</f>
        <v>1.5418842812716037E-2</v>
      </c>
      <c r="V140" s="1"/>
      <c r="W140" s="1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</row>
    <row r="141" spans="1:125" ht="16.2" thickBot="1" x14ac:dyDescent="0.35">
      <c r="A141" s="1"/>
      <c r="B141" s="1"/>
      <c r="C141" s="1"/>
      <c r="D141" s="13"/>
      <c r="E141" s="13"/>
      <c r="F141" s="13"/>
      <c r="G141" s="13"/>
      <c r="H141" s="13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52"/>
      <c r="T141" s="52"/>
      <c r="U141" s="52"/>
      <c r="V141" s="1"/>
      <c r="W141" s="1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</row>
    <row r="142" spans="1:125" ht="16.2" x14ac:dyDescent="0.3">
      <c r="A142" s="50"/>
      <c r="B142" s="49" t="str">
        <f t="shared" ref="B142:H142" si="98">B135</f>
        <v>Fiscal Year</v>
      </c>
      <c r="C142" s="48">
        <f t="shared" si="98"/>
        <v>2018</v>
      </c>
      <c r="D142" s="48">
        <f t="shared" si="98"/>
        <v>2019</v>
      </c>
      <c r="E142" s="48">
        <f t="shared" si="98"/>
        <v>2020</v>
      </c>
      <c r="F142" s="48">
        <f t="shared" si="98"/>
        <v>2021</v>
      </c>
      <c r="G142" s="48">
        <f t="shared" si="98"/>
        <v>2022</v>
      </c>
      <c r="H142" s="51">
        <f t="shared" si="98"/>
        <v>2023</v>
      </c>
      <c r="I142" s="1"/>
      <c r="J142" s="1"/>
      <c r="K142" s="50"/>
      <c r="L142" s="49" t="str">
        <f t="shared" ref="L142:R142" si="99">L135</f>
        <v>Fiscal Year</v>
      </c>
      <c r="M142" s="48">
        <f t="shared" si="99"/>
        <v>2018</v>
      </c>
      <c r="N142" s="48">
        <f t="shared" si="99"/>
        <v>2019</v>
      </c>
      <c r="O142" s="48">
        <f t="shared" si="99"/>
        <v>2020</v>
      </c>
      <c r="P142" s="48">
        <f t="shared" si="99"/>
        <v>2021</v>
      </c>
      <c r="Q142" s="48">
        <f t="shared" si="99"/>
        <v>2022</v>
      </c>
      <c r="R142" s="48">
        <f t="shared" si="99"/>
        <v>2023</v>
      </c>
      <c r="S142" s="47" t="s">
        <v>292</v>
      </c>
      <c r="T142" s="46" t="s">
        <v>291</v>
      </c>
      <c r="U142" s="45" t="s">
        <v>290</v>
      </c>
      <c r="V142" s="1"/>
      <c r="W142" s="1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</row>
    <row r="143" spans="1:125" ht="16.8" thickBot="1" x14ac:dyDescent="0.4">
      <c r="A143" s="44" t="s">
        <v>289</v>
      </c>
      <c r="B143" s="43"/>
      <c r="C143" s="42">
        <f t="shared" ref="C143:H143" si="100">C4</f>
        <v>43496</v>
      </c>
      <c r="D143" s="42">
        <f t="shared" si="100"/>
        <v>43861</v>
      </c>
      <c r="E143" s="42">
        <f t="shared" si="100"/>
        <v>44227</v>
      </c>
      <c r="F143" s="42">
        <f t="shared" si="100"/>
        <v>44592</v>
      </c>
      <c r="G143" s="42">
        <f t="shared" si="100"/>
        <v>44957</v>
      </c>
      <c r="H143" s="41">
        <f t="shared" si="100"/>
        <v>45322</v>
      </c>
      <c r="I143" s="34" t="s">
        <v>285</v>
      </c>
      <c r="J143" s="1"/>
      <c r="K143" s="40" t="s">
        <v>289</v>
      </c>
      <c r="L143" s="39"/>
      <c r="M143" s="38">
        <f t="shared" ref="M143:R143" si="101">C4</f>
        <v>43496</v>
      </c>
      <c r="N143" s="38">
        <f t="shared" si="101"/>
        <v>43861</v>
      </c>
      <c r="O143" s="38">
        <f t="shared" si="101"/>
        <v>44227</v>
      </c>
      <c r="P143" s="38">
        <f t="shared" si="101"/>
        <v>44592</v>
      </c>
      <c r="Q143" s="38">
        <f t="shared" si="101"/>
        <v>44957</v>
      </c>
      <c r="R143" s="38">
        <f t="shared" si="101"/>
        <v>45322</v>
      </c>
      <c r="S143" s="37" t="s">
        <v>288</v>
      </c>
      <c r="T143" s="36" t="s">
        <v>287</v>
      </c>
      <c r="U143" s="35" t="s">
        <v>286</v>
      </c>
      <c r="V143" s="34" t="s">
        <v>285</v>
      </c>
      <c r="W143" s="1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</row>
    <row r="144" spans="1:125" ht="16.2" x14ac:dyDescent="0.35">
      <c r="A144" s="26" t="s">
        <v>284</v>
      </c>
      <c r="B144" s="29"/>
      <c r="C144" s="33">
        <f t="shared" ref="C144:H144" si="102">C99</f>
        <v>27753</v>
      </c>
      <c r="D144" s="33">
        <f t="shared" si="102"/>
        <v>25255</v>
      </c>
      <c r="E144" s="33">
        <f t="shared" si="102"/>
        <v>36074</v>
      </c>
      <c r="F144" s="33">
        <f t="shared" si="102"/>
        <v>24181</v>
      </c>
      <c r="G144" s="33">
        <f t="shared" si="102"/>
        <v>28841</v>
      </c>
      <c r="H144" s="32">
        <f t="shared" si="102"/>
        <v>35726</v>
      </c>
      <c r="I144" s="22" t="s">
        <v>282</v>
      </c>
      <c r="J144" s="1"/>
      <c r="K144" s="26" t="s">
        <v>284</v>
      </c>
      <c r="L144" s="25"/>
      <c r="M144" s="31">
        <f t="shared" ref="M144:R146" si="103">C144/C$8</f>
        <v>5.4233783897336282E-2</v>
      </c>
      <c r="N144" s="31">
        <f t="shared" si="103"/>
        <v>4.8434485430339111E-2</v>
      </c>
      <c r="O144" s="31">
        <f t="shared" si="103"/>
        <v>6.4772602808596369E-2</v>
      </c>
      <c r="P144" s="31">
        <f t="shared" si="103"/>
        <v>4.2425635393236745E-2</v>
      </c>
      <c r="Q144" s="31">
        <f t="shared" si="103"/>
        <v>4.7398357549372945E-2</v>
      </c>
      <c r="R144" s="31">
        <f t="shared" si="103"/>
        <v>5.5325929906447982E-2</v>
      </c>
      <c r="S144" s="31">
        <f>AVERAGE(M144:R144)</f>
        <v>5.2098465830888237E-2</v>
      </c>
      <c r="T144" s="31" cm="1">
        <f t="array" ref="T144">IFERROR(AVERAGE(IF(M144:R144&lt;&gt;MAX(M144:R144),IF(M144:R144&lt;&gt;MIN(M144:R144),M144:R144))),U144)</f>
        <v>5.1348139195874082E-2</v>
      </c>
      <c r="U144" s="30">
        <f>R144</f>
        <v>5.5325929906447982E-2</v>
      </c>
      <c r="V144" s="22" t="s">
        <v>282</v>
      </c>
      <c r="W144" s="1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</row>
    <row r="145" spans="1:125" ht="16.8" thickBot="1" x14ac:dyDescent="0.4">
      <c r="A145" s="26" t="s">
        <v>283</v>
      </c>
      <c r="B145" s="29"/>
      <c r="C145" s="28">
        <f t="shared" ref="C145:H145" si="104">C101</f>
        <v>-10344</v>
      </c>
      <c r="D145" s="28">
        <f t="shared" si="104"/>
        <v>-10705</v>
      </c>
      <c r="E145" s="28">
        <f t="shared" si="104"/>
        <v>-10264</v>
      </c>
      <c r="F145" s="28">
        <f t="shared" si="104"/>
        <v>-13106</v>
      </c>
      <c r="G145" s="28">
        <f t="shared" si="104"/>
        <v>-16857</v>
      </c>
      <c r="H145" s="27">
        <f t="shared" si="104"/>
        <v>-20606</v>
      </c>
      <c r="I145" s="22" t="s">
        <v>282</v>
      </c>
      <c r="J145" s="1"/>
      <c r="K145" s="26" t="s">
        <v>283</v>
      </c>
      <c r="L145" s="25"/>
      <c r="M145" s="24">
        <f t="shared" si="103"/>
        <v>-2.0213824113935304E-2</v>
      </c>
      <c r="N145" s="24">
        <f t="shared" si="103"/>
        <v>-2.0530238231311827E-2</v>
      </c>
      <c r="O145" s="24">
        <f t="shared" si="103"/>
        <v>-1.8429505883113408E-2</v>
      </c>
      <c r="P145" s="24">
        <f t="shared" si="103"/>
        <v>-2.2994515423835273E-2</v>
      </c>
      <c r="Q145" s="24">
        <f t="shared" si="103"/>
        <v>-2.770341226759751E-2</v>
      </c>
      <c r="R145" s="24">
        <f t="shared" si="103"/>
        <v>-3.1910824375868195E-2</v>
      </c>
      <c r="S145" s="24">
        <f>AVERAGE(M145:R145)</f>
        <v>-2.3630386715943585E-2</v>
      </c>
      <c r="T145" s="24" cm="1">
        <f t="array" ref="T145">IFERROR(AVERAGE(IF(M145:R145&lt;&gt;MAX(M145:R145),IF(M145:R145&lt;&gt;MIN(M145:R145),M145:R145))),U145)</f>
        <v>-2.2860497509169977E-2</v>
      </c>
      <c r="U145" s="23">
        <f>R145</f>
        <v>-3.1910824375868195E-2</v>
      </c>
      <c r="V145" s="22" t="s">
        <v>282</v>
      </c>
      <c r="W145" s="1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</row>
    <row r="146" spans="1:125" ht="16.2" thickBot="1" x14ac:dyDescent="0.35">
      <c r="A146" s="18" t="s">
        <v>281</v>
      </c>
      <c r="B146" s="21"/>
      <c r="C146" s="20">
        <f t="shared" ref="C146:H146" si="105">SUM(C144:C145)</f>
        <v>17409</v>
      </c>
      <c r="D146" s="20">
        <f t="shared" si="105"/>
        <v>14550</v>
      </c>
      <c r="E146" s="20">
        <f t="shared" si="105"/>
        <v>25810</v>
      </c>
      <c r="F146" s="20">
        <f t="shared" si="105"/>
        <v>11075</v>
      </c>
      <c r="G146" s="20">
        <f t="shared" si="105"/>
        <v>11984</v>
      </c>
      <c r="H146" s="19">
        <f t="shared" si="105"/>
        <v>15120</v>
      </c>
      <c r="I146" s="1"/>
      <c r="J146" s="1"/>
      <c r="K146" s="18" t="s">
        <v>281</v>
      </c>
      <c r="L146" s="17"/>
      <c r="M146" s="16">
        <f t="shared" si="103"/>
        <v>3.4019959783400978E-2</v>
      </c>
      <c r="N146" s="16">
        <f t="shared" si="103"/>
        <v>2.7904247199027284E-2</v>
      </c>
      <c r="O146" s="16">
        <f t="shared" si="103"/>
        <v>4.6343096925482954E-2</v>
      </c>
      <c r="P146" s="16">
        <f t="shared" si="103"/>
        <v>1.9431119969401469E-2</v>
      </c>
      <c r="Q146" s="16">
        <f t="shared" si="103"/>
        <v>1.9694945281775438E-2</v>
      </c>
      <c r="R146" s="16">
        <f t="shared" si="103"/>
        <v>2.3415105530579787E-2</v>
      </c>
      <c r="S146" s="16">
        <f>AVERAGE(M146:R146)</f>
        <v>2.8468079114944648E-2</v>
      </c>
      <c r="T146" s="16" cm="1">
        <f t="array" ref="T146">IFERROR(AVERAGE(IF(M146:R146&lt;&gt;MAX(M146:R146),IF(M146:R146&lt;&gt;MIN(M146:R146),M146:R146))),U146)</f>
        <v>2.625856444869587E-2</v>
      </c>
      <c r="U146" s="15">
        <f>R146</f>
        <v>2.3415105530579787E-2</v>
      </c>
      <c r="V146" s="1"/>
      <c r="W146" s="1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</row>
    <row r="147" spans="1:125" ht="13.8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4"/>
      <c r="T147" s="14"/>
      <c r="U147" s="14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</row>
    <row r="148" spans="1:125" ht="13.8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4"/>
      <c r="T148" s="14"/>
      <c r="U148" s="14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</row>
    <row r="149" spans="1:125" ht="13.8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4"/>
      <c r="T149" s="14"/>
      <c r="U149" s="14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</row>
    <row r="150" spans="1:125" ht="13.8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4"/>
      <c r="T150" s="14"/>
      <c r="U150" s="14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</row>
    <row r="151" spans="1:125" ht="13.8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4"/>
      <c r="T151" s="14"/>
      <c r="U151" s="14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</row>
    <row r="152" spans="1:125" ht="13.8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4"/>
      <c r="T152" s="14"/>
      <c r="U152" s="14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</row>
    <row r="153" spans="1:125" ht="13.8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4"/>
      <c r="T153" s="14"/>
      <c r="U153" s="14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</row>
    <row r="154" spans="1:125" ht="13.8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4"/>
      <c r="T154" s="14"/>
      <c r="U154" s="14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</row>
    <row r="155" spans="1:125" ht="13.8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4"/>
      <c r="T155" s="14"/>
      <c r="U155" s="14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</row>
    <row r="156" spans="1:125" ht="13.8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4"/>
      <c r="T156" s="14"/>
      <c r="U156" s="14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</row>
    <row r="157" spans="1:125" ht="13.8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4"/>
      <c r="T157" s="14"/>
      <c r="U157" s="14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</row>
    <row r="158" spans="1:125" ht="13.8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4"/>
      <c r="T158" s="14"/>
      <c r="U158" s="14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</row>
    <row r="159" spans="1:125" ht="13.8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4"/>
      <c r="T159" s="14"/>
      <c r="U159" s="14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</row>
    <row r="160" spans="1:125" ht="13.8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4"/>
      <c r="T160" s="14"/>
      <c r="U160" s="14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</row>
    <row r="161" spans="1:125" ht="13.8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4"/>
      <c r="T161" s="14"/>
      <c r="U161" s="14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</row>
    <row r="162" spans="1:125" ht="13.8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4"/>
      <c r="T162" s="14"/>
      <c r="U162" s="14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</row>
    <row r="163" spans="1:125" ht="13.8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4"/>
      <c r="T163" s="14"/>
      <c r="U163" s="14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</row>
    <row r="164" spans="1:125" ht="13.8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4"/>
      <c r="T164" s="14"/>
      <c r="U164" s="14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</row>
    <row r="165" spans="1:125" ht="13.8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4"/>
      <c r="T165" s="14"/>
      <c r="U165" s="14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</row>
    <row r="166" spans="1:125" ht="13.8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4"/>
      <c r="T166" s="14"/>
      <c r="U166" s="14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</row>
    <row r="167" spans="1:125" ht="13.8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4"/>
      <c r="T167" s="14"/>
      <c r="U167" s="14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</row>
    <row r="168" spans="1:125" ht="13.8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4"/>
      <c r="T168" s="14"/>
      <c r="U168" s="14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</row>
    <row r="169" spans="1:125" ht="13.8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4"/>
      <c r="T169" s="14"/>
      <c r="U169" s="14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</row>
    <row r="170" spans="1:125" ht="13.8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4"/>
      <c r="T170" s="14"/>
      <c r="U170" s="14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</row>
    <row r="171" spans="1:125" ht="13.8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4"/>
      <c r="T171" s="14"/>
      <c r="U171" s="14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</row>
    <row r="172" spans="1:125" ht="13.8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4"/>
      <c r="T172" s="14"/>
      <c r="U172" s="14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</row>
    <row r="173" spans="1:125" ht="13.8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4"/>
      <c r="T173" s="14"/>
      <c r="U173" s="14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</row>
    <row r="174" spans="1:125" ht="13.8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4"/>
      <c r="T174" s="14"/>
      <c r="U174" s="14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</row>
    <row r="175" spans="1:125" ht="13.8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4"/>
      <c r="T175" s="14"/>
      <c r="U175" s="14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</row>
    <row r="176" spans="1:125" ht="13.8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4"/>
      <c r="T176" s="14"/>
      <c r="U176" s="14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</row>
    <row r="177" spans="1:125" ht="13.8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4"/>
      <c r="T177" s="14"/>
      <c r="U177" s="14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</row>
    <row r="178" spans="1:125" ht="13.8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4"/>
      <c r="T178" s="14"/>
      <c r="U178" s="14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</row>
    <row r="179" spans="1:125" ht="13.8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4"/>
      <c r="T179" s="14"/>
      <c r="U179" s="14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</row>
    <row r="180" spans="1:125" ht="13.8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4"/>
      <c r="T180" s="14"/>
      <c r="U180" s="14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</row>
    <row r="181" spans="1:125" ht="13.8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4"/>
      <c r="T181" s="14"/>
      <c r="U181" s="14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</row>
    <row r="182" spans="1:125" ht="13.8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4"/>
      <c r="T182" s="14"/>
      <c r="U182" s="14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</row>
    <row r="183" spans="1:125" ht="13.8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4"/>
      <c r="T183" s="14"/>
      <c r="U183" s="14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</row>
    <row r="184" spans="1:125" ht="13.8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4"/>
      <c r="T184" s="14"/>
      <c r="U184" s="14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</row>
    <row r="185" spans="1:125" ht="13.8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4"/>
      <c r="T185" s="14"/>
      <c r="U185" s="14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</row>
    <row r="186" spans="1:125" ht="13.8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4"/>
      <c r="T186" s="14"/>
      <c r="U186" s="14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</row>
    <row r="187" spans="1:125" ht="13.8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4"/>
      <c r="T187" s="14"/>
      <c r="U187" s="14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</row>
    <row r="188" spans="1:125" ht="13.8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4"/>
      <c r="T188" s="14"/>
      <c r="U188" s="14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</row>
    <row r="189" spans="1:125" ht="13.8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4"/>
      <c r="T189" s="14"/>
      <c r="U189" s="14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</row>
    <row r="190" spans="1:125" ht="13.8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4"/>
      <c r="T190" s="14"/>
      <c r="U190" s="14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</row>
    <row r="191" spans="1:125" ht="13.8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4"/>
      <c r="T191" s="14"/>
      <c r="U191" s="14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</row>
    <row r="192" spans="1:125" ht="13.8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4"/>
      <c r="T192" s="14"/>
      <c r="U192" s="14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</row>
    <row r="193" spans="1:125" ht="13.8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4"/>
      <c r="T193" s="14"/>
      <c r="U193" s="14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</row>
    <row r="194" spans="1:125" ht="13.8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4"/>
      <c r="T194" s="14"/>
      <c r="U194" s="14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</row>
    <row r="195" spans="1:125" ht="13.8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4"/>
      <c r="T195" s="14"/>
      <c r="U195" s="14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</row>
    <row r="196" spans="1:125" ht="13.8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4"/>
      <c r="T196" s="14"/>
      <c r="U196" s="14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</row>
    <row r="197" spans="1:125" ht="13.8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4"/>
      <c r="T197" s="14"/>
      <c r="U197" s="14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</row>
    <row r="198" spans="1:125" ht="13.8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4"/>
      <c r="T198" s="14"/>
      <c r="U198" s="14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</row>
    <row r="199" spans="1:125" ht="13.8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4"/>
      <c r="T199" s="14"/>
      <c r="U199" s="14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</row>
    <row r="200" spans="1:125" ht="13.8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4"/>
      <c r="T200" s="14"/>
      <c r="U200" s="14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</row>
    <row r="201" spans="1:125" ht="13.8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4"/>
      <c r="T201" s="14"/>
      <c r="U201" s="14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</row>
    <row r="202" spans="1:125" ht="13.8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4"/>
      <c r="T202" s="14"/>
      <c r="U202" s="14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</row>
    <row r="203" spans="1:125" ht="13.8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4"/>
      <c r="T203" s="14"/>
      <c r="U203" s="14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</row>
    <row r="204" spans="1:125" ht="13.8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4"/>
      <c r="T204" s="14"/>
      <c r="U204" s="14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</row>
    <row r="205" spans="1:125" ht="13.8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4"/>
      <c r="T205" s="14"/>
      <c r="U205" s="14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</row>
    <row r="206" spans="1:125" ht="13.8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4"/>
      <c r="T206" s="14"/>
      <c r="U206" s="14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</row>
    <row r="207" spans="1:125" ht="13.8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4"/>
      <c r="T207" s="14"/>
      <c r="U207" s="14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</row>
    <row r="208" spans="1:125" ht="13.8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4"/>
      <c r="T208" s="14"/>
      <c r="U208" s="14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</row>
    <row r="209" spans="1:125" ht="13.8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4"/>
      <c r="T209" s="14"/>
      <c r="U209" s="14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</row>
    <row r="210" spans="1:125" ht="13.8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4"/>
      <c r="T210" s="14"/>
      <c r="U210" s="14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</row>
    <row r="211" spans="1:125" ht="13.8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4"/>
      <c r="T211" s="14"/>
      <c r="U211" s="14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</row>
    <row r="212" spans="1:125" ht="13.8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4"/>
      <c r="T212" s="14"/>
      <c r="U212" s="14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</row>
    <row r="213" spans="1:125" ht="13.8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4"/>
      <c r="T213" s="14"/>
      <c r="U213" s="14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</row>
    <row r="214" spans="1:125" ht="13.8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4"/>
      <c r="T214" s="14"/>
      <c r="U214" s="14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</row>
    <row r="215" spans="1:125" ht="13.8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4"/>
      <c r="T215" s="14"/>
      <c r="U215" s="14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</row>
    <row r="216" spans="1:125" ht="13.8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4"/>
      <c r="T216" s="14"/>
      <c r="U216" s="14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</row>
    <row r="217" spans="1:125" ht="13.8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4"/>
      <c r="T217" s="14"/>
      <c r="U217" s="14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</row>
    <row r="218" spans="1:125" ht="13.8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4"/>
      <c r="T218" s="14"/>
      <c r="U218" s="14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</row>
    <row r="219" spans="1:125" ht="13.8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4"/>
      <c r="T219" s="14"/>
      <c r="U219" s="14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</row>
    <row r="220" spans="1:125" ht="13.8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4"/>
      <c r="T220" s="14"/>
      <c r="U220" s="14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</row>
    <row r="221" spans="1:125" ht="13.8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4"/>
      <c r="T221" s="14"/>
      <c r="U221" s="14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</row>
    <row r="222" spans="1:125" ht="13.8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4"/>
      <c r="T222" s="14"/>
      <c r="U222" s="14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</row>
    <row r="223" spans="1:125" ht="13.8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4"/>
      <c r="T223" s="14"/>
      <c r="U223" s="14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</row>
    <row r="224" spans="1:125" ht="13.8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4"/>
      <c r="T224" s="14"/>
      <c r="U224" s="14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</row>
    <row r="225" spans="1:125" ht="13.8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4"/>
      <c r="T225" s="14"/>
      <c r="U225" s="14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</row>
    <row r="226" spans="1:125" ht="13.8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4"/>
      <c r="T226" s="14"/>
      <c r="U226" s="14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</row>
    <row r="227" spans="1:125" ht="13.8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4"/>
      <c r="T227" s="14"/>
      <c r="U227" s="14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</row>
    <row r="228" spans="1:125" ht="13.8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4"/>
      <c r="T228" s="14"/>
      <c r="U228" s="14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</row>
    <row r="229" spans="1:125" ht="13.8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4"/>
      <c r="T229" s="14"/>
      <c r="U229" s="14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</row>
    <row r="230" spans="1:125" ht="13.8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4"/>
      <c r="T230" s="14"/>
      <c r="U230" s="14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</row>
    <row r="231" spans="1:125" ht="13.8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4"/>
      <c r="T231" s="14"/>
      <c r="U231" s="14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</row>
    <row r="232" spans="1:125" ht="13.8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4"/>
      <c r="T232" s="14"/>
      <c r="U232" s="14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</row>
    <row r="233" spans="1:125" ht="13.8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4"/>
      <c r="T233" s="14"/>
      <c r="U233" s="14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</row>
    <row r="234" spans="1:125" ht="13.8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4"/>
      <c r="T234" s="14"/>
      <c r="U234" s="14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</row>
    <row r="235" spans="1:125" ht="13.8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4"/>
      <c r="T235" s="14"/>
      <c r="U235" s="14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</row>
    <row r="236" spans="1:125" ht="13.8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4"/>
      <c r="T236" s="14"/>
      <c r="U236" s="14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</row>
    <row r="237" spans="1:125" ht="13.8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4"/>
      <c r="T237" s="14"/>
      <c r="U237" s="14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</row>
    <row r="238" spans="1:125" ht="13.8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4"/>
      <c r="T238" s="14"/>
      <c r="U238" s="14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</row>
    <row r="239" spans="1:125" ht="13.8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4"/>
      <c r="T239" s="14"/>
      <c r="U239" s="14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</row>
    <row r="240" spans="1:125" ht="13.8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4"/>
      <c r="T240" s="14"/>
      <c r="U240" s="14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</row>
    <row r="241" spans="1:125" ht="13.8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4"/>
      <c r="T241" s="14"/>
      <c r="U241" s="14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</row>
    <row r="242" spans="1:125" ht="13.8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4"/>
      <c r="T242" s="14"/>
      <c r="U242" s="14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</row>
    <row r="243" spans="1:125" ht="13.8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4"/>
      <c r="T243" s="14"/>
      <c r="U243" s="14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</row>
    <row r="244" spans="1:125" ht="13.8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4"/>
      <c r="T244" s="14"/>
      <c r="U244" s="14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</row>
    <row r="245" spans="1:125" ht="13.8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4"/>
      <c r="T245" s="14"/>
      <c r="U245" s="14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</row>
    <row r="246" spans="1:125" ht="13.8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4"/>
      <c r="T246" s="14"/>
      <c r="U246" s="14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</row>
    <row r="247" spans="1:125" ht="13.8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4"/>
      <c r="T247" s="14"/>
      <c r="U247" s="14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</row>
    <row r="248" spans="1:125" ht="13.8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4"/>
      <c r="T248" s="14"/>
      <c r="U248" s="14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</row>
    <row r="249" spans="1:125" ht="13.8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4"/>
      <c r="T249" s="14"/>
      <c r="U249" s="14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</row>
    <row r="250" spans="1:125" ht="13.8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4"/>
      <c r="T250" s="14"/>
      <c r="U250" s="14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</row>
    <row r="251" spans="1:125" ht="13.8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4"/>
      <c r="T251" s="14"/>
      <c r="U251" s="14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</row>
    <row r="252" spans="1:125" ht="13.8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4"/>
      <c r="T252" s="14"/>
      <c r="U252" s="14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</row>
    <row r="253" spans="1:125" ht="13.8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4"/>
      <c r="T253" s="14"/>
      <c r="U253" s="14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</row>
    <row r="254" spans="1:125" ht="13.8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4"/>
      <c r="T254" s="14"/>
      <c r="U254" s="14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</row>
    <row r="255" spans="1:125" ht="13.8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4"/>
      <c r="T255" s="14"/>
      <c r="U255" s="14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</row>
    <row r="256" spans="1:125" ht="13.8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4"/>
      <c r="T256" s="14"/>
      <c r="U256" s="14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</row>
    <row r="257" spans="1:125" ht="13.8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4"/>
      <c r="T257" s="14"/>
      <c r="U257" s="14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</row>
    <row r="258" spans="1:125" ht="13.8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4"/>
      <c r="T258" s="14"/>
      <c r="U258" s="14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</row>
    <row r="259" spans="1:125" ht="13.8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4"/>
      <c r="T259" s="14"/>
      <c r="U259" s="14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</row>
    <row r="260" spans="1:125" ht="13.8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4"/>
      <c r="T260" s="14"/>
      <c r="U260" s="14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</row>
    <row r="261" spans="1:125" ht="13.8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4"/>
      <c r="T261" s="14"/>
      <c r="U261" s="14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</row>
    <row r="262" spans="1:125" ht="13.8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4"/>
      <c r="T262" s="14"/>
      <c r="U262" s="14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</row>
    <row r="263" spans="1:125" ht="13.8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4"/>
      <c r="T263" s="14"/>
      <c r="U263" s="14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</row>
    <row r="264" spans="1:125" ht="13.8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4"/>
      <c r="T264" s="14"/>
      <c r="U264" s="14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</row>
    <row r="265" spans="1:125" ht="13.8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4"/>
      <c r="T265" s="14"/>
      <c r="U265" s="14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</row>
    <row r="266" spans="1:125" ht="13.8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4"/>
      <c r="T266" s="14"/>
      <c r="U266" s="14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</row>
    <row r="267" spans="1:125" ht="13.8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4"/>
      <c r="T267" s="14"/>
      <c r="U267" s="14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</row>
    <row r="268" spans="1:125" ht="13.8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4"/>
      <c r="T268" s="14"/>
      <c r="U268" s="14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</row>
    <row r="269" spans="1:125" ht="13.8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4"/>
      <c r="T269" s="14"/>
      <c r="U269" s="14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</row>
    <row r="270" spans="1:125" ht="13.8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4"/>
      <c r="T270" s="14"/>
      <c r="U270" s="14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</row>
    <row r="271" spans="1:125" ht="13.8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4"/>
      <c r="T271" s="14"/>
      <c r="U271" s="14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</row>
    <row r="272" spans="1:125" ht="13.8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4"/>
      <c r="T272" s="14"/>
      <c r="U272" s="14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</row>
    <row r="273" spans="1:125" ht="13.8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4"/>
      <c r="T273" s="14"/>
      <c r="U273" s="14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</row>
    <row r="274" spans="1:125" ht="13.8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4"/>
      <c r="T274" s="14"/>
      <c r="U274" s="14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</row>
    <row r="275" spans="1:125" ht="13.8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4"/>
      <c r="T275" s="14"/>
      <c r="U275" s="14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</row>
    <row r="276" spans="1:125" ht="13.8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4"/>
      <c r="T276" s="14"/>
      <c r="U276" s="14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</row>
    <row r="277" spans="1:125" ht="13.8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4"/>
      <c r="T277" s="14"/>
      <c r="U277" s="14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</row>
    <row r="278" spans="1:125" ht="13.8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4"/>
      <c r="T278" s="14"/>
      <c r="U278" s="14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</row>
    <row r="279" spans="1:125" ht="13.8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4"/>
      <c r="T279" s="14"/>
      <c r="U279" s="14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</row>
    <row r="280" spans="1:125" ht="13.8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4"/>
      <c r="T280" s="14"/>
      <c r="U280" s="14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</row>
    <row r="281" spans="1:125" ht="13.8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4"/>
      <c r="T281" s="14"/>
      <c r="U281" s="14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</row>
    <row r="282" spans="1:125" ht="13.8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4"/>
      <c r="T282" s="14"/>
      <c r="U282" s="14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</row>
    <row r="283" spans="1:125" ht="13.8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4"/>
      <c r="T283" s="14"/>
      <c r="U283" s="14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</row>
    <row r="284" spans="1:125" ht="13.8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4"/>
      <c r="T284" s="14"/>
      <c r="U284" s="14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</row>
    <row r="285" spans="1:125" ht="13.8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4"/>
      <c r="T285" s="14"/>
      <c r="U285" s="14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</row>
    <row r="286" spans="1:125" ht="13.8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4"/>
      <c r="T286" s="14"/>
      <c r="U286" s="14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</row>
    <row r="287" spans="1:125" ht="13.8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4"/>
      <c r="T287" s="14"/>
      <c r="U287" s="14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</row>
    <row r="288" spans="1:125" ht="13.8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4"/>
      <c r="T288" s="14"/>
      <c r="U288" s="14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</row>
    <row r="289" spans="1:125" ht="13.8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4"/>
      <c r="T289" s="14"/>
      <c r="U289" s="14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</row>
    <row r="290" spans="1:125" ht="13.8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4"/>
      <c r="T290" s="14"/>
      <c r="U290" s="14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</row>
    <row r="291" spans="1:125" ht="13.8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4"/>
      <c r="T291" s="14"/>
      <c r="U291" s="14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</row>
    <row r="292" spans="1:125" ht="13.8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4"/>
      <c r="T292" s="14"/>
      <c r="U292" s="14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</row>
    <row r="293" spans="1:125" ht="13.8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4"/>
      <c r="T293" s="14"/>
      <c r="U293" s="14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</row>
    <row r="294" spans="1:125" ht="13.8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4"/>
      <c r="T294" s="14"/>
      <c r="U294" s="14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</row>
    <row r="295" spans="1:125" ht="13.8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4"/>
      <c r="T295" s="14"/>
      <c r="U295" s="14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</row>
    <row r="296" spans="1:125" ht="13.8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4"/>
      <c r="T296" s="14"/>
      <c r="U296" s="14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</row>
    <row r="297" spans="1:125" ht="13.8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4"/>
      <c r="T297" s="14"/>
      <c r="U297" s="14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</row>
    <row r="298" spans="1:125" ht="13.8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4"/>
      <c r="T298" s="14"/>
      <c r="U298" s="14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</row>
    <row r="299" spans="1:125" ht="13.8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4"/>
      <c r="T299" s="14"/>
      <c r="U299" s="14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</row>
    <row r="300" spans="1:125" ht="13.8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4"/>
      <c r="T300" s="14"/>
      <c r="U300" s="14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</row>
    <row r="301" spans="1:125" ht="13.8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4"/>
      <c r="T301" s="14"/>
      <c r="U301" s="14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</row>
    <row r="302" spans="1:125" ht="13.8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4"/>
      <c r="T302" s="14"/>
      <c r="U302" s="14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</row>
    <row r="303" spans="1:125" ht="13.8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4"/>
      <c r="T303" s="14"/>
      <c r="U303" s="14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</row>
    <row r="304" spans="1:125" ht="13.8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4"/>
      <c r="T304" s="14"/>
      <c r="U304" s="14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</row>
    <row r="305" spans="1:125" ht="13.8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4"/>
      <c r="T305" s="14"/>
      <c r="U305" s="14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</row>
    <row r="306" spans="1:125" ht="13.8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4"/>
      <c r="T306" s="14"/>
      <c r="U306" s="14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</row>
    <row r="307" spans="1:125" ht="13.8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4"/>
      <c r="T307" s="14"/>
      <c r="U307" s="14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</row>
    <row r="308" spans="1:125" ht="13.8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4"/>
      <c r="T308" s="14"/>
      <c r="U308" s="14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</row>
    <row r="309" spans="1:125" ht="13.8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4"/>
      <c r="T309" s="14"/>
      <c r="U309" s="14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</row>
    <row r="310" spans="1:125" ht="13.8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4"/>
      <c r="T310" s="14"/>
      <c r="U310" s="14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</row>
    <row r="311" spans="1:125" ht="13.8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4"/>
      <c r="T311" s="14"/>
      <c r="U311" s="14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</row>
    <row r="312" spans="1:125" ht="13.8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4"/>
      <c r="T312" s="14"/>
      <c r="U312" s="14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</row>
    <row r="313" spans="1:125" ht="13.8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4"/>
      <c r="T313" s="14"/>
      <c r="U313" s="14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</row>
    <row r="314" spans="1:125" ht="13.8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4"/>
      <c r="T314" s="14"/>
      <c r="U314" s="14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</row>
    <row r="315" spans="1:125" ht="13.8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4"/>
      <c r="T315" s="14"/>
      <c r="U315" s="14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</row>
    <row r="316" spans="1:125" ht="13.8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4"/>
      <c r="T316" s="14"/>
      <c r="U316" s="14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</row>
    <row r="317" spans="1:125" ht="13.8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</row>
    <row r="318" spans="1:125" ht="13.8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</row>
    <row r="319" spans="1:125" ht="13.8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</row>
    <row r="320" spans="1:125" ht="13.8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</row>
    <row r="321" spans="1:125" ht="13.8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</row>
    <row r="322" spans="1:125" ht="13.8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</row>
    <row r="323" spans="1:125" ht="13.8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</row>
    <row r="324" spans="1:125" ht="13.8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</row>
    <row r="325" spans="1:125" ht="13.8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</row>
    <row r="326" spans="1:125" ht="13.8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</row>
    <row r="327" spans="1:125" ht="13.8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</row>
    <row r="328" spans="1:125" ht="13.8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</row>
    <row r="329" spans="1:125" ht="13.8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</row>
    <row r="330" spans="1:125" ht="13.8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</row>
    <row r="331" spans="1:125" ht="13.8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</row>
    <row r="332" spans="1:125" ht="13.8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</row>
    <row r="333" spans="1:125" ht="13.8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</row>
    <row r="334" spans="1:125" ht="13.8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</row>
    <row r="335" spans="1:125" ht="13.8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</row>
    <row r="336" spans="1:125" ht="13.8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</row>
    <row r="337" spans="1:125" ht="13.8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</row>
    <row r="338" spans="1:125" ht="13.8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</row>
    <row r="339" spans="1:125" ht="13.8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</row>
    <row r="340" spans="1:125" ht="13.8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</row>
    <row r="341" spans="1:125" ht="13.8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</row>
    <row r="342" spans="1:125" ht="13.8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</row>
    <row r="343" spans="1:125" ht="13.8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</row>
    <row r="344" spans="1:125" ht="13.8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</row>
    <row r="345" spans="1:125" ht="13.8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</row>
    <row r="346" spans="1:125" ht="13.8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</row>
    <row r="347" spans="1:125" ht="13.8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</row>
    <row r="348" spans="1:125" ht="13.8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</row>
    <row r="349" spans="1:125" ht="13.8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</row>
    <row r="350" spans="1:125" ht="13.8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</row>
    <row r="351" spans="1:125" ht="13.8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</row>
    <row r="352" spans="1:125" ht="13.8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</row>
    <row r="353" spans="1:125" ht="13.8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</row>
    <row r="354" spans="1:125" ht="13.8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</row>
    <row r="355" spans="1:125" ht="13.8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</row>
    <row r="356" spans="1:125" ht="13.8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</row>
    <row r="357" spans="1:125" ht="13.8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</row>
    <row r="358" spans="1:125" ht="13.8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</row>
    <row r="359" spans="1:125" ht="13.8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</row>
    <row r="360" spans="1:125" ht="13.8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</row>
    <row r="361" spans="1:125" ht="13.8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</row>
    <row r="362" spans="1:125" ht="13.8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</row>
    <row r="363" spans="1:125" ht="13.8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</row>
    <row r="364" spans="1:125" ht="13.8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</row>
    <row r="365" spans="1:125" ht="13.8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</row>
    <row r="366" spans="1:125" ht="13.8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</row>
    <row r="367" spans="1:125" ht="13.8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</row>
    <row r="368" spans="1:125" ht="13.8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</row>
    <row r="369" spans="1:125" ht="13.8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</row>
    <row r="370" spans="1:125" ht="13.8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</row>
    <row r="371" spans="1:125" ht="13.8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</row>
    <row r="372" spans="1:125" ht="13.8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</row>
    <row r="373" spans="1:125" ht="13.8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</row>
    <row r="374" spans="1:125" ht="13.8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</row>
    <row r="375" spans="1:125" ht="13.8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</row>
    <row r="376" spans="1:125" ht="13.8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</row>
    <row r="377" spans="1:125" ht="13.8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</row>
    <row r="378" spans="1:125" ht="13.8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</row>
    <row r="379" spans="1:125" ht="13.8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</row>
    <row r="380" spans="1:125" ht="13.8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</row>
    <row r="381" spans="1:125" ht="13.8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</row>
    <row r="382" spans="1:125" ht="13.8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</row>
    <row r="383" spans="1:125" ht="13.8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</row>
    <row r="384" spans="1:125" ht="13.8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</row>
    <row r="385" spans="1:125" ht="13.8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</row>
    <row r="386" spans="1:125" ht="13.8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</row>
    <row r="387" spans="1:125" ht="13.8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</row>
    <row r="388" spans="1:125" ht="13.8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</row>
    <row r="389" spans="1:125" ht="13.8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</row>
    <row r="390" spans="1:125" ht="13.8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</row>
    <row r="391" spans="1:125" ht="13.8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</row>
    <row r="392" spans="1:125" ht="13.8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</row>
    <row r="393" spans="1:125" ht="13.8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</row>
    <row r="394" spans="1:125" ht="13.8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</row>
    <row r="395" spans="1:125" ht="13.8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</row>
    <row r="396" spans="1:125" ht="13.8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</row>
    <row r="397" spans="1:125" ht="13.8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</row>
    <row r="398" spans="1:125" ht="13.8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</row>
    <row r="399" spans="1:125" ht="13.8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</row>
    <row r="400" spans="1:125" ht="13.8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</row>
    <row r="401" spans="1:125" ht="13.8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</row>
    <row r="402" spans="1:125" ht="13.8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</row>
    <row r="403" spans="1:125" ht="13.8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</row>
    <row r="404" spans="1:125" ht="13.8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</row>
    <row r="405" spans="1:125" ht="13.8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</row>
    <row r="406" spans="1:125" ht="13.8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</row>
    <row r="407" spans="1:125" ht="13.8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</row>
    <row r="408" spans="1:125" ht="13.8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</row>
    <row r="409" spans="1:125" ht="13.8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</row>
    <row r="410" spans="1:125" ht="13.8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</row>
    <row r="411" spans="1:125" ht="13.8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</row>
    <row r="412" spans="1:125" ht="13.8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</row>
    <row r="413" spans="1:125" ht="13.8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</row>
    <row r="414" spans="1:125" ht="13.8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</row>
    <row r="415" spans="1:125" ht="13.8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</row>
    <row r="416" spans="1:125" ht="13.8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</row>
    <row r="417" spans="1:125" ht="13.8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</row>
    <row r="418" spans="1:125" ht="13.8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</row>
    <row r="419" spans="1:125" ht="13.8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</row>
    <row r="420" spans="1:125" ht="13.8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</row>
    <row r="421" spans="1:125" ht="13.8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</row>
    <row r="422" spans="1:125" ht="13.8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</row>
    <row r="423" spans="1:125" ht="13.8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</row>
    <row r="424" spans="1:125" ht="13.8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</row>
    <row r="425" spans="1:125" ht="13.8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</row>
    <row r="426" spans="1:125" ht="13.8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</row>
    <row r="427" spans="1:125" ht="13.8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</row>
    <row r="428" spans="1:125" ht="13.8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</row>
    <row r="429" spans="1:125" ht="13.8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</row>
    <row r="430" spans="1:125" ht="13.8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</row>
    <row r="431" spans="1:125" ht="13.8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</row>
    <row r="432" spans="1:125" ht="13.8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</row>
    <row r="433" spans="1:125" ht="13.8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</row>
    <row r="434" spans="1:125" ht="13.8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</row>
    <row r="435" spans="1:125" ht="13.8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</row>
    <row r="436" spans="1:125" ht="13.8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</row>
    <row r="437" spans="1:125" ht="13.8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</row>
    <row r="438" spans="1:125" ht="13.8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</row>
    <row r="439" spans="1:125" ht="13.8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</row>
    <row r="440" spans="1:125" ht="13.8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</row>
    <row r="441" spans="1:125" ht="13.8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</row>
    <row r="442" spans="1:125" ht="13.8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</row>
    <row r="443" spans="1:125" ht="13.8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</row>
    <row r="444" spans="1:125" ht="13.8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</row>
    <row r="445" spans="1:125" ht="13.8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</row>
    <row r="446" spans="1:125" ht="13.8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</row>
    <row r="447" spans="1:125" ht="13.8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</row>
    <row r="448" spans="1:125" ht="13.8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</row>
    <row r="449" spans="1:125" ht="13.8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</row>
    <row r="450" spans="1:125" ht="13.8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</row>
    <row r="451" spans="1:125" ht="13.8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</row>
    <row r="452" spans="1:125" ht="13.8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</row>
    <row r="453" spans="1:125" ht="13.8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</row>
    <row r="454" spans="1:125" ht="13.8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</row>
    <row r="455" spans="1:125" ht="13.8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</row>
    <row r="456" spans="1:125" ht="13.8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</row>
    <row r="457" spans="1:125" ht="13.8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</row>
    <row r="458" spans="1:125" ht="13.8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</row>
    <row r="459" spans="1:125" ht="13.8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</row>
    <row r="460" spans="1:125" ht="13.8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</row>
    <row r="461" spans="1:125" ht="13.8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</row>
    <row r="462" spans="1:125" ht="13.8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</row>
    <row r="463" spans="1:125" ht="13.8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</row>
    <row r="464" spans="1:125" ht="13.8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</row>
    <row r="465" spans="1:125" ht="13.8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</row>
    <row r="466" spans="1:125" ht="13.8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</row>
    <row r="467" spans="1:125" ht="13.8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</row>
    <row r="468" spans="1:125" ht="13.8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</row>
    <row r="469" spans="1:125" ht="13.8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</row>
    <row r="470" spans="1:125" ht="13.8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</row>
    <row r="471" spans="1:125" ht="13.8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</row>
    <row r="472" spans="1:125" ht="13.8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</row>
    <row r="473" spans="1:125" ht="13.8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</row>
    <row r="474" spans="1:125" ht="13.8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</row>
    <row r="475" spans="1:125" ht="13.8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</row>
    <row r="476" spans="1:125" ht="13.8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</row>
    <row r="477" spans="1:125" ht="13.8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</row>
    <row r="478" spans="1:125" ht="13.8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</row>
    <row r="479" spans="1:125" ht="13.8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</row>
    <row r="480" spans="1:125" ht="13.8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</row>
    <row r="481" spans="1:125" ht="13.8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</row>
    <row r="482" spans="1:125" ht="13.8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</row>
    <row r="483" spans="1:125" ht="13.8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</row>
    <row r="484" spans="1:125" ht="13.8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</row>
    <row r="485" spans="1:125" ht="13.8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</row>
    <row r="486" spans="1:125" ht="13.8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</row>
    <row r="487" spans="1:125" ht="13.8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</row>
    <row r="488" spans="1:125" ht="13.8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</row>
    <row r="489" spans="1:125" ht="13.8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</row>
    <row r="490" spans="1:125" ht="13.8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</row>
    <row r="491" spans="1:125" ht="13.8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</row>
    <row r="492" spans="1:125" ht="13.8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</row>
    <row r="493" spans="1:125" ht="13.8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</row>
    <row r="494" spans="1:125" ht="13.8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</row>
    <row r="495" spans="1:125" ht="13.8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</row>
    <row r="496" spans="1:125" ht="13.8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</row>
    <row r="497" spans="1:125" ht="13.8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</row>
    <row r="498" spans="1:125" ht="13.8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</row>
    <row r="499" spans="1:125" ht="13.8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</row>
    <row r="500" spans="1:125" ht="13.8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</row>
    <row r="501" spans="1:125" ht="13.8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</row>
    <row r="502" spans="1:125" ht="13.8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</row>
    <row r="503" spans="1:125" ht="13.8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</row>
    <row r="504" spans="1:125" ht="13.8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</row>
    <row r="505" spans="1:125" ht="13.8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</row>
    <row r="506" spans="1:125" ht="13.8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</row>
    <row r="507" spans="1:125" ht="13.8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</row>
    <row r="508" spans="1:125" ht="13.8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</row>
    <row r="509" spans="1:125" ht="13.8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</row>
    <row r="510" spans="1:125" ht="13.8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</row>
    <row r="511" spans="1:125" ht="13.8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</row>
    <row r="512" spans="1:125" ht="13.8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</row>
    <row r="513" spans="1:125" ht="13.8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</row>
    <row r="514" spans="1:125" ht="13.8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</row>
    <row r="515" spans="1:125" ht="13.8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</row>
    <row r="516" spans="1:125" ht="13.8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</row>
    <row r="517" spans="1:125" ht="13.8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</row>
    <row r="518" spans="1:125" ht="13.8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</row>
    <row r="519" spans="1:125" ht="13.8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</row>
    <row r="520" spans="1:125" ht="13.8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</row>
    <row r="521" spans="1:125" ht="13.8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</row>
    <row r="522" spans="1:125" ht="13.8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</row>
    <row r="523" spans="1:125" ht="13.8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</row>
    <row r="524" spans="1:125" ht="13.8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</row>
    <row r="525" spans="1:125" ht="13.8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</row>
    <row r="526" spans="1:125" ht="13.8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</row>
    <row r="527" spans="1:125" ht="13.8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</row>
    <row r="528" spans="1:125" ht="13.8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</row>
    <row r="529" spans="1:125" ht="13.8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</row>
    <row r="530" spans="1:125" ht="13.8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</row>
    <row r="531" spans="1:125" ht="13.8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</row>
    <row r="532" spans="1:125" ht="13.8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</row>
    <row r="533" spans="1:125" ht="13.8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</row>
    <row r="534" spans="1:125" ht="13.8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</row>
    <row r="535" spans="1:125" ht="13.8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</row>
    <row r="536" spans="1:125" ht="13.8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</row>
    <row r="537" spans="1:125" ht="13.8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</row>
    <row r="538" spans="1:125" ht="13.8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</row>
    <row r="539" spans="1:125" ht="13.8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</row>
    <row r="540" spans="1:125" ht="13.8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</row>
    <row r="541" spans="1:125" ht="13.8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</row>
    <row r="542" spans="1:125" ht="13.8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</row>
    <row r="543" spans="1:125" ht="13.8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</row>
    <row r="544" spans="1:125" ht="13.8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</row>
    <row r="545" spans="1:125" ht="13.8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</row>
    <row r="546" spans="1:125" ht="13.8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</row>
    <row r="547" spans="1:125" ht="13.8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</row>
    <row r="548" spans="1:125" ht="13.8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</row>
    <row r="549" spans="1:125" ht="13.8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</row>
    <row r="550" spans="1:125" ht="13.8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</row>
    <row r="551" spans="1:125" ht="13.8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</row>
    <row r="552" spans="1:125" ht="13.8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</row>
    <row r="553" spans="1:125" ht="13.8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</row>
    <row r="554" spans="1:125" ht="13.8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</row>
    <row r="555" spans="1:125" ht="13.8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</row>
    <row r="556" spans="1:125" ht="13.8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</row>
    <row r="557" spans="1:125" ht="13.8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</row>
    <row r="558" spans="1:125" ht="13.8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</row>
    <row r="559" spans="1:125" ht="13.8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</row>
    <row r="560" spans="1:125" ht="13.8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</row>
    <row r="561" spans="1:125" ht="13.8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</row>
    <row r="562" spans="1:125" ht="13.8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</row>
    <row r="563" spans="1:125" ht="13.8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</row>
    <row r="564" spans="1:125" ht="13.8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</row>
    <row r="565" spans="1:125" ht="13.8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</row>
    <row r="566" spans="1:125" ht="13.8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</row>
    <row r="567" spans="1:125" ht="13.8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</row>
    <row r="568" spans="1:125" ht="13.8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</row>
    <row r="569" spans="1:125" ht="13.8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</row>
    <row r="570" spans="1:125" ht="13.8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</row>
    <row r="571" spans="1:125" ht="13.8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</row>
    <row r="572" spans="1:125" ht="13.8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</row>
    <row r="573" spans="1:125" ht="13.8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</row>
    <row r="574" spans="1:125" ht="13.8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</row>
    <row r="575" spans="1:125" ht="13.8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</row>
    <row r="576" spans="1:125" ht="13.8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</row>
    <row r="577" spans="1:125" ht="13.8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</row>
    <row r="578" spans="1:125" ht="13.8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</row>
    <row r="579" spans="1:125" ht="13.8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</row>
    <row r="580" spans="1:125" ht="13.8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</row>
    <row r="581" spans="1:125" ht="13.8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</row>
    <row r="582" spans="1:125" ht="13.8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</row>
    <row r="583" spans="1:125" ht="13.8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</row>
    <row r="584" spans="1:125" ht="13.8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</row>
    <row r="585" spans="1:125" ht="13.8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</row>
    <row r="586" spans="1:125" ht="13.8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</row>
    <row r="587" spans="1:125" ht="13.8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</row>
    <row r="588" spans="1:125" ht="13.8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</row>
    <row r="589" spans="1:125" ht="13.8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</row>
    <row r="590" spans="1:125" ht="13.8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</row>
    <row r="591" spans="1:125" ht="13.8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</row>
    <row r="592" spans="1:125" ht="13.8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</row>
    <row r="593" spans="1:125" ht="13.8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</row>
    <row r="594" spans="1:125" ht="13.8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</row>
    <row r="595" spans="1:125" ht="13.8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</row>
    <row r="596" spans="1:125" ht="13.8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</row>
    <row r="597" spans="1:125" ht="13.8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</row>
    <row r="598" spans="1:125" ht="13.8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</row>
    <row r="599" spans="1:125" ht="13.8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</row>
    <row r="600" spans="1:125" ht="13.8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</row>
    <row r="601" spans="1:125" ht="13.8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</row>
    <row r="602" spans="1:125" ht="13.8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</row>
    <row r="603" spans="1:125" ht="13.8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</row>
    <row r="604" spans="1:125" ht="13.8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</row>
    <row r="605" spans="1:125" ht="13.8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</row>
    <row r="606" spans="1:125" ht="13.8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</row>
    <row r="607" spans="1:125" ht="13.8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</row>
    <row r="608" spans="1:125" ht="13.8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</row>
    <row r="609" spans="1:125" ht="13.8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</row>
    <row r="610" spans="1:125" ht="13.8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</row>
    <row r="611" spans="1:125" ht="13.8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</row>
    <row r="612" spans="1:125" ht="13.8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</row>
    <row r="613" spans="1:125" ht="13.8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</row>
    <row r="614" spans="1:125" ht="13.8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</row>
    <row r="615" spans="1:125" ht="13.8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</row>
    <row r="616" spans="1:125" ht="13.8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</row>
    <row r="617" spans="1:125" ht="13.8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</row>
    <row r="618" spans="1:125" ht="13.8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</row>
    <row r="619" spans="1:125" ht="13.8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</row>
    <row r="620" spans="1:125" ht="13.8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</row>
    <row r="621" spans="1:125" ht="13.8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</row>
    <row r="622" spans="1:125" ht="13.8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</row>
    <row r="623" spans="1:125" ht="13.8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</row>
    <row r="624" spans="1:125" ht="13.8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</row>
    <row r="625" spans="1:125" ht="13.8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</row>
    <row r="626" spans="1:125" ht="13.8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</row>
    <row r="627" spans="1:125" ht="13.8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</row>
    <row r="628" spans="1:125" ht="13.8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</row>
    <row r="629" spans="1:125" ht="13.8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</row>
    <row r="630" spans="1:125" ht="13.8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</row>
    <row r="631" spans="1:125" ht="13.8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</row>
    <row r="632" spans="1:125" ht="13.8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</row>
    <row r="633" spans="1:125" ht="13.8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</row>
    <row r="634" spans="1:125" ht="13.8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</row>
    <row r="635" spans="1:125" ht="13.8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</row>
    <row r="636" spans="1:125" ht="13.8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</row>
    <row r="637" spans="1:125" ht="13.8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</row>
    <row r="638" spans="1:125" ht="13.8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</row>
    <row r="639" spans="1:125" ht="13.8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</row>
    <row r="640" spans="1:125" ht="13.8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</row>
    <row r="641" spans="1:125" ht="13.8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</row>
    <row r="642" spans="1:125" ht="13.8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</row>
    <row r="643" spans="1:125" ht="13.8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</row>
    <row r="644" spans="1:125" ht="13.8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</row>
    <row r="645" spans="1:125" ht="13.8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</row>
    <row r="646" spans="1:125" ht="13.8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</row>
    <row r="647" spans="1:125" ht="13.8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</row>
    <row r="648" spans="1:125" ht="13.8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</row>
    <row r="649" spans="1:125" ht="13.8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</row>
    <row r="650" spans="1:125" ht="13.8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</row>
    <row r="651" spans="1:125" ht="13.8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</row>
    <row r="652" spans="1:125" ht="13.8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</row>
    <row r="653" spans="1:125" ht="13.8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</row>
    <row r="654" spans="1:125" ht="13.8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</row>
    <row r="655" spans="1:125" ht="13.8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</row>
    <row r="656" spans="1:125" ht="13.8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</row>
    <row r="657" spans="1:125" ht="13.8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</row>
    <row r="658" spans="1:125" ht="13.8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</row>
    <row r="659" spans="1:125" ht="13.8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</row>
    <row r="660" spans="1:125" ht="13.8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</row>
    <row r="661" spans="1:125" ht="13.8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</row>
    <row r="662" spans="1:125" ht="13.8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</row>
    <row r="663" spans="1:125" ht="13.8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</row>
    <row r="664" spans="1:125" ht="13.8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</row>
    <row r="665" spans="1:125" ht="13.8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</row>
    <row r="666" spans="1:125" ht="13.8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</row>
    <row r="667" spans="1:125" ht="13.8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</row>
    <row r="668" spans="1:125" ht="13.8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</row>
    <row r="669" spans="1:125" ht="13.8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</row>
    <row r="670" spans="1:125" ht="13.8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</row>
    <row r="671" spans="1:125" ht="13.8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</row>
    <row r="672" spans="1:125" ht="13.8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</row>
    <row r="673" spans="1:125" ht="13.8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</row>
    <row r="674" spans="1:125" ht="13.8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</row>
    <row r="675" spans="1:125" ht="13.8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</row>
    <row r="676" spans="1:125" ht="13.8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</row>
    <row r="677" spans="1:125" ht="13.8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</row>
    <row r="678" spans="1:125" ht="13.8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</row>
    <row r="679" spans="1:125" ht="13.8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</row>
    <row r="680" spans="1:125" ht="13.8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</row>
    <row r="681" spans="1:125" ht="13.8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</row>
    <row r="682" spans="1:125" ht="13.8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</row>
    <row r="683" spans="1:125" ht="13.8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</row>
    <row r="684" spans="1:125" ht="13.8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</row>
    <row r="685" spans="1:125" ht="13.8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</row>
    <row r="686" spans="1:125" ht="13.8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</row>
    <row r="687" spans="1:125" ht="13.8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</row>
    <row r="688" spans="1:125" ht="13.8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</row>
    <row r="689" spans="1:125" ht="13.8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</row>
    <row r="690" spans="1:125" ht="13.8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</row>
    <row r="691" spans="1:125" ht="13.8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</row>
    <row r="692" spans="1:125" ht="13.8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</row>
    <row r="693" spans="1:125" ht="13.8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</row>
    <row r="694" spans="1:125" ht="13.8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</row>
    <row r="695" spans="1:125" ht="13.8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</row>
    <row r="696" spans="1:125" ht="13.8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</row>
    <row r="697" spans="1:125" ht="13.8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</row>
    <row r="698" spans="1:125" ht="13.8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</row>
    <row r="699" spans="1:125" ht="13.8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</row>
    <row r="700" spans="1:125" ht="13.8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</row>
    <row r="701" spans="1:125" ht="13.8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</row>
    <row r="702" spans="1:125" ht="13.8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</row>
    <row r="703" spans="1:125" ht="13.8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</row>
    <row r="704" spans="1:125" ht="13.8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</row>
    <row r="705" spans="1:125" ht="13.8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</row>
    <row r="706" spans="1:125" ht="13.8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</row>
    <row r="707" spans="1:125" ht="13.8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</row>
    <row r="708" spans="1:125" ht="13.8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</row>
    <row r="709" spans="1:125" ht="13.8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</row>
    <row r="710" spans="1:125" ht="13.8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</row>
    <row r="711" spans="1:125" ht="13.8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</row>
    <row r="712" spans="1:125" ht="13.8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</row>
    <row r="713" spans="1:125" ht="13.8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</row>
    <row r="714" spans="1:125" ht="13.8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</row>
    <row r="715" spans="1:125" ht="13.8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</row>
    <row r="716" spans="1:125" ht="13.8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</row>
    <row r="717" spans="1:125" ht="13.8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</row>
    <row r="718" spans="1:125" ht="13.8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</row>
    <row r="719" spans="1:125" ht="13.8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</row>
    <row r="720" spans="1:125" ht="13.8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</row>
    <row r="721" spans="1:125" ht="13.8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</row>
    <row r="722" spans="1:125" ht="13.8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</row>
    <row r="723" spans="1:125" ht="13.8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</row>
    <row r="724" spans="1:125" ht="13.8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</row>
    <row r="725" spans="1:125" ht="13.8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</row>
    <row r="726" spans="1:125" ht="13.8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</row>
    <row r="727" spans="1:125" ht="13.8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</row>
    <row r="728" spans="1:125" ht="13.8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</row>
    <row r="729" spans="1:125" ht="13.8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</row>
    <row r="730" spans="1:125" ht="13.8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</row>
    <row r="731" spans="1:125" ht="13.8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</row>
    <row r="732" spans="1:125" ht="13.8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</row>
    <row r="733" spans="1:125" ht="13.8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</row>
    <row r="1000" spans="648:648" ht="15.6" x14ac:dyDescent="0.3">
      <c r="XX1000" s="2">
        <v>117383</v>
      </c>
    </row>
  </sheetData>
  <mergeCells count="1">
    <mergeCell ref="V1:V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196-42AD-41F3-B17E-C3F0AC715E92}">
  <dimension ref="A1:D52"/>
  <sheetViews>
    <sheetView zoomScale="70" zoomScaleNormal="70" workbookViewId="0">
      <selection activeCell="C33" sqref="C33"/>
    </sheetView>
  </sheetViews>
  <sheetFormatPr defaultColWidth="9" defaultRowHeight="13.2" x14ac:dyDescent="0.25"/>
  <cols>
    <col min="1" max="1" width="46.69921875" style="390" bestFit="1" customWidth="1"/>
    <col min="2" max="2" width="12.5" style="390" bestFit="1" customWidth="1"/>
    <col min="3" max="3" width="11.19921875" style="390" bestFit="1" customWidth="1"/>
    <col min="4" max="4" width="13.09765625" style="390" bestFit="1" customWidth="1"/>
    <col min="5" max="16384" width="9" style="390"/>
  </cols>
  <sheetData>
    <row r="1" spans="1:4" ht="12.6" customHeight="1" x14ac:dyDescent="0.25">
      <c r="A1" s="400" t="s">
        <v>418</v>
      </c>
      <c r="B1" s="404" t="s">
        <v>368</v>
      </c>
      <c r="C1" s="401" t="s">
        <v>380</v>
      </c>
      <c r="D1" s="401" t="s">
        <v>422</v>
      </c>
    </row>
    <row r="2" spans="1:4" ht="12.9" customHeight="1" thickBot="1" x14ac:dyDescent="0.3">
      <c r="A2" s="400"/>
      <c r="B2" s="404"/>
      <c r="C2" s="402"/>
      <c r="D2" s="402"/>
    </row>
    <row r="3" spans="1:4" ht="15.6" x14ac:dyDescent="0.3">
      <c r="A3" s="179" t="s">
        <v>417</v>
      </c>
      <c r="B3" s="363">
        <f>'Fin. Ratios (Trend Analysis)'!H6</f>
        <v>0.83186712113834338</v>
      </c>
      <c r="C3" s="363">
        <v>0.8</v>
      </c>
      <c r="D3" s="363">
        <v>1.07</v>
      </c>
    </row>
    <row r="4" spans="1:4" ht="15.6" x14ac:dyDescent="0.3">
      <c r="A4" s="179" t="s">
        <v>416</v>
      </c>
      <c r="B4" s="363">
        <f>'Fin. Ratios (Trend Analysis)'!H7</f>
        <v>0.20194773575718228</v>
      </c>
      <c r="C4" s="363">
        <v>1.2</v>
      </c>
      <c r="D4" s="363">
        <v>0.52</v>
      </c>
    </row>
    <row r="5" spans="1:4" ht="16.2" thickBot="1" x14ac:dyDescent="0.35">
      <c r="A5" s="179" t="s">
        <v>415</v>
      </c>
      <c r="B5" s="374">
        <f>'Fin. Ratios (Trend Analysis)'!H8</f>
        <v>0.10676838175620841</v>
      </c>
      <c r="C5" s="374">
        <v>0.2</v>
      </c>
      <c r="D5" s="374">
        <v>0.33</v>
      </c>
    </row>
    <row r="6" spans="1:4" ht="16.2" thickBot="1" x14ac:dyDescent="0.35">
      <c r="A6" s="198"/>
      <c r="B6" s="197"/>
      <c r="C6" s="371"/>
      <c r="D6" s="359"/>
    </row>
    <row r="7" spans="1:4" ht="15" customHeight="1" x14ac:dyDescent="0.3">
      <c r="A7" s="104"/>
      <c r="B7" s="404" t="s">
        <v>368</v>
      </c>
      <c r="C7" s="401" t="s">
        <v>380</v>
      </c>
      <c r="D7" s="401" t="s">
        <v>422</v>
      </c>
    </row>
    <row r="8" spans="1:4" ht="15.6" customHeight="1" thickBot="1" x14ac:dyDescent="0.35">
      <c r="A8" s="102" t="s">
        <v>414</v>
      </c>
      <c r="B8" s="404"/>
      <c r="C8" s="402"/>
      <c r="D8" s="402"/>
    </row>
    <row r="9" spans="1:4" ht="15.6" x14ac:dyDescent="0.3">
      <c r="A9" s="179" t="s">
        <v>413</v>
      </c>
      <c r="B9" s="364">
        <f>'Fin. Ratios (Trend Analysis)'!H12</f>
        <v>2.5583976164723317</v>
      </c>
      <c r="C9" s="364">
        <v>1.9</v>
      </c>
      <c r="D9" s="364">
        <v>3.64</v>
      </c>
    </row>
    <row r="10" spans="1:4" ht="15.6" x14ac:dyDescent="0.3">
      <c r="A10" s="179" t="s">
        <v>412</v>
      </c>
      <c r="B10" s="347">
        <f>'Fin. Ratios (Trend Analysis)'!H13</f>
        <v>3.6789519262542587</v>
      </c>
      <c r="C10" s="347">
        <v>4.3</v>
      </c>
      <c r="D10" s="347">
        <v>8.11</v>
      </c>
    </row>
    <row r="11" spans="1:4" ht="15.6" x14ac:dyDescent="0.3">
      <c r="A11" s="179" t="s">
        <v>411</v>
      </c>
      <c r="B11" s="347">
        <f>'Fin. Ratios (Trend Analysis)'!H14</f>
        <v>8.7132733367339501</v>
      </c>
      <c r="C11" s="347">
        <v>8.5</v>
      </c>
      <c r="D11" s="347">
        <v>12.28</v>
      </c>
    </row>
    <row r="12" spans="1:4" ht="15.6" x14ac:dyDescent="0.3">
      <c r="A12" s="179" t="s">
        <v>410</v>
      </c>
      <c r="B12" s="347">
        <f>'Fin. Ratios (Trend Analysis)'!H15</f>
        <v>41.890112463385108</v>
      </c>
      <c r="C12" s="347">
        <v>44.7</v>
      </c>
      <c r="D12" s="347">
        <v>30.21</v>
      </c>
    </row>
    <row r="13" spans="1:4" ht="15.6" x14ac:dyDescent="0.3">
      <c r="A13" s="179" t="s">
        <v>409</v>
      </c>
      <c r="B13" s="347">
        <f>'Fin. Ratios (Trend Analysis)'!H16</f>
        <v>4.9719003247452136</v>
      </c>
      <c r="C13" s="347">
        <v>11.5</v>
      </c>
      <c r="D13" s="347">
        <v>3.47</v>
      </c>
    </row>
    <row r="14" spans="1:4" ht="15.6" x14ac:dyDescent="0.3">
      <c r="A14" s="179" t="s">
        <v>408</v>
      </c>
      <c r="B14" s="347">
        <f>'Fin. Ratios (Trend Analysis)'!H17</f>
        <v>43.355335372546719</v>
      </c>
      <c r="C14" s="347">
        <v>48</v>
      </c>
      <c r="D14" s="347">
        <v>31.07</v>
      </c>
    </row>
    <row r="15" spans="1:4" ht="16.2" thickBot="1" x14ac:dyDescent="0.35">
      <c r="A15" s="198" t="s">
        <v>407</v>
      </c>
      <c r="B15" s="344">
        <f>'Fin. Ratios (Trend Analysis)'!H18</f>
        <v>3.5066774155836029</v>
      </c>
      <c r="C15" s="344">
        <f>C12+C13-C14</f>
        <v>8.2000000000000028</v>
      </c>
      <c r="D15" s="344">
        <v>2.6099999999999994</v>
      </c>
    </row>
    <row r="16" spans="1:4" ht="16.2" thickBot="1" x14ac:dyDescent="0.35">
      <c r="A16" s="179"/>
      <c r="B16" s="25"/>
      <c r="C16" s="359"/>
      <c r="D16" s="359"/>
    </row>
    <row r="17" spans="1:4" ht="15" customHeight="1" x14ac:dyDescent="0.3">
      <c r="A17" s="104"/>
      <c r="B17" s="405" t="s">
        <v>368</v>
      </c>
      <c r="C17" s="403" t="s">
        <v>380</v>
      </c>
      <c r="D17" s="403" t="s">
        <v>422</v>
      </c>
    </row>
    <row r="18" spans="1:4" ht="15.6" customHeight="1" thickBot="1" x14ac:dyDescent="0.35">
      <c r="A18" s="395" t="s">
        <v>406</v>
      </c>
      <c r="B18" s="406"/>
      <c r="C18" s="402"/>
      <c r="D18" s="402"/>
    </row>
    <row r="19" spans="1:4" ht="15.6" x14ac:dyDescent="0.3">
      <c r="A19" s="179" t="s">
        <v>405</v>
      </c>
      <c r="B19" s="364">
        <v>0.24295262659519254</v>
      </c>
      <c r="C19" s="364"/>
      <c r="D19" s="364"/>
    </row>
    <row r="20" spans="1:4" ht="15.6" x14ac:dyDescent="0.3">
      <c r="A20" s="179" t="s">
        <v>404</v>
      </c>
      <c r="B20" s="347">
        <v>0.73122190291076905</v>
      </c>
      <c r="C20" s="347">
        <v>0.89200000000000002</v>
      </c>
      <c r="D20" s="347">
        <v>0.42699999999999999</v>
      </c>
    </row>
    <row r="21" spans="1:4" ht="15.6" x14ac:dyDescent="0.3">
      <c r="A21" s="179" t="s">
        <v>403</v>
      </c>
      <c r="B21" s="347">
        <v>0.21705315789682209</v>
      </c>
      <c r="C21" s="347"/>
      <c r="D21" s="347"/>
    </row>
    <row r="22" spans="1:4" ht="15.6" x14ac:dyDescent="0.3">
      <c r="A22" s="179" t="s">
        <v>402</v>
      </c>
      <c r="B22" s="347">
        <v>0.65327148495725074</v>
      </c>
      <c r="C22" s="347">
        <v>0.4</v>
      </c>
      <c r="D22" s="347">
        <v>0.31140000000000001</v>
      </c>
    </row>
    <row r="23" spans="1:4" ht="16.2" thickBot="1" x14ac:dyDescent="0.35">
      <c r="A23" s="198" t="s">
        <v>401</v>
      </c>
      <c r="B23" s="344">
        <v>9.2124487513976892</v>
      </c>
      <c r="C23" s="344"/>
      <c r="D23" s="344"/>
    </row>
    <row r="24" spans="1:4" ht="16.2" thickBot="1" x14ac:dyDescent="0.35">
      <c r="A24" s="179"/>
      <c r="B24" s="25"/>
      <c r="C24" s="359"/>
      <c r="D24" s="359"/>
    </row>
    <row r="25" spans="1:4" ht="15" customHeight="1" x14ac:dyDescent="0.3">
      <c r="A25" s="104"/>
      <c r="B25" s="407" t="s">
        <v>368</v>
      </c>
      <c r="C25" s="403" t="s">
        <v>380</v>
      </c>
      <c r="D25" s="401" t="s">
        <v>422</v>
      </c>
    </row>
    <row r="26" spans="1:4" ht="15.6" customHeight="1" thickBot="1" x14ac:dyDescent="0.35">
      <c r="A26" s="395" t="s">
        <v>400</v>
      </c>
      <c r="B26" s="408"/>
      <c r="C26" s="402"/>
      <c r="D26" s="402"/>
    </row>
    <row r="27" spans="1:4" ht="15.6" x14ac:dyDescent="0.3">
      <c r="A27" s="179" t="s">
        <v>399</v>
      </c>
      <c r="B27" s="31">
        <v>0.25931300204262725</v>
      </c>
      <c r="C27" s="31">
        <v>0.27500000000000002</v>
      </c>
      <c r="D27" s="351">
        <v>0.1242</v>
      </c>
    </row>
    <row r="28" spans="1:4" ht="15.6" x14ac:dyDescent="0.3">
      <c r="A28" s="179" t="s">
        <v>398</v>
      </c>
      <c r="B28" s="31">
        <v>3.8277193346517233E-2</v>
      </c>
      <c r="C28" s="31">
        <v>2.5999999999999999E-2</v>
      </c>
      <c r="D28" s="351">
        <v>3.5099999999999999E-2</v>
      </c>
    </row>
    <row r="29" spans="1:4" ht="15.6" x14ac:dyDescent="0.3">
      <c r="A29" s="179" t="s">
        <v>397</v>
      </c>
      <c r="B29" s="31">
        <v>2.402061520402269E-2</v>
      </c>
      <c r="C29" s="31">
        <v>0.02</v>
      </c>
      <c r="D29" s="351">
        <v>2.5999999999999999E-2</v>
      </c>
    </row>
    <row r="30" spans="1:4" ht="15.6" x14ac:dyDescent="0.3">
      <c r="A30" s="179" t="s">
        <v>396</v>
      </c>
      <c r="B30" s="31">
        <v>6.1454284684170697E-2</v>
      </c>
      <c r="C30" s="31">
        <v>4.9000000000000002E-2</v>
      </c>
      <c r="D30" s="351">
        <v>7.9799999999999996E-2</v>
      </c>
    </row>
    <row r="31" spans="1:4" ht="15.6" x14ac:dyDescent="0.3">
      <c r="A31" s="179" t="s">
        <v>395</v>
      </c>
      <c r="B31" s="31">
        <v>0.18496082803687053</v>
      </c>
      <c r="C31" s="31">
        <v>0.14799999999999999</v>
      </c>
      <c r="D31" s="351">
        <v>0.27529999999999999</v>
      </c>
    </row>
    <row r="32" spans="1:4" ht="15.6" x14ac:dyDescent="0.3">
      <c r="A32" s="365" t="s">
        <v>394</v>
      </c>
      <c r="B32" s="31">
        <v>0.18496082803687053</v>
      </c>
      <c r="C32" s="364"/>
      <c r="D32" s="363"/>
    </row>
    <row r="33" spans="1:4" ht="15.6" x14ac:dyDescent="0.3">
      <c r="A33" s="179" t="s">
        <v>393</v>
      </c>
      <c r="B33" s="347">
        <v>2.5583976164723317</v>
      </c>
      <c r="C33" s="347"/>
      <c r="D33" s="346"/>
    </row>
    <row r="34" spans="1:4" ht="15.6" x14ac:dyDescent="0.3">
      <c r="A34" s="179" t="s">
        <v>392</v>
      </c>
      <c r="B34" s="31">
        <v>2.402061520402269E-2</v>
      </c>
      <c r="C34" s="347"/>
      <c r="D34" s="346"/>
    </row>
    <row r="35" spans="1:4" ht="16.2" thickBot="1" x14ac:dyDescent="0.35">
      <c r="A35" s="198" t="s">
        <v>391</v>
      </c>
      <c r="B35" s="396">
        <v>3.0097303871883234</v>
      </c>
      <c r="C35" s="344"/>
      <c r="D35" s="343"/>
    </row>
    <row r="36" spans="1:4" ht="16.2" thickBot="1" x14ac:dyDescent="0.35">
      <c r="A36" s="179"/>
      <c r="B36" s="25"/>
      <c r="C36" s="359"/>
      <c r="D36" s="359"/>
    </row>
    <row r="37" spans="1:4" ht="15" customHeight="1" x14ac:dyDescent="0.3">
      <c r="A37" s="104"/>
      <c r="B37" s="404" t="s">
        <v>368</v>
      </c>
      <c r="C37" s="401" t="s">
        <v>380</v>
      </c>
      <c r="D37" s="401" t="s">
        <v>422</v>
      </c>
    </row>
    <row r="38" spans="1:4" ht="15.6" customHeight="1" thickBot="1" x14ac:dyDescent="0.35">
      <c r="A38" s="395" t="s">
        <v>390</v>
      </c>
      <c r="B38" s="404"/>
      <c r="C38" s="402"/>
      <c r="D38" s="402"/>
    </row>
    <row r="39" spans="1:4" ht="16.8" thickBot="1" x14ac:dyDescent="0.4">
      <c r="A39" s="321" t="s">
        <v>389</v>
      </c>
      <c r="B39" s="394">
        <v>443696.25</v>
      </c>
      <c r="C39" s="393"/>
      <c r="D39" s="392">
        <f>390764400000/1000000</f>
        <v>390764.4</v>
      </c>
    </row>
    <row r="40" spans="1:4" ht="15.6" x14ac:dyDescent="0.3">
      <c r="A40" s="179" t="s">
        <v>388</v>
      </c>
      <c r="B40" s="31">
        <v>1.3838295906264703E-2</v>
      </c>
      <c r="C40" s="31"/>
      <c r="D40" s="351"/>
    </row>
    <row r="41" spans="1:4" ht="15.6" x14ac:dyDescent="0.3">
      <c r="A41" s="179" t="s">
        <v>387</v>
      </c>
      <c r="B41" s="347">
        <v>28.605264006189156</v>
      </c>
      <c r="C41" s="347">
        <v>29.6</v>
      </c>
      <c r="D41" s="346"/>
    </row>
    <row r="42" spans="1:4" ht="15.6" x14ac:dyDescent="0.3">
      <c r="A42" s="179" t="s">
        <v>386</v>
      </c>
      <c r="B42" s="347">
        <v>12.419421429771035</v>
      </c>
      <c r="C42" s="347"/>
      <c r="D42" s="346"/>
    </row>
    <row r="43" spans="1:4" ht="16.2" thickBot="1" x14ac:dyDescent="0.35">
      <c r="A43" s="179" t="s">
        <v>385</v>
      </c>
      <c r="B43" s="347">
        <v>5.2908533167980352</v>
      </c>
      <c r="C43" s="347">
        <v>5</v>
      </c>
      <c r="D43" s="346">
        <v>15.58</v>
      </c>
    </row>
    <row r="44" spans="1:4" ht="16.8" thickBot="1" x14ac:dyDescent="0.4">
      <c r="A44" s="321" t="s">
        <v>384</v>
      </c>
      <c r="B44" s="353">
        <v>501638.25</v>
      </c>
      <c r="C44" s="349"/>
      <c r="D44" s="320">
        <f>386851100000/1000000</f>
        <v>386851.1</v>
      </c>
    </row>
    <row r="45" spans="1:4" ht="15.6" x14ac:dyDescent="0.3">
      <c r="A45" s="179" t="s">
        <v>383</v>
      </c>
      <c r="B45" s="391">
        <v>0.77684606891040775</v>
      </c>
      <c r="C45" s="347">
        <v>0.9</v>
      </c>
      <c r="D45" s="346">
        <v>1.59</v>
      </c>
    </row>
    <row r="46" spans="1:4" ht="15.6" x14ac:dyDescent="0.3">
      <c r="A46" s="179" t="s">
        <v>382</v>
      </c>
      <c r="B46" s="347">
        <v>20.295272484524823</v>
      </c>
      <c r="C46" s="347">
        <v>20.100000000000001</v>
      </c>
      <c r="D46" s="346">
        <v>45.39</v>
      </c>
    </row>
    <row r="47" spans="1:4" ht="16.2" thickBot="1" x14ac:dyDescent="0.35">
      <c r="A47" s="198" t="s">
        <v>381</v>
      </c>
      <c r="B47" s="344">
        <v>13.717206726825266</v>
      </c>
      <c r="C47" s="344">
        <v>12.4</v>
      </c>
      <c r="D47" s="343">
        <v>34.94</v>
      </c>
    </row>
    <row r="48" spans="1:4" ht="16.2" thickBot="1" x14ac:dyDescent="0.35">
      <c r="A48" s="1"/>
      <c r="B48" s="1"/>
      <c r="C48" s="1"/>
      <c r="D48" s="1"/>
    </row>
    <row r="49" spans="1:4" ht="15" customHeight="1" x14ac:dyDescent="0.3">
      <c r="A49" s="104"/>
      <c r="B49" s="404" t="s">
        <v>368</v>
      </c>
      <c r="C49" s="401" t="s">
        <v>380</v>
      </c>
      <c r="D49" s="401" t="s">
        <v>422</v>
      </c>
    </row>
    <row r="50" spans="1:4" ht="15.6" customHeight="1" thickBot="1" x14ac:dyDescent="0.35">
      <c r="A50" s="102" t="s">
        <v>377</v>
      </c>
      <c r="B50" s="404"/>
      <c r="C50" s="402"/>
      <c r="D50" s="402"/>
    </row>
    <row r="51" spans="1:4" ht="15.6" x14ac:dyDescent="0.3">
      <c r="A51" s="179" t="s">
        <v>376</v>
      </c>
      <c r="B51" s="179"/>
      <c r="C51" s="334"/>
      <c r="D51" s="334"/>
    </row>
    <row r="52" spans="1:4" ht="16.2" thickBot="1" x14ac:dyDescent="0.35">
      <c r="A52" s="198" t="s">
        <v>375</v>
      </c>
      <c r="B52" s="198"/>
      <c r="C52" s="331"/>
      <c r="D52" s="331"/>
    </row>
  </sheetData>
  <mergeCells count="19">
    <mergeCell ref="C7:C8"/>
    <mergeCell ref="C17:C18"/>
    <mergeCell ref="C25:C26"/>
    <mergeCell ref="C37:C38"/>
    <mergeCell ref="C49:C50"/>
    <mergeCell ref="A1:A2"/>
    <mergeCell ref="D1:D2"/>
    <mergeCell ref="D7:D8"/>
    <mergeCell ref="D17:D18"/>
    <mergeCell ref="D25:D26"/>
    <mergeCell ref="D37:D38"/>
    <mergeCell ref="D49:D50"/>
    <mergeCell ref="C1:C2"/>
    <mergeCell ref="B1:B2"/>
    <mergeCell ref="B7:B8"/>
    <mergeCell ref="B17:B18"/>
    <mergeCell ref="B25:B26"/>
    <mergeCell ref="B37:B38"/>
    <mergeCell ref="B49:B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A2CA-14A8-47E4-91A0-6C34D1320DB5}">
  <sheetPr>
    <tabColor rgb="FF00B050"/>
  </sheetPr>
  <dimension ref="A1:XY1000"/>
  <sheetViews>
    <sheetView topLeftCell="A2" zoomScale="40" zoomScaleNormal="50" workbookViewId="0">
      <pane xSplit="1" topLeftCell="C1" activePane="topRight" state="frozen"/>
      <selection activeCell="C5" sqref="C5"/>
      <selection pane="topRight" activeCell="G68" sqref="G68"/>
    </sheetView>
  </sheetViews>
  <sheetFormatPr defaultColWidth="7.69921875" defaultRowHeight="13.8" x14ac:dyDescent="0.25"/>
  <cols>
    <col min="1" max="1" width="47.69921875" style="13" bestFit="1" customWidth="1"/>
    <col min="2" max="2" width="10.59765625" style="13" hidden="1" customWidth="1"/>
    <col min="3" max="3" width="13.19921875" style="13" customWidth="1"/>
    <col min="4" max="4" width="20.59765625" style="13" bestFit="1" customWidth="1"/>
    <col min="5" max="5" width="21.09765625" style="13" bestFit="1" customWidth="1"/>
    <col min="6" max="6" width="19.8984375" style="13" bestFit="1" customWidth="1"/>
    <col min="7" max="7" width="57.3984375" style="13" bestFit="1" customWidth="1"/>
    <col min="8" max="9" width="20.8984375" style="13" bestFit="1" customWidth="1"/>
    <col min="10" max="10" width="20.09765625" style="13" bestFit="1" customWidth="1"/>
    <col min="11" max="11" width="20.8984375" style="13" bestFit="1" customWidth="1"/>
    <col min="12" max="13" width="13.19921875" style="13" customWidth="1"/>
    <col min="14" max="14" width="18.3984375" style="12" bestFit="1" customWidth="1"/>
    <col min="15" max="15" width="7.69921875" style="12" customWidth="1"/>
    <col min="16" max="16384" width="7.69921875" style="12"/>
  </cols>
  <sheetData>
    <row r="1" spans="1:14" ht="16.8" thickBot="1" x14ac:dyDescent="0.4">
      <c r="A1" s="389" t="s">
        <v>421</v>
      </c>
      <c r="B1" s="388" t="str">
        <f>'Constructed Financials'!B1</f>
        <v>Walmart</v>
      </c>
      <c r="C1" s="387" t="s">
        <v>367</v>
      </c>
      <c r="D1" s="386" t="str">
        <f>'Constructed Financials'!D1</f>
        <v>WMT</v>
      </c>
      <c r="E1" s="1"/>
      <c r="F1" s="1"/>
      <c r="G1" s="1"/>
      <c r="H1" s="1"/>
      <c r="I1" s="1"/>
      <c r="J1" s="385" t="s">
        <v>288</v>
      </c>
      <c r="K1" s="1"/>
      <c r="L1" s="415"/>
      <c r="M1" s="415"/>
    </row>
    <row r="2" spans="1:14" ht="16.8" thickBot="1" x14ac:dyDescent="0.4">
      <c r="A2" s="1"/>
      <c r="B2" s="1"/>
      <c r="C2" s="1"/>
      <c r="D2" s="1"/>
      <c r="E2" s="1"/>
      <c r="F2" s="1"/>
      <c r="G2" s="1"/>
      <c r="H2" s="1"/>
      <c r="I2" s="1"/>
      <c r="J2" s="383" t="s">
        <v>420</v>
      </c>
      <c r="K2" s="1"/>
      <c r="L2" s="416"/>
      <c r="M2" s="416"/>
    </row>
    <row r="3" spans="1:14" ht="16.8" thickBot="1" x14ac:dyDescent="0.4">
      <c r="A3" s="1"/>
      <c r="B3" s="384"/>
      <c r="C3" s="1"/>
      <c r="D3" s="1"/>
      <c r="E3" s="1"/>
      <c r="F3" s="1"/>
      <c r="G3" s="1"/>
      <c r="H3" s="1"/>
      <c r="I3" s="1"/>
      <c r="J3" s="383" t="s">
        <v>287</v>
      </c>
      <c r="K3" s="1"/>
      <c r="L3" s="382" t="s">
        <v>419</v>
      </c>
      <c r="M3" s="381" t="s">
        <v>419</v>
      </c>
    </row>
    <row r="4" spans="1:14" ht="16.2" x14ac:dyDescent="0.35">
      <c r="A4" s="104"/>
      <c r="B4" s="104" t="str">
        <f>'Constructed Financials'!B5</f>
        <v>Fiscal Year</v>
      </c>
      <c r="C4" s="380">
        <f>'Constructed Financials'!C5</f>
        <v>2018</v>
      </c>
      <c r="D4" s="75">
        <f>'Constructed Financials'!D5</f>
        <v>2019</v>
      </c>
      <c r="E4" s="75">
        <f>'Constructed Financials'!E5</f>
        <v>2020</v>
      </c>
      <c r="F4" s="75">
        <f>'Constructed Financials'!F5</f>
        <v>2021</v>
      </c>
      <c r="G4" s="75">
        <f>'Constructed Financials'!G5</f>
        <v>2022</v>
      </c>
      <c r="H4" s="75">
        <f>'Constructed Financials'!H5</f>
        <v>2023</v>
      </c>
      <c r="I4" s="338" t="s">
        <v>292</v>
      </c>
      <c r="J4" s="338" t="s">
        <v>291</v>
      </c>
      <c r="K4" s="338" t="s">
        <v>290</v>
      </c>
      <c r="L4" s="411" t="s">
        <v>380</v>
      </c>
      <c r="M4" s="417" t="s">
        <v>379</v>
      </c>
      <c r="N4" s="419" t="s">
        <v>378</v>
      </c>
    </row>
    <row r="5" spans="1:14" ht="14.4" customHeight="1" thickBot="1" x14ac:dyDescent="0.4">
      <c r="A5" s="102" t="s">
        <v>418</v>
      </c>
      <c r="B5" s="379"/>
      <c r="C5" s="378">
        <f>'Constructed Financials'!C4</f>
        <v>43496</v>
      </c>
      <c r="D5" s="377">
        <f>'Constructed Financials'!D4</f>
        <v>43861</v>
      </c>
      <c r="E5" s="377">
        <f>'Constructed Financials'!E4</f>
        <v>44227</v>
      </c>
      <c r="F5" s="377">
        <f>'Constructed Financials'!F4</f>
        <v>44592</v>
      </c>
      <c r="G5" s="377">
        <f>'Constructed Financials'!G4</f>
        <v>44957</v>
      </c>
      <c r="H5" s="377">
        <f>'Constructed Financials'!H4</f>
        <v>45322</v>
      </c>
      <c r="I5" s="376" t="s">
        <v>288</v>
      </c>
      <c r="J5" s="376" t="s">
        <v>287</v>
      </c>
      <c r="K5" s="376" t="s">
        <v>286</v>
      </c>
      <c r="L5" s="412"/>
      <c r="M5" s="418"/>
      <c r="N5" s="420"/>
    </row>
    <row r="6" spans="1:14" ht="15.6" x14ac:dyDescent="0.3">
      <c r="A6" s="179" t="s">
        <v>417</v>
      </c>
      <c r="B6" s="25"/>
      <c r="C6" s="364">
        <f>'Constructed Financials'!C37/'Constructed Financials'!C54</f>
        <v>0.79890806303806294</v>
      </c>
      <c r="D6" s="364">
        <f>'Constructed Financials'!D37/'Constructed Financials'!D54</f>
        <v>0.7945237177015041</v>
      </c>
      <c r="E6" s="364">
        <f>'Constructed Financials'!E37/'Constructed Financials'!E54</f>
        <v>0.97217334988396564</v>
      </c>
      <c r="F6" s="364">
        <f>'Constructed Financials'!F37/'Constructed Financials'!F54</f>
        <v>0.92779729683333523</v>
      </c>
      <c r="G6" s="364">
        <f>'Constructed Financials'!G37/'Constructed Financials'!G54</f>
        <v>0.82057094513980777</v>
      </c>
      <c r="H6" s="364">
        <f>'Constructed Financials'!H37/'Constructed Financials'!H54</f>
        <v>0.83186712113834338</v>
      </c>
      <c r="I6" s="364">
        <f>AVERAGE(C6:H6)</f>
        <v>0.85764008228916999</v>
      </c>
      <c r="J6" s="364" cm="1">
        <f t="array" ref="J6">IFERROR(AVERAGE(IF(C6:H6&lt;&gt;MAX(C6:H6),IF(C6:H6&lt;&gt;MIN(C6:H6),C6:H6))),K6)</f>
        <v>0.84478585653738725</v>
      </c>
      <c r="K6" s="364">
        <f>H6</f>
        <v>0.83186712113834338</v>
      </c>
      <c r="L6" s="363">
        <v>0.8</v>
      </c>
      <c r="M6" s="363">
        <v>1.07</v>
      </c>
      <c r="N6" s="352"/>
    </row>
    <row r="7" spans="1:14" ht="15.6" x14ac:dyDescent="0.3">
      <c r="A7" s="179" t="s">
        <v>416</v>
      </c>
      <c r="B7" s="348"/>
      <c r="C7" s="364">
        <f>('Constructed Financials'!C37-'Constructed Financials'!C35-'Constructed Financials'!C36)/'Constructed Financials'!C54</f>
        <v>0.18076332330885295</v>
      </c>
      <c r="D7" s="364">
        <f>('Constructed Financials'!D37-'Constructed Financials'!D35-'Constructed Financials'!D36)/'Constructed Financials'!D54</f>
        <v>0.20245532844838668</v>
      </c>
      <c r="E7" s="364">
        <f>('Constructed Financials'!E37-'Constructed Financials'!E35-'Constructed Financials'!E36)/'Constructed Financials'!E54</f>
        <v>0.26182740568838037</v>
      </c>
      <c r="F7" s="364">
        <f>('Constructed Financials'!F37-'Constructed Financials'!F35-'Constructed Financials'!F36)/'Constructed Financials'!F54</f>
        <v>0.2636789159866787</v>
      </c>
      <c r="G7" s="364">
        <f>('Constructed Financials'!G37-'Constructed Financials'!G35-'Constructed Financials'!G36)/'Constructed Financials'!G54</f>
        <v>0.17959174819410401</v>
      </c>
      <c r="H7" s="364">
        <f>('Constructed Financials'!H37-'Constructed Financials'!H35-'Constructed Financials'!H36)/'Constructed Financials'!H54</f>
        <v>0.20194773575718228</v>
      </c>
      <c r="I7" s="364">
        <f>AVERAGE(C7:H7)</f>
        <v>0.21504407623059749</v>
      </c>
      <c r="J7" s="364" cm="1">
        <f t="array" ref="J7">IFERROR(AVERAGE(IF(C7:H7&lt;&gt;MAX(C7:H7),IF(C7:H7&lt;&gt;MIN(C7:H7),C7:H7))),K7)</f>
        <v>0.21174844830070058</v>
      </c>
      <c r="K7" s="364">
        <f>H7</f>
        <v>0.20194773575718228</v>
      </c>
      <c r="L7" s="363">
        <v>1.2</v>
      </c>
      <c r="M7" s="363">
        <v>0.52</v>
      </c>
      <c r="N7" s="333"/>
    </row>
    <row r="8" spans="1:14" ht="16.2" thickBot="1" x14ac:dyDescent="0.35">
      <c r="A8" s="179" t="s">
        <v>415</v>
      </c>
      <c r="B8" s="25"/>
      <c r="C8" s="375">
        <f>'Constructed Financials'!C33/'Constructed Financials'!C54</f>
        <v>9.9668288653406822E-2</v>
      </c>
      <c r="D8" s="375">
        <f>'Constructed Financials'!D33/'Constructed Financials'!D54</f>
        <v>0.12167373698418819</v>
      </c>
      <c r="E8" s="375">
        <f>'Constructed Financials'!E33/'Constructed Financials'!E54</f>
        <v>0.19149441416158455</v>
      </c>
      <c r="F8" s="375">
        <f>'Constructed Financials'!F33/'Constructed Financials'!F54</f>
        <v>0.16891930555396606</v>
      </c>
      <c r="G8" s="375">
        <f>'Constructed Financials'!G33/'Constructed Financials'!G54</f>
        <v>9.3548666999284144E-2</v>
      </c>
      <c r="H8" s="375">
        <f>'Constructed Financials'!H33/'Constructed Financials'!H54</f>
        <v>0.10676838175620841</v>
      </c>
      <c r="I8" s="375">
        <f>AVERAGE(C8:H8)</f>
        <v>0.13034546568477304</v>
      </c>
      <c r="J8" s="375" cm="1">
        <f t="array" ref="J8">IFERROR(AVERAGE(IF(C8:H8&lt;&gt;MAX(C8:H8),IF(C8:H8&lt;&gt;MIN(C8:H8),C8:H8))),K8)</f>
        <v>0.12425742823694237</v>
      </c>
      <c r="K8" s="375">
        <f>H8</f>
        <v>0.10676838175620841</v>
      </c>
      <c r="L8" s="374">
        <v>0.2</v>
      </c>
      <c r="M8" s="374">
        <v>0.33</v>
      </c>
      <c r="N8" s="330"/>
    </row>
    <row r="9" spans="1:14" ht="16.2" thickBot="1" x14ac:dyDescent="0.35">
      <c r="A9" s="198"/>
      <c r="B9" s="197"/>
      <c r="C9" s="197"/>
      <c r="D9" s="197"/>
      <c r="E9" s="197"/>
      <c r="F9" s="197"/>
      <c r="G9" s="197"/>
      <c r="H9" s="196"/>
      <c r="I9" s="373"/>
      <c r="J9" s="372"/>
      <c r="K9" s="372"/>
      <c r="L9" s="371"/>
      <c r="M9" s="359"/>
    </row>
    <row r="10" spans="1:14" ht="15.6" customHeight="1" x14ac:dyDescent="0.35">
      <c r="A10" s="104"/>
      <c r="B10" s="76" t="str">
        <f t="shared" ref="B10:H10" si="0">B4</f>
        <v>Fiscal Year</v>
      </c>
      <c r="C10" s="340">
        <f t="shared" si="0"/>
        <v>2018</v>
      </c>
      <c r="D10" s="75">
        <f t="shared" si="0"/>
        <v>2019</v>
      </c>
      <c r="E10" s="75">
        <f t="shared" si="0"/>
        <v>2020</v>
      </c>
      <c r="F10" s="75">
        <f t="shared" si="0"/>
        <v>2021</v>
      </c>
      <c r="G10" s="75">
        <f t="shared" si="0"/>
        <v>2022</v>
      </c>
      <c r="H10" s="75">
        <f t="shared" si="0"/>
        <v>2023</v>
      </c>
      <c r="I10" s="339" t="s">
        <v>292</v>
      </c>
      <c r="J10" s="338" t="s">
        <v>291</v>
      </c>
      <c r="K10" s="338" t="s">
        <v>290</v>
      </c>
      <c r="L10" s="413" t="s">
        <v>380</v>
      </c>
      <c r="M10" s="421" t="s">
        <v>379</v>
      </c>
      <c r="N10" s="419" t="s">
        <v>378</v>
      </c>
    </row>
    <row r="11" spans="1:14" ht="16.8" thickBot="1" x14ac:dyDescent="0.4">
      <c r="A11" s="102" t="s">
        <v>414</v>
      </c>
      <c r="B11" s="43" t="s">
        <v>305</v>
      </c>
      <c r="C11" s="337">
        <f>'Constructed Financials'!C4</f>
        <v>43496</v>
      </c>
      <c r="D11" s="336">
        <f>'Constructed Financials'!D4</f>
        <v>43861</v>
      </c>
      <c r="E11" s="336">
        <f>'Constructed Financials'!E4</f>
        <v>44227</v>
      </c>
      <c r="F11" s="336">
        <f>'Constructed Financials'!F4</f>
        <v>44592</v>
      </c>
      <c r="G11" s="336">
        <f>'Constructed Financials'!G4</f>
        <v>44957</v>
      </c>
      <c r="H11" s="336">
        <f>'Constructed Financials'!H4</f>
        <v>45322</v>
      </c>
      <c r="I11" s="307" t="s">
        <v>288</v>
      </c>
      <c r="J11" s="306" t="s">
        <v>287</v>
      </c>
      <c r="K11" s="306" t="s">
        <v>286</v>
      </c>
      <c r="L11" s="414"/>
      <c r="M11" s="414"/>
      <c r="N11" s="420"/>
    </row>
    <row r="12" spans="1:14" ht="15.6" x14ac:dyDescent="0.3">
      <c r="A12" s="179" t="s">
        <v>413</v>
      </c>
      <c r="B12" s="25"/>
      <c r="C12" s="364">
        <f>'Constructed Financials'!C8/'Constructed Financials'!C45</f>
        <v>2.3335187760778862</v>
      </c>
      <c r="D12" s="364">
        <f>'Constructed Financials'!D8/'Constructed Financials'!D45</f>
        <v>2.2048077126366308</v>
      </c>
      <c r="E12" s="364">
        <f>'Constructed Financials'!E8/'Constructed Financials'!E45</f>
        <v>2.205710189468348</v>
      </c>
      <c r="F12" s="364">
        <f>'Constructed Financials'!F8/'Constructed Financials'!F45</f>
        <v>2.3277056277056278</v>
      </c>
      <c r="G12" s="364">
        <f>'Constructed Financials'!G8/'Constructed Financials'!G45</f>
        <v>2.5020086596462949</v>
      </c>
      <c r="H12" s="364">
        <f>'Constructed Financials'!H8/'Constructed Financials'!H45</f>
        <v>2.5583976164723317</v>
      </c>
      <c r="I12" s="364">
        <f t="shared" ref="I12:I18" si="1">AVERAGE(C12:H12)</f>
        <v>2.3553580970011869</v>
      </c>
      <c r="J12" s="364" cm="1">
        <f t="array" ref="J12">IFERROR(AVERAGE(IF(C12:H12&lt;&gt;MAX(C12:H12),IF(C12:H12&lt;&gt;MIN(C12:H12),C12:H12))),K12)</f>
        <v>2.3422358132245393</v>
      </c>
      <c r="K12" s="364">
        <f t="shared" ref="K12:K18" si="2">H12</f>
        <v>2.5583976164723317</v>
      </c>
      <c r="L12" s="364">
        <v>1.9</v>
      </c>
      <c r="M12" s="364">
        <v>3.64</v>
      </c>
      <c r="N12" s="333"/>
    </row>
    <row r="13" spans="1:14" ht="15.6" x14ac:dyDescent="0.3">
      <c r="A13" s="179" t="s">
        <v>412</v>
      </c>
      <c r="B13" s="348"/>
      <c r="C13" s="347">
        <f>'Constructed Financials'!C8/('Constructed Financials'!C45-'Constructed Financials'!C37)</f>
        <v>3.2511785410233931</v>
      </c>
      <c r="D13" s="347">
        <f>'Constructed Financials'!D8/('Constructed Financials'!D45-'Constructed Financials'!D37)</f>
        <v>2.984881704056924</v>
      </c>
      <c r="E13" s="347">
        <f>'Constructed Financials'!E8/('Constructed Financials'!E45-'Constructed Financials'!E37)</f>
        <v>3.4287781122829051</v>
      </c>
      <c r="F13" s="347">
        <f>'Constructed Financials'!F8/('Constructed Financials'!F45-'Constructed Financials'!F37)</f>
        <v>3.4798339336955859</v>
      </c>
      <c r="G13" s="347">
        <f>'Constructed Financials'!G8/('Constructed Financials'!G45-'Constructed Financials'!G37)</f>
        <v>3.6318117248212389</v>
      </c>
      <c r="H13" s="347">
        <f>'Constructed Financials'!H8/('Constructed Financials'!H45-'Constructed Financials'!H37)</f>
        <v>3.6789519262542587</v>
      </c>
      <c r="I13" s="347">
        <f t="shared" si="1"/>
        <v>3.4092393236890515</v>
      </c>
      <c r="J13" s="347" cm="1">
        <f t="array" ref="J13">IFERROR(AVERAGE(IF(C13:H13&lt;&gt;MAX(C13:H13),IF(C13:H13&lt;&gt;MIN(C13:H13),C13:H13))),K13)</f>
        <v>3.4479005779557808</v>
      </c>
      <c r="K13" s="347">
        <f t="shared" si="2"/>
        <v>3.6789519262542587</v>
      </c>
      <c r="L13" s="347">
        <v>4.3</v>
      </c>
      <c r="M13" s="347">
        <v>8.11</v>
      </c>
      <c r="N13" s="333"/>
    </row>
    <row r="14" spans="1:14" ht="15.6" x14ac:dyDescent="0.3">
      <c r="A14" s="179" t="s">
        <v>411</v>
      </c>
      <c r="B14" s="348"/>
      <c r="C14" s="347">
        <f>'Constructed Financials'!C9/'Constructed Financials'!C35</f>
        <v>8.4624229144548107</v>
      </c>
      <c r="D14" s="347">
        <f>'Constructed Financials'!D9/'Constructed Financials'!D35</f>
        <v>8.6332395634072245</v>
      </c>
      <c r="E14" s="347">
        <f>'Constructed Financials'!E9/'Constructed Financials'!E35</f>
        <v>9.1028276491134399</v>
      </c>
      <c r="F14" s="347">
        <f>'Constructed Financials'!F9/'Constructed Financials'!F35</f>
        <v>7.4028419245810548</v>
      </c>
      <c r="G14" s="347">
        <f>'Constructed Financials'!G9/'Constructed Financials'!G35</f>
        <v>8.0029694570135739</v>
      </c>
      <c r="H14" s="347">
        <f>'Constructed Financials'!H9/'Constructed Financials'!H35</f>
        <v>8.7132733367339501</v>
      </c>
      <c r="I14" s="347">
        <f t="shared" si="1"/>
        <v>8.3862624742173413</v>
      </c>
      <c r="J14" s="347" cm="1">
        <f t="array" ref="J14">IFERROR(AVERAGE(IF(C14:H14&lt;&gt;MAX(C14:H14),IF(C14:H14&lt;&gt;MIN(C14:H14),C14:H14))),K14)</f>
        <v>8.4529763179023902</v>
      </c>
      <c r="K14" s="347">
        <f t="shared" si="2"/>
        <v>8.7132733367339501</v>
      </c>
      <c r="L14" s="347">
        <v>8.5</v>
      </c>
      <c r="M14" s="347">
        <v>12.28</v>
      </c>
      <c r="N14" s="333"/>
    </row>
    <row r="15" spans="1:14" ht="15.6" x14ac:dyDescent="0.3">
      <c r="A15" s="179" t="s">
        <v>410</v>
      </c>
      <c r="B15" s="348"/>
      <c r="C15" s="347">
        <f>('Constructed Financials'!C35/'Constructed Financials'!C9)*365</f>
        <v>43.131855225119658</v>
      </c>
      <c r="D15" s="347">
        <f>('Constructed Financials'!D35/'Constructed Financials'!D9)*365</f>
        <v>42.278451480378919</v>
      </c>
      <c r="E15" s="347">
        <f>('Constructed Financials'!E35/'Constructed Financials'!E9)*365</f>
        <v>40.097430608339465</v>
      </c>
      <c r="F15" s="347">
        <f>('Constructed Financials'!F35/'Constructed Financials'!F9)*365</f>
        <v>49.305388892341675</v>
      </c>
      <c r="G15" s="347">
        <f>('Constructed Financials'!G35/'Constructed Financials'!G9)*365</f>
        <v>45.608071099174872</v>
      </c>
      <c r="H15" s="347">
        <f>('Constructed Financials'!H35/'Constructed Financials'!H9)*365</f>
        <v>41.890112463385108</v>
      </c>
      <c r="I15" s="347">
        <f t="shared" si="1"/>
        <v>43.718551628123286</v>
      </c>
      <c r="J15" s="347" cm="1">
        <f t="array" ref="J15">IFERROR(AVERAGE(IF(C15:H15&lt;&gt;MAX(C15:H15),IF(C15:H15&lt;&gt;MIN(C15:H15),C15:H15))),K15)</f>
        <v>43.227122567014646</v>
      </c>
      <c r="K15" s="347">
        <f t="shared" si="2"/>
        <v>41.890112463385108</v>
      </c>
      <c r="L15" s="347">
        <v>44.7</v>
      </c>
      <c r="M15" s="347">
        <v>30.21</v>
      </c>
      <c r="N15" s="333"/>
    </row>
    <row r="16" spans="1:14" ht="15.6" x14ac:dyDescent="0.3">
      <c r="A16" s="179" t="s">
        <v>409</v>
      </c>
      <c r="B16" s="348"/>
      <c r="C16" s="347">
        <f>('Constructed Financials'!C34/'Constructed Financials'!C8)*365</f>
        <v>4.4814638216712357</v>
      </c>
      <c r="D16" s="347">
        <f>('Constructed Financials'!D34/'Constructed Financials'!D8)*365</f>
        <v>4.3988216928193067</v>
      </c>
      <c r="E16" s="347">
        <f>('Constructed Financials'!E34/'Constructed Financials'!E8)*365</f>
        <v>4.270423910955178</v>
      </c>
      <c r="F16" s="347">
        <f>('Constructed Financials'!F34/'Constructed Financials'!F8)*365</f>
        <v>5.3024587604085882</v>
      </c>
      <c r="G16" s="347">
        <f>('Constructed Financials'!G34/'Constructed Financials'!G8)*365</f>
        <v>4.7586448878436629</v>
      </c>
      <c r="H16" s="347">
        <f>('Constructed Financials'!H34/'Constructed Financials'!H8)*365</f>
        <v>4.9719003247452136</v>
      </c>
      <c r="I16" s="347">
        <f t="shared" si="1"/>
        <v>4.6972855664071966</v>
      </c>
      <c r="J16" s="347" cm="1">
        <f t="array" ref="J16">IFERROR(AVERAGE(IF(C16:H16&lt;&gt;MAX(C16:H16),IF(C16:H16&lt;&gt;MIN(C16:H16),C16:H16))),K16)</f>
        <v>4.6527076817698543</v>
      </c>
      <c r="K16" s="347">
        <f t="shared" si="2"/>
        <v>4.9719003247452136</v>
      </c>
      <c r="L16" s="347">
        <v>11.5</v>
      </c>
      <c r="M16" s="347">
        <v>3.47</v>
      </c>
      <c r="N16" s="333"/>
    </row>
    <row r="17" spans="1:18" ht="15.6" x14ac:dyDescent="0.3">
      <c r="A17" s="179" t="s">
        <v>408</v>
      </c>
      <c r="B17" s="348"/>
      <c r="C17" s="347">
        <f>('Constructed Financials'!C51/'Constructed Financials'!C9)*365</f>
        <v>45.851162368567863</v>
      </c>
      <c r="D17" s="347">
        <f>('Constructed Financials'!D51/'Constructed Financials'!D9)*365</f>
        <v>44.693275602291862</v>
      </c>
      <c r="E17" s="347">
        <f>('Constructed Financials'!E51/'Constructed Financials'!E9)*365</f>
        <v>43.836967174451253</v>
      </c>
      <c r="F17" s="347">
        <f>('Constructed Financials'!F51/'Constructed Financials'!F9)*365</f>
        <v>48.214774036553827</v>
      </c>
      <c r="G17" s="347">
        <f>('Constructed Financials'!G51/'Constructed Financials'!G9)*365</f>
        <v>43.323475625916565</v>
      </c>
      <c r="H17" s="347">
        <f>('Constructed Financials'!H51/'Constructed Financials'!H9)*365</f>
        <v>43.355335372546719</v>
      </c>
      <c r="I17" s="347">
        <f t="shared" si="1"/>
        <v>44.879165030054679</v>
      </c>
      <c r="J17" s="347" cm="1">
        <f t="array" ref="J17">IFERROR(AVERAGE(IF(C17:H17&lt;&gt;MAX(C17:H17),IF(C17:H17&lt;&gt;MIN(C17:H17),C17:H17))),K17)</f>
        <v>44.434185129464424</v>
      </c>
      <c r="K17" s="347">
        <f t="shared" si="2"/>
        <v>43.355335372546719</v>
      </c>
      <c r="L17" s="347">
        <v>48</v>
      </c>
      <c r="M17" s="347">
        <v>31.07</v>
      </c>
      <c r="N17" s="333"/>
    </row>
    <row r="18" spans="1:18" ht="16.2" thickBot="1" x14ac:dyDescent="0.35">
      <c r="A18" s="198" t="s">
        <v>407</v>
      </c>
      <c r="B18" s="345"/>
      <c r="C18" s="344">
        <f t="shared" ref="C18:H18" si="3">C15+C16-C17</f>
        <v>1.7621566782230289</v>
      </c>
      <c r="D18" s="344">
        <f t="shared" si="3"/>
        <v>1.9839975709063609</v>
      </c>
      <c r="E18" s="344">
        <f t="shared" si="3"/>
        <v>0.53088734484339284</v>
      </c>
      <c r="F18" s="344">
        <f t="shared" si="3"/>
        <v>6.393073616196439</v>
      </c>
      <c r="G18" s="344">
        <f t="shared" si="3"/>
        <v>7.0432403611019723</v>
      </c>
      <c r="H18" s="344">
        <f t="shared" si="3"/>
        <v>3.5066774155836029</v>
      </c>
      <c r="I18" s="344">
        <f t="shared" si="1"/>
        <v>3.5366721644757995</v>
      </c>
      <c r="J18" s="344" cm="1">
        <f t="array" ref="J18">IFERROR(AVERAGE(IF(C18:H18&lt;&gt;MAX(C18:H18),IF(C18:H18&lt;&gt;MIN(C18:H18),C18:H18))),K18)</f>
        <v>3.4114763202273579</v>
      </c>
      <c r="K18" s="344">
        <f t="shared" si="2"/>
        <v>3.5066774155836029</v>
      </c>
      <c r="L18" s="344">
        <f>L15+L16-L17</f>
        <v>8.2000000000000028</v>
      </c>
      <c r="M18" s="344">
        <v>2.6099999999999994</v>
      </c>
      <c r="N18" s="330"/>
    </row>
    <row r="19" spans="1:18" ht="16.2" thickBot="1" x14ac:dyDescent="0.35">
      <c r="A19" s="179"/>
      <c r="B19" s="25"/>
      <c r="C19" s="25"/>
      <c r="D19" s="25"/>
      <c r="E19" s="25"/>
      <c r="F19" s="25"/>
      <c r="G19" s="25"/>
      <c r="H19" s="176"/>
      <c r="I19" s="360"/>
      <c r="J19" s="359"/>
      <c r="K19" s="359"/>
      <c r="L19" s="359"/>
      <c r="M19" s="359"/>
    </row>
    <row r="20" spans="1:18" ht="15.6" customHeight="1" x14ac:dyDescent="0.35">
      <c r="A20" s="104"/>
      <c r="B20" s="76" t="str">
        <f t="shared" ref="B20:H20" si="4">B4</f>
        <v>Fiscal Year</v>
      </c>
      <c r="C20" s="340">
        <f t="shared" si="4"/>
        <v>2018</v>
      </c>
      <c r="D20" s="75">
        <f t="shared" si="4"/>
        <v>2019</v>
      </c>
      <c r="E20" s="75">
        <f t="shared" si="4"/>
        <v>2020</v>
      </c>
      <c r="F20" s="75">
        <f t="shared" si="4"/>
        <v>2021</v>
      </c>
      <c r="G20" s="75">
        <f t="shared" si="4"/>
        <v>2022</v>
      </c>
      <c r="H20" s="75">
        <f t="shared" si="4"/>
        <v>2023</v>
      </c>
      <c r="I20" s="339" t="s">
        <v>292</v>
      </c>
      <c r="J20" s="338" t="s">
        <v>291</v>
      </c>
      <c r="K20" s="338" t="s">
        <v>290</v>
      </c>
      <c r="L20" s="413" t="s">
        <v>380</v>
      </c>
      <c r="M20" s="421" t="s">
        <v>379</v>
      </c>
      <c r="N20" s="419" t="s">
        <v>378</v>
      </c>
    </row>
    <row r="21" spans="1:18" ht="16.8" thickBot="1" x14ac:dyDescent="0.4">
      <c r="A21" s="102" t="s">
        <v>406</v>
      </c>
      <c r="B21" s="43" t="s">
        <v>305</v>
      </c>
      <c r="C21" s="337">
        <f>'Constructed Financials'!C4</f>
        <v>43496</v>
      </c>
      <c r="D21" s="336">
        <f>'Constructed Financials'!D4</f>
        <v>43861</v>
      </c>
      <c r="E21" s="336">
        <f>'Constructed Financials'!E4</f>
        <v>44227</v>
      </c>
      <c r="F21" s="336">
        <f>'Constructed Financials'!F4</f>
        <v>44592</v>
      </c>
      <c r="G21" s="336">
        <f>'Constructed Financials'!G4</f>
        <v>44957</v>
      </c>
      <c r="H21" s="336">
        <f>'Constructed Financials'!H4</f>
        <v>45322</v>
      </c>
      <c r="I21" s="307" t="s">
        <v>288</v>
      </c>
      <c r="J21" s="306" t="s">
        <v>287</v>
      </c>
      <c r="K21" s="306" t="s">
        <v>286</v>
      </c>
      <c r="L21" s="414"/>
      <c r="M21" s="414"/>
      <c r="N21" s="420"/>
      <c r="R21" s="370"/>
    </row>
    <row r="22" spans="1:18" ht="15.6" x14ac:dyDescent="0.3">
      <c r="A22" s="179" t="s">
        <v>405</v>
      </c>
      <c r="B22" s="348"/>
      <c r="C22" s="347">
        <f>('Constructed Financials'!C50+'Constructed Financials'!C55)/'Constructed Financials'!C45</f>
        <v>0.26463439658906951</v>
      </c>
      <c r="D22" s="347">
        <f>('Constructed Financials'!D50+'Constructed Financials'!D55)/'Constructed Financials'!D45</f>
        <v>0.30627708831053513</v>
      </c>
      <c r="E22" s="347">
        <f>('Constructed Financials'!E50+'Constructed Financials'!E55)/'Constructed Financials'!E45</f>
        <v>0.25048317597110448</v>
      </c>
      <c r="F22" s="347">
        <f>('Constructed Financials'!F50+'Constructed Financials'!F55)/'Constructed Financials'!F45</f>
        <v>0.23410520297312751</v>
      </c>
      <c r="G22" s="347">
        <f>('Constructed Financials'!G50+'Constructed Financials'!G55)/'Constructed Financials'!G45</f>
        <v>0.24228506108216796</v>
      </c>
      <c r="H22" s="347">
        <f>('Constructed Financials'!H50+'Constructed Financials'!H55)/'Constructed Financials'!H45</f>
        <v>0.24295262659519254</v>
      </c>
      <c r="I22" s="347">
        <f>AVERAGE(C22:H22)</f>
        <v>0.25678959192019951</v>
      </c>
      <c r="J22" s="347" cm="1">
        <f t="array" ref="J22">IFERROR(AVERAGE(IF(C22:H22&lt;&gt;MAX(C22:H22),IF(C22:H22&lt;&gt;MIN(C22:H22),C22:H22))),K22)</f>
        <v>0.25008881505938363</v>
      </c>
      <c r="K22" s="347">
        <f>H22</f>
        <v>0.24295262659519254</v>
      </c>
      <c r="L22" s="364"/>
      <c r="M22" s="364"/>
      <c r="N22" s="333"/>
      <c r="R22" s="370"/>
    </row>
    <row r="23" spans="1:18" ht="15.6" x14ac:dyDescent="0.3">
      <c r="A23" s="179" t="s">
        <v>404</v>
      </c>
      <c r="B23" s="348"/>
      <c r="C23" s="347">
        <f>('Constructed Financials'!C50+'Constructed Financials'!C55)/'Constructed Financials'!C67</f>
        <v>0.80049933789450456</v>
      </c>
      <c r="D23" s="347">
        <f>('Constructed Financials'!D50+'Constructed Financials'!D55)/'Constructed Financials'!D67</f>
        <v>0.97005450722522069</v>
      </c>
      <c r="E23" s="347">
        <f>('Constructed Financials'!E50+'Constructed Financials'!E55)/'Constructed Financials'!E67</f>
        <v>0.78153846153846152</v>
      </c>
      <c r="F23" s="347">
        <f>('Constructed Financials'!F50+'Constructed Financials'!F55)/'Constructed Financials'!F67</f>
        <v>0.68853975232123765</v>
      </c>
      <c r="G23" s="347">
        <f>('Constructed Financials'!G50+'Constructed Financials'!G55)/'Constructed Financials'!G67</f>
        <v>0.76829697625598159</v>
      </c>
      <c r="H23" s="347">
        <f>('Constructed Financials'!H50+'Constructed Financials'!H55)/'Constructed Financials'!H67</f>
        <v>0.73122190291076905</v>
      </c>
      <c r="I23" s="347">
        <f>AVERAGE(C23:H23)</f>
        <v>0.79002515635769577</v>
      </c>
      <c r="J23" s="347" cm="1">
        <f t="array" ref="J23">IFERROR(AVERAGE(IF(C23:H23&lt;&gt;MAX(C23:H23),IF(C23:H23&lt;&gt;MIN(C23:H23),C23:H23))),K23)</f>
        <v>0.77038916964992921</v>
      </c>
      <c r="K23" s="347">
        <f>H23</f>
        <v>0.73122190291076905</v>
      </c>
      <c r="L23" s="347">
        <v>0.89200000000000002</v>
      </c>
      <c r="M23" s="347">
        <v>0.42699999999999999</v>
      </c>
      <c r="N23" s="333"/>
      <c r="R23" s="370"/>
    </row>
    <row r="24" spans="1:18" ht="15.6" x14ac:dyDescent="0.3">
      <c r="A24" s="179" t="s">
        <v>403</v>
      </c>
      <c r="B24" s="348"/>
      <c r="C24" s="347">
        <f>'Constructed Financials'!C55/'Constructed Financials'!C45</f>
        <v>0.22892906815020864</v>
      </c>
      <c r="D24" s="347">
        <f>'Constructed Financials'!D55/'Constructed Financials'!D45</f>
        <v>0.27143068563817419</v>
      </c>
      <c r="E24" s="347">
        <f>'Constructed Financials'!E55/'Constructed Financials'!E45</f>
        <v>0.22950858627463405</v>
      </c>
      <c r="F24" s="347">
        <f>'Constructed Financials'!F55/'Constructed Financials'!F45</f>
        <v>0.21283999019848077</v>
      </c>
      <c r="G24" s="347">
        <f>'Constructed Financials'!G55/'Constructed Financials'!G45</f>
        <v>0.21513423274135782</v>
      </c>
      <c r="H24" s="347">
        <f>'Constructed Financials'!H55/'Constructed Financials'!H45</f>
        <v>0.21705315789682209</v>
      </c>
      <c r="I24" s="347">
        <f>AVERAGE(C24:H24)</f>
        <v>0.22914928681661292</v>
      </c>
      <c r="J24" s="347" cm="1">
        <f t="array" ref="J24">IFERROR(AVERAGE(IF(C24:H24&lt;&gt;MAX(C24:H24),IF(C24:H24&lt;&gt;MIN(C24:H24),C24:H24))),K24)</f>
        <v>0.22265626126575566</v>
      </c>
      <c r="K24" s="347">
        <f>H24</f>
        <v>0.21705315789682209</v>
      </c>
      <c r="L24" s="347"/>
      <c r="M24" s="347"/>
      <c r="N24" s="333"/>
      <c r="R24" s="370"/>
    </row>
    <row r="25" spans="1:18" ht="15.6" x14ac:dyDescent="0.3">
      <c r="A25" s="179" t="s">
        <v>402</v>
      </c>
      <c r="B25" s="348"/>
      <c r="C25" s="347">
        <f>'Constructed Financials'!C55/'Constructed Financials'!C67</f>
        <v>0.69249337894504526</v>
      </c>
      <c r="D25" s="347">
        <f>'Constructed Financials'!D55/'Constructed Financials'!D67</f>
        <v>0.85968742048239566</v>
      </c>
      <c r="E25" s="347">
        <f>'Constructed Financials'!E55/'Constructed Financials'!E67</f>
        <v>0.71609514983008959</v>
      </c>
      <c r="F25" s="347">
        <f>'Constructed Financials'!F55/'Constructed Financials'!F67</f>
        <v>0.62599545962307668</v>
      </c>
      <c r="G25" s="347">
        <f>'Constructed Financials'!G55/'Constructed Financials'!G67</f>
        <v>0.68220046158058756</v>
      </c>
      <c r="H25" s="347">
        <f>'Constructed Financials'!H55/'Constructed Financials'!H67</f>
        <v>0.65327148495725074</v>
      </c>
      <c r="I25" s="347">
        <f>AVERAGE(C25:H25)</f>
        <v>0.70495722590307419</v>
      </c>
      <c r="J25" s="347" cm="1">
        <f t="array" ref="J25">IFERROR(AVERAGE(IF(C25:H25&lt;&gt;MAX(C25:H25),IF(C25:H25&lt;&gt;MIN(C25:H25),C25:H25))),K25)</f>
        <v>0.68601511882824329</v>
      </c>
      <c r="K25" s="347">
        <f>H25</f>
        <v>0.65327148495725074</v>
      </c>
      <c r="L25" s="347">
        <v>0.4</v>
      </c>
      <c r="M25" s="347">
        <v>0.31140000000000001</v>
      </c>
      <c r="N25" s="333"/>
      <c r="R25" s="370"/>
    </row>
    <row r="26" spans="1:18" ht="16.2" thickBot="1" x14ac:dyDescent="0.35">
      <c r="A26" s="198" t="s">
        <v>401</v>
      </c>
      <c r="B26" s="345"/>
      <c r="C26" s="344">
        <f>'Constructed Financials'!C14/'Constructed Financials'!C15</f>
        <v>8.299658994032395</v>
      </c>
      <c r="D26" s="344">
        <f>'Constructed Financials'!D14/'Constructed Financials'!D15</f>
        <v>7.3689880723355135</v>
      </c>
      <c r="E26" s="344">
        <f>'Constructed Financials'!E14/'Constructed Financials'!E15</f>
        <v>10.749460043196544</v>
      </c>
      <c r="F26" s="344">
        <f>'Constructed Financials'!F14/'Constructed Financials'!F15</f>
        <v>12.917753259779339</v>
      </c>
      <c r="G26" s="344">
        <f>'Constructed Financials'!G14/'Constructed Financials'!G15</f>
        <v>10.241541353383459</v>
      </c>
      <c r="H26" s="344">
        <f>'Constructed Financials'!H14/'Constructed Financials'!H15</f>
        <v>9.2124487513976892</v>
      </c>
      <c r="I26" s="344">
        <f>AVERAGE(C26:H26)</f>
        <v>9.7983084123541566</v>
      </c>
      <c r="J26" s="344" cm="1">
        <f t="array" ref="J26">IFERROR(AVERAGE(IF(C26:H26&lt;&gt;MAX(C26:H26),IF(C26:H26&lt;&gt;MIN(C26:H26),C26:H26))),K26)</f>
        <v>9.6257772855025223</v>
      </c>
      <c r="K26" s="344">
        <f>H26</f>
        <v>9.2124487513976892</v>
      </c>
      <c r="L26" s="344"/>
      <c r="M26" s="344"/>
      <c r="N26" s="330"/>
      <c r="R26" s="370"/>
    </row>
    <row r="27" spans="1:18" ht="16.2" thickBot="1" x14ac:dyDescent="0.35">
      <c r="A27" s="179"/>
      <c r="B27" s="25"/>
      <c r="C27" s="25"/>
      <c r="D27" s="25"/>
      <c r="E27" s="25"/>
      <c r="F27" s="25"/>
      <c r="G27" s="25"/>
      <c r="H27" s="176"/>
      <c r="I27" s="360"/>
      <c r="J27" s="359"/>
      <c r="K27" s="359"/>
      <c r="L27" s="359"/>
      <c r="M27" s="359"/>
    </row>
    <row r="28" spans="1:18" ht="15.6" customHeight="1" x14ac:dyDescent="0.35">
      <c r="A28" s="104"/>
      <c r="B28" s="76" t="str">
        <f t="shared" ref="B28:H28" si="5">B4</f>
        <v>Fiscal Year</v>
      </c>
      <c r="C28" s="340">
        <f t="shared" si="5"/>
        <v>2018</v>
      </c>
      <c r="D28" s="75">
        <f t="shared" si="5"/>
        <v>2019</v>
      </c>
      <c r="E28" s="75">
        <f t="shared" si="5"/>
        <v>2020</v>
      </c>
      <c r="F28" s="75">
        <f t="shared" si="5"/>
        <v>2021</v>
      </c>
      <c r="G28" s="75">
        <f t="shared" si="5"/>
        <v>2022</v>
      </c>
      <c r="H28" s="75">
        <f t="shared" si="5"/>
        <v>2023</v>
      </c>
      <c r="I28" s="339" t="s">
        <v>292</v>
      </c>
      <c r="J28" s="338" t="s">
        <v>291</v>
      </c>
      <c r="K28" s="338" t="s">
        <v>290</v>
      </c>
      <c r="L28" s="413" t="s">
        <v>380</v>
      </c>
      <c r="M28" s="421" t="s">
        <v>379</v>
      </c>
      <c r="N28" s="419" t="s">
        <v>378</v>
      </c>
    </row>
    <row r="29" spans="1:18" ht="16.8" thickBot="1" x14ac:dyDescent="0.4">
      <c r="A29" s="102" t="s">
        <v>400</v>
      </c>
      <c r="B29" s="43" t="s">
        <v>305</v>
      </c>
      <c r="C29" s="337">
        <f>'Constructed Financials'!C4</f>
        <v>43496</v>
      </c>
      <c r="D29" s="336">
        <f>'Constructed Financials'!D4</f>
        <v>43861</v>
      </c>
      <c r="E29" s="336">
        <f>'Constructed Financials'!E4</f>
        <v>44227</v>
      </c>
      <c r="F29" s="336">
        <f>'Constructed Financials'!F4</f>
        <v>44592</v>
      </c>
      <c r="G29" s="336">
        <f>'Constructed Financials'!G4</f>
        <v>44957</v>
      </c>
      <c r="H29" s="336">
        <f>'Constructed Financials'!H4</f>
        <v>45322</v>
      </c>
      <c r="I29" s="307" t="s">
        <v>288</v>
      </c>
      <c r="J29" s="306" t="s">
        <v>287</v>
      </c>
      <c r="K29" s="306" t="s">
        <v>286</v>
      </c>
      <c r="L29" s="414"/>
      <c r="M29" s="414"/>
      <c r="N29" s="420"/>
    </row>
    <row r="30" spans="1:18" ht="16.2" thickBot="1" x14ac:dyDescent="0.35">
      <c r="A30" s="179" t="s">
        <v>399</v>
      </c>
      <c r="B30" s="144"/>
      <c r="C30" s="31">
        <f>('Constructed Financials'!C8-'Constructed Financials'!C9)/'Constructed Financials'!C8</f>
        <v>0.2679269691575033</v>
      </c>
      <c r="D30" s="31">
        <f>('Constructed Financials'!D8-'Constructed Financials'!D9)/'Constructed Financials'!D8</f>
        <v>0.26429061841948809</v>
      </c>
      <c r="E30" s="31">
        <f>('Constructed Financials'!E8-'Constructed Financials'!E9)/'Constructed Financials'!E8</f>
        <v>0.26532814539630439</v>
      </c>
      <c r="F30" s="31">
        <f>('Constructed Financials'!F8-'Constructed Financials'!F9)/'Constructed Financials'!F8</f>
        <v>0.26601773451563437</v>
      </c>
      <c r="G30" s="31">
        <f>('Constructed Financials'!G8-'Constructed Financials'!G9)/'Constructed Financials'!G8</f>
        <v>0.25589130967113188</v>
      </c>
      <c r="H30" s="31">
        <f>('Constructed Financials'!H8-'Constructed Financials'!H9)/'Constructed Financials'!H8</f>
        <v>0.25931300204262725</v>
      </c>
      <c r="I30" s="369">
        <f t="shared" ref="I30:I38" si="6">AVERAGE(C30:H30)</f>
        <v>0.26312796320044823</v>
      </c>
      <c r="J30" s="368" cm="1">
        <f t="array" ref="J30">IFERROR(AVERAGE(IF(C30:H30&lt;&gt;MAX(C30:H30),IF(C30:H30&lt;&gt;MIN(C30:H30),C30:H30))),K30)</f>
        <v>0.26373737509351353</v>
      </c>
      <c r="K30" s="367">
        <f t="shared" ref="K30:K38" si="7">H30</f>
        <v>0.25931300204262725</v>
      </c>
      <c r="L30" s="31">
        <v>0.27500000000000002</v>
      </c>
      <c r="M30" s="351">
        <v>0.1242</v>
      </c>
      <c r="N30" s="352"/>
    </row>
    <row r="31" spans="1:18" ht="15.6" x14ac:dyDescent="0.3">
      <c r="A31" s="179" t="s">
        <v>398</v>
      </c>
      <c r="B31" s="144"/>
      <c r="C31" s="366">
        <f>'Constructed Financials'!C14/'Constructed Financials'!C8</f>
        <v>3.8049436322741138E-2</v>
      </c>
      <c r="D31" s="366">
        <f>'Constructed Financials'!D14/'Constructed Financials'!D8</f>
        <v>3.6730044148162923E-2</v>
      </c>
      <c r="E31" s="366">
        <f>'Constructed Financials'!E14/'Constructed Financials'!E8</f>
        <v>4.4682214916336435E-2</v>
      </c>
      <c r="F31" s="366">
        <f>'Constructed Financials'!F14/'Constructed Financials'!F8</f>
        <v>4.5192486516644967E-2</v>
      </c>
      <c r="G31" s="366">
        <f>'Constructed Financials'!G14/'Constructed Financials'!G8</f>
        <v>3.5817059201519848E-2</v>
      </c>
      <c r="H31" s="366">
        <f>'Constructed Financials'!H14/'Constructed Financials'!H8</f>
        <v>3.8277193346517233E-2</v>
      </c>
      <c r="I31" s="366">
        <f t="shared" si="6"/>
        <v>3.9791405741987092E-2</v>
      </c>
      <c r="J31" s="366" cm="1">
        <f t="array" ref="J31">IFERROR(AVERAGE(IF(C31:H31&lt;&gt;MAX(C31:H31),IF(C31:H31&lt;&gt;MIN(C31:H31),C31:H31))),K31)</f>
        <v>3.9434722183439436E-2</v>
      </c>
      <c r="K31" s="366">
        <f t="shared" si="7"/>
        <v>3.8277193346517233E-2</v>
      </c>
      <c r="L31" s="31">
        <v>2.5999999999999999E-2</v>
      </c>
      <c r="M31" s="351">
        <v>3.5099999999999999E-2</v>
      </c>
      <c r="N31" s="333"/>
    </row>
    <row r="32" spans="1:18" ht="15.6" x14ac:dyDescent="0.3">
      <c r="A32" s="179" t="s">
        <v>397</v>
      </c>
      <c r="B32" s="144"/>
      <c r="C32" s="31">
        <f>'Constructed Financials'!C25/'Constructed Financials'!C8</f>
        <v>1.3034242733947069E-2</v>
      </c>
      <c r="D32" s="31">
        <f>'Constructed Financials'!D25/'Constructed Financials'!D8</f>
        <v>2.8539044850084194E-2</v>
      </c>
      <c r="E32" s="31">
        <f>'Constructed Financials'!E25/'Constructed Financials'!E8</f>
        <v>2.4257855074129205E-2</v>
      </c>
      <c r="F32" s="31">
        <f>'Constructed Financials'!F25/'Constructed Financials'!F8</f>
        <v>2.3989318586151359E-2</v>
      </c>
      <c r="G32" s="31">
        <f>'Constructed Financials'!G25/'Constructed Financials'!G8</f>
        <v>1.919534052829916E-2</v>
      </c>
      <c r="H32" s="31">
        <f>'Constructed Financials'!H25/'Constructed Financials'!H8</f>
        <v>2.402061520402269E-2</v>
      </c>
      <c r="I32" s="31">
        <f t="shared" si="6"/>
        <v>2.217273616277228E-2</v>
      </c>
      <c r="J32" s="31" cm="1">
        <f t="array" ref="J32">IFERROR(AVERAGE(IF(C32:H32&lt;&gt;MAX(C32:H32),IF(C32:H32&lt;&gt;MIN(C32:H32),C32:H32))),K32)</f>
        <v>2.28657823481506E-2</v>
      </c>
      <c r="K32" s="31">
        <f t="shared" si="7"/>
        <v>2.402061520402269E-2</v>
      </c>
      <c r="L32" s="31">
        <v>0.02</v>
      </c>
      <c r="M32" s="351">
        <v>2.5999999999999999E-2</v>
      </c>
      <c r="N32" s="333"/>
    </row>
    <row r="33" spans="1:14" ht="15.6" x14ac:dyDescent="0.3">
      <c r="A33" s="179" t="s">
        <v>396</v>
      </c>
      <c r="B33" s="144"/>
      <c r="C33" s="31">
        <f>'Constructed Financials'!C24/'Constructed Financials'!C45</f>
        <v>3.0415650151622245E-2</v>
      </c>
      <c r="D33" s="31">
        <f>'Constructed Financials'!D24/'Constructed Financials'!D45</f>
        <v>6.2923106196748346E-2</v>
      </c>
      <c r="E33" s="31">
        <f>'Constructed Financials'!E24/'Constructed Financials'!E45</f>
        <v>5.3505798111653256E-2</v>
      </c>
      <c r="F33" s="31">
        <f>'Constructed Financials'!F24/'Constructed Financials'!F45</f>
        <v>5.5840071877807727E-2</v>
      </c>
      <c r="G33" s="31">
        <f>'Constructed Financials'!G24/'Constructed Financials'!G45</f>
        <v>4.8026908226663979E-2</v>
      </c>
      <c r="H33" s="31">
        <f>'Constructed Financials'!H24/'Constructed Financials'!H45</f>
        <v>6.1454284684170697E-2</v>
      </c>
      <c r="I33" s="31">
        <f t="shared" si="6"/>
        <v>5.2027636541444378E-2</v>
      </c>
      <c r="J33" s="31" cm="1">
        <f t="array" ref="J33">IFERROR(AVERAGE(IF(C33:H33&lt;&gt;MAX(C33:H33),IF(C33:H33&lt;&gt;MIN(C33:H33),C33:H33))),K33)</f>
        <v>5.4706765725073915E-2</v>
      </c>
      <c r="K33" s="31">
        <f t="shared" si="7"/>
        <v>6.1454284684170697E-2</v>
      </c>
      <c r="L33" s="31">
        <v>4.9000000000000002E-2</v>
      </c>
      <c r="M33" s="351">
        <v>7.9799999999999996E-2</v>
      </c>
      <c r="N33" s="333"/>
    </row>
    <row r="34" spans="1:14" ht="15.6" x14ac:dyDescent="0.3">
      <c r="A34" s="179" t="s">
        <v>395</v>
      </c>
      <c r="B34" s="144"/>
      <c r="C34" s="31">
        <f>'Constructed Financials'!C24/'Constructed Financials'!C67</f>
        <v>9.2005076142131978E-2</v>
      </c>
      <c r="D34" s="31">
        <f>'Constructed Financials'!D24/'Constructed Financials'!D67</f>
        <v>0.19929287924038089</v>
      </c>
      <c r="E34" s="31">
        <f>'Constructed Financials'!E24/'Constructed Financials'!E67</f>
        <v>0.16694470188446092</v>
      </c>
      <c r="F34" s="31">
        <f>'Constructed Financials'!F24/'Constructed Financials'!F67</f>
        <v>0.16423432188629838</v>
      </c>
      <c r="G34" s="31">
        <f>'Constructed Financials'!G24/'Constructed Financials'!G67</f>
        <v>0.15229551588802107</v>
      </c>
      <c r="H34" s="31">
        <f>'Constructed Financials'!H24/'Constructed Financials'!H67</f>
        <v>0.18496082803687053</v>
      </c>
      <c r="I34" s="31">
        <f t="shared" si="6"/>
        <v>0.15995555384636062</v>
      </c>
      <c r="J34" s="31" cm="1">
        <f t="array" ref="J34">IFERROR(AVERAGE(IF(C34:H34&lt;&gt;MAX(C34:H34),IF(C34:H34&lt;&gt;MIN(C34:H34),C34:H34))),K34)</f>
        <v>0.16710884192391273</v>
      </c>
      <c r="K34" s="31">
        <f t="shared" si="7"/>
        <v>0.18496082803687053</v>
      </c>
      <c r="L34" s="31">
        <v>0.14799999999999999</v>
      </c>
      <c r="M34" s="351">
        <v>0.27529999999999999</v>
      </c>
      <c r="N34" s="333"/>
    </row>
    <row r="35" spans="1:14" ht="15.6" x14ac:dyDescent="0.3">
      <c r="A35" s="365" t="s">
        <v>394</v>
      </c>
      <c r="B35" s="144"/>
      <c r="C35" s="31">
        <f t="shared" ref="C35:H35" si="8">C36*C37*C38</f>
        <v>9.2005076142131978E-2</v>
      </c>
      <c r="D35" s="31">
        <f t="shared" si="8"/>
        <v>0.19929287924038089</v>
      </c>
      <c r="E35" s="31">
        <f t="shared" si="8"/>
        <v>0.16694470188446092</v>
      </c>
      <c r="F35" s="31">
        <f t="shared" si="8"/>
        <v>0.16423432188629841</v>
      </c>
      <c r="G35" s="31">
        <f t="shared" si="8"/>
        <v>0.15229551588802109</v>
      </c>
      <c r="H35" s="31">
        <f t="shared" si="8"/>
        <v>0.18496082803687053</v>
      </c>
      <c r="I35" s="31">
        <f t="shared" si="6"/>
        <v>0.15995555384636065</v>
      </c>
      <c r="J35" s="31" cm="1">
        <f t="array" ref="J35">IFERROR(AVERAGE(IF(C35:H35&lt;&gt;MAX(C35:H35),IF(C35:H35&lt;&gt;MIN(C35:H35),C35:H35))),K35)</f>
        <v>0.16710884192391273</v>
      </c>
      <c r="K35" s="31">
        <f t="shared" si="7"/>
        <v>0.18496082803687053</v>
      </c>
      <c r="L35" s="364"/>
      <c r="M35" s="363"/>
      <c r="N35" s="333"/>
    </row>
    <row r="36" spans="1:14" ht="15.6" x14ac:dyDescent="0.3">
      <c r="A36" s="179" t="s">
        <v>393</v>
      </c>
      <c r="B36" s="362"/>
      <c r="C36" s="347">
        <f>'Constructed Financials'!C8/'Constructed Financials'!C45</f>
        <v>2.3335187760778862</v>
      </c>
      <c r="D36" s="347">
        <f>'Constructed Financials'!D8/'Constructed Financials'!D45</f>
        <v>2.2048077126366308</v>
      </c>
      <c r="E36" s="347">
        <f>'Constructed Financials'!E8/'Constructed Financials'!E45</f>
        <v>2.205710189468348</v>
      </c>
      <c r="F36" s="347">
        <f>'Constructed Financials'!F8/'Constructed Financials'!F45</f>
        <v>2.3277056277056278</v>
      </c>
      <c r="G36" s="347">
        <f>'Constructed Financials'!G8/'Constructed Financials'!G45</f>
        <v>2.5020086596462949</v>
      </c>
      <c r="H36" s="347">
        <f>'Constructed Financials'!H8/'Constructed Financials'!H45</f>
        <v>2.5583976164723317</v>
      </c>
      <c r="I36" s="347">
        <f t="shared" si="6"/>
        <v>2.3553580970011869</v>
      </c>
      <c r="J36" s="347" cm="1">
        <f t="array" ref="J36">IFERROR(AVERAGE(IF(C36:H36&lt;&gt;MAX(C36:H36),IF(C36:H36&lt;&gt;MIN(C36:H36),C36:H36))),K36)</f>
        <v>2.3422358132245393</v>
      </c>
      <c r="K36" s="347">
        <f t="shared" si="7"/>
        <v>2.5583976164723317</v>
      </c>
      <c r="L36" s="347"/>
      <c r="M36" s="346"/>
      <c r="N36" s="333"/>
    </row>
    <row r="37" spans="1:14" ht="15.6" x14ac:dyDescent="0.3">
      <c r="A37" s="179" t="s">
        <v>392</v>
      </c>
      <c r="B37" s="144"/>
      <c r="C37" s="31">
        <f t="shared" ref="C37:H37" si="9">C32</f>
        <v>1.3034242733947069E-2</v>
      </c>
      <c r="D37" s="31">
        <f t="shared" si="9"/>
        <v>2.8539044850084194E-2</v>
      </c>
      <c r="E37" s="31">
        <f t="shared" si="9"/>
        <v>2.4257855074129205E-2</v>
      </c>
      <c r="F37" s="31">
        <f t="shared" si="9"/>
        <v>2.3989318586151359E-2</v>
      </c>
      <c r="G37" s="31">
        <f t="shared" si="9"/>
        <v>1.919534052829916E-2</v>
      </c>
      <c r="H37" s="31">
        <f t="shared" si="9"/>
        <v>2.402061520402269E-2</v>
      </c>
      <c r="I37" s="31">
        <f t="shared" si="6"/>
        <v>2.217273616277228E-2</v>
      </c>
      <c r="J37" s="31" cm="1">
        <f t="array" ref="J37">IFERROR(AVERAGE(IF(C37:H37&lt;&gt;MAX(C37:H37),IF(C37:H37&lt;&gt;MIN(C37:H37),C37:H37))),K37)</f>
        <v>2.28657823481506E-2</v>
      </c>
      <c r="K37" s="31">
        <f t="shared" si="7"/>
        <v>2.402061520402269E-2</v>
      </c>
      <c r="L37" s="347"/>
      <c r="M37" s="346"/>
      <c r="N37" s="333"/>
    </row>
    <row r="38" spans="1:14" ht="16.2" thickBot="1" x14ac:dyDescent="0.35">
      <c r="A38" s="198" t="s">
        <v>391</v>
      </c>
      <c r="B38" s="361"/>
      <c r="C38" s="332">
        <f>'Constructed Financials'!C45/'Constructed Financials'!C67</f>
        <v>3.0249255131317589</v>
      </c>
      <c r="D38" s="332">
        <f>'Constructed Financials'!D45/'Constructed Financials'!D67</f>
        <v>3.1672447736008249</v>
      </c>
      <c r="E38" s="332">
        <f>'Constructed Financials'!E45/'Constructed Financials'!E67</f>
        <v>3.1201235712079085</v>
      </c>
      <c r="F38" s="332">
        <f>'Constructed Financials'!F45/'Constructed Financials'!F67</f>
        <v>2.9411552736838313</v>
      </c>
      <c r="G38" s="332">
        <f>'Constructed Financials'!G45/'Constructed Financials'!G67</f>
        <v>3.1710455973817688</v>
      </c>
      <c r="H38" s="332">
        <f>'Constructed Financials'!H45/'Constructed Financials'!H67</f>
        <v>3.0097303871883234</v>
      </c>
      <c r="I38" s="332">
        <f t="shared" si="6"/>
        <v>3.0723708526990694</v>
      </c>
      <c r="J38" s="332" cm="1">
        <f t="array" ref="J38">IFERROR(AVERAGE(IF(C38:H38&lt;&gt;MAX(C38:H38),IF(C38:H38&lt;&gt;MIN(C38:H38),C38:H38))),K38)</f>
        <v>3.0805060612822039</v>
      </c>
      <c r="K38" s="332">
        <f t="shared" si="7"/>
        <v>3.0097303871883234</v>
      </c>
      <c r="L38" s="344"/>
      <c r="M38" s="343"/>
      <c r="N38" s="330"/>
    </row>
    <row r="39" spans="1:14" ht="16.2" thickBot="1" x14ac:dyDescent="0.35">
      <c r="A39" s="179"/>
      <c r="B39" s="25"/>
      <c r="C39" s="25"/>
      <c r="D39" s="25"/>
      <c r="E39" s="25"/>
      <c r="F39" s="25"/>
      <c r="G39" s="25"/>
      <c r="H39" s="176"/>
      <c r="I39" s="360"/>
      <c r="J39" s="359"/>
      <c r="K39" s="359"/>
      <c r="L39" s="359"/>
      <c r="M39" s="359"/>
    </row>
    <row r="40" spans="1:14" ht="15.6" customHeight="1" x14ac:dyDescent="0.35">
      <c r="A40" s="104"/>
      <c r="B40" s="76" t="str">
        <f t="shared" ref="B40:H40" si="10">B4</f>
        <v>Fiscal Year</v>
      </c>
      <c r="C40" s="340">
        <f t="shared" si="10"/>
        <v>2018</v>
      </c>
      <c r="D40" s="75">
        <f t="shared" si="10"/>
        <v>2019</v>
      </c>
      <c r="E40" s="75">
        <f t="shared" si="10"/>
        <v>2020</v>
      </c>
      <c r="F40" s="75">
        <f t="shared" si="10"/>
        <v>2021</v>
      </c>
      <c r="G40" s="75">
        <f t="shared" si="10"/>
        <v>2022</v>
      </c>
      <c r="H40" s="75">
        <f t="shared" si="10"/>
        <v>2023</v>
      </c>
      <c r="I40" s="339" t="s">
        <v>292</v>
      </c>
      <c r="J40" s="338" t="s">
        <v>291</v>
      </c>
      <c r="K40" s="338" t="s">
        <v>290</v>
      </c>
      <c r="L40" s="413" t="s">
        <v>380</v>
      </c>
      <c r="M40" s="421" t="s">
        <v>379</v>
      </c>
      <c r="N40" s="419" t="s">
        <v>378</v>
      </c>
    </row>
    <row r="41" spans="1:14" ht="16.8" thickBot="1" x14ac:dyDescent="0.4">
      <c r="A41" s="102" t="s">
        <v>390</v>
      </c>
      <c r="B41" s="358" t="s">
        <v>305</v>
      </c>
      <c r="C41" s="337">
        <f>'Constructed Financials'!C4</f>
        <v>43496</v>
      </c>
      <c r="D41" s="336">
        <f>'Constructed Financials'!D4</f>
        <v>43861</v>
      </c>
      <c r="E41" s="336">
        <f>'Constructed Financials'!E4</f>
        <v>44227</v>
      </c>
      <c r="F41" s="336">
        <f>'Constructed Financials'!F4</f>
        <v>44592</v>
      </c>
      <c r="G41" s="336">
        <f>'Constructed Financials'!G4</f>
        <v>44957</v>
      </c>
      <c r="H41" s="336">
        <f>'Constructed Financials'!H4</f>
        <v>45322</v>
      </c>
      <c r="I41" s="307" t="s">
        <v>288</v>
      </c>
      <c r="J41" s="306" t="s">
        <v>287</v>
      </c>
      <c r="K41" s="306" t="s">
        <v>286</v>
      </c>
      <c r="L41" s="414"/>
      <c r="M41" s="414"/>
      <c r="N41" s="420"/>
    </row>
    <row r="42" spans="1:14" ht="16.8" thickBot="1" x14ac:dyDescent="0.4">
      <c r="A42" s="321" t="s">
        <v>389</v>
      </c>
      <c r="B42" s="350"/>
      <c r="C42" s="357">
        <f>'Constructed Financials'!C119*'Constructed Financials'!C120</f>
        <v>275798.74</v>
      </c>
      <c r="D42" s="357">
        <f>'Constructed Financials'!D119*'Constructed Financials'!D120</f>
        <v>324292.12357</v>
      </c>
      <c r="E42" s="357">
        <f>'Constructed Financials'!E119*'Constructed Financials'!E120</f>
        <v>396322.29000000004</v>
      </c>
      <c r="F42" s="357">
        <f>'Constructed Financials'!F119*'Constructed Financials'!F120</f>
        <v>386015.41000000003</v>
      </c>
      <c r="G42" s="357">
        <f>'Constructed Financials'!G119*'Constructed Financials'!G120</f>
        <v>387441.91000000003</v>
      </c>
      <c r="H42" s="357">
        <f>'Constructed Financials'!H119*'Constructed Financials'!H120</f>
        <v>443696.25</v>
      </c>
      <c r="I42" s="356">
        <f t="shared" ref="I42:I50" si="11">AVERAGE(C42:H42)</f>
        <v>368927.78726166673</v>
      </c>
      <c r="J42" s="355" cm="1">
        <f t="array" ref="J42">IFERROR(AVERAGE(IF(C42:H42&lt;&gt;MAX(C42:H42),IF(C42:H42&lt;&gt;MIN(C42:H42),C42:H42))),K42)</f>
        <v>373517.93339250004</v>
      </c>
      <c r="K42" s="354">
        <f t="shared" ref="K42:K50" si="12">H42</f>
        <v>443696.25</v>
      </c>
      <c r="L42" s="354"/>
      <c r="M42" s="353">
        <f>390764400000/1000000</f>
        <v>390764.4</v>
      </c>
      <c r="N42" s="352"/>
    </row>
    <row r="43" spans="1:14" ht="15.6" x14ac:dyDescent="0.3">
      <c r="A43" s="179" t="s">
        <v>388</v>
      </c>
      <c r="B43" s="144"/>
      <c r="C43" s="31">
        <f>-('Constructed Financials'!C106/'Fin. Ratios (Trend Analysis)'!C42)</f>
        <v>2.212482914171399E-2</v>
      </c>
      <c r="D43" s="31">
        <f>-('Constructed Financials'!D106/'Fin. Ratios (Trend Analysis)'!D42)</f>
        <v>1.8649851662815704E-2</v>
      </c>
      <c r="E43" s="31">
        <f>-('Constructed Financials'!E106/'Fin. Ratios (Trend Analysis)'!E42)</f>
        <v>1.5431884994406949E-2</v>
      </c>
      <c r="F43" s="31">
        <f>-('Constructed Financials'!F106/'Fin. Ratios (Trend Analysis)'!F42)</f>
        <v>1.5937187585334998E-2</v>
      </c>
      <c r="G43" s="31">
        <f>-('Constructed Financials'!G106/'Fin. Ratios (Trend Analysis)'!G42)</f>
        <v>1.5780430155323155E-2</v>
      </c>
      <c r="H43" s="31">
        <f>-('Constructed Financials'!H106/'Fin. Ratios (Trend Analysis)'!H42)</f>
        <v>1.3838295906264703E-2</v>
      </c>
      <c r="I43" s="31">
        <f t="shared" si="11"/>
        <v>1.6960413240976583E-2</v>
      </c>
      <c r="J43" s="31" cm="1">
        <f t="array" ref="J43">IFERROR(AVERAGE(IF(C43:H43&lt;&gt;MAX(C43:H43),IF(C43:H43&lt;&gt;MIN(C43:H43),C43:H43))),K43)</f>
        <v>1.6449838599470201E-2</v>
      </c>
      <c r="K43" s="31">
        <f t="shared" si="12"/>
        <v>1.3838295906264703E-2</v>
      </c>
      <c r="L43" s="31"/>
      <c r="M43" s="351"/>
      <c r="N43" s="333"/>
    </row>
    <row r="44" spans="1:14" ht="15.6" x14ac:dyDescent="0.3">
      <c r="A44" s="179" t="s">
        <v>387</v>
      </c>
      <c r="B44" s="348"/>
      <c r="C44" s="347">
        <f>C42/'Constructed Financials'!C25</f>
        <v>41.349136431784103</v>
      </c>
      <c r="D44" s="347">
        <f>D42/'Constructed Financials'!D25</f>
        <v>21.792360968348902</v>
      </c>
      <c r="E44" s="347">
        <f>E42/'Constructed Financials'!E25</f>
        <v>29.335476683937827</v>
      </c>
      <c r="F44" s="347">
        <f>F42/'Constructed Financials'!F25</f>
        <v>28.231946902654869</v>
      </c>
      <c r="G44" s="347">
        <f>G42/'Constructed Financials'!G25</f>
        <v>33.171396404109593</v>
      </c>
      <c r="H44" s="347">
        <f>H42/'Constructed Financials'!H25</f>
        <v>28.605264006189156</v>
      </c>
      <c r="I44" s="347">
        <f t="shared" si="11"/>
        <v>30.414263566170742</v>
      </c>
      <c r="J44" s="347" cm="1">
        <f t="array" ref="J44">IFERROR(AVERAGE(IF(C44:H44&lt;&gt;MAX(C44:H44),IF(C44:H44&lt;&gt;MIN(C44:H44),C44:H44))),K44)</f>
        <v>29.836020999222864</v>
      </c>
      <c r="K44" s="347">
        <f t="shared" si="12"/>
        <v>28.605264006189156</v>
      </c>
      <c r="L44" s="347">
        <v>29.6</v>
      </c>
      <c r="M44" s="346"/>
      <c r="N44" s="333"/>
    </row>
    <row r="45" spans="1:14" ht="15.6" x14ac:dyDescent="0.3">
      <c r="A45" s="179" t="s">
        <v>386</v>
      </c>
      <c r="B45" s="348"/>
      <c r="C45" s="347">
        <f>C42/'Constructed Financials'!C99</f>
        <v>9.9376189961445611</v>
      </c>
      <c r="D45" s="347">
        <f>D42/'Constructed Financials'!D99</f>
        <v>12.840709703821025</v>
      </c>
      <c r="E45" s="347">
        <f>E42/'Constructed Financials'!E99</f>
        <v>10.986369407329379</v>
      </c>
      <c r="F45" s="347">
        <f>F42/'Constructed Financials'!F99</f>
        <v>15.963583391919277</v>
      </c>
      <c r="G45" s="347">
        <f>G42/'Constructed Financials'!G99</f>
        <v>13.433719704587221</v>
      </c>
      <c r="H45" s="347">
        <f>H42/'Constructed Financials'!H99</f>
        <v>12.419421429771035</v>
      </c>
      <c r="I45" s="347">
        <f t="shared" si="11"/>
        <v>12.596903772262081</v>
      </c>
      <c r="J45" s="347" cm="1">
        <f t="array" ref="J45">IFERROR(AVERAGE(IF(C45:H45&lt;&gt;MAX(C45:H45),IF(C45:H45&lt;&gt;MIN(C45:H45),C45:H45))),K45)</f>
        <v>12.420055061377164</v>
      </c>
      <c r="K45" s="347">
        <f t="shared" si="12"/>
        <v>12.419421429771035</v>
      </c>
      <c r="L45" s="347"/>
      <c r="M45" s="346"/>
      <c r="N45" s="333"/>
    </row>
    <row r="46" spans="1:14" ht="16.2" thickBot="1" x14ac:dyDescent="0.35">
      <c r="A46" s="179" t="s">
        <v>385</v>
      </c>
      <c r="B46" s="348"/>
      <c r="C46" s="347">
        <f>C42/'Constructed Financials'!C67</f>
        <v>3.8043304458177003</v>
      </c>
      <c r="D46" s="347">
        <f>D42/'Constructed Financials'!D67</f>
        <v>4.343062362827947</v>
      </c>
      <c r="E46" s="347">
        <f>E42/'Constructed Financials'!E67</f>
        <v>4.8974024096385547</v>
      </c>
      <c r="F46" s="347">
        <f>F42/'Constructed Financials'!F67</f>
        <v>4.6366546550875052</v>
      </c>
      <c r="G46" s="347">
        <f>G42/'Constructed Financials'!G67</f>
        <v>5.0518549280899174</v>
      </c>
      <c r="H46" s="347">
        <f>H42/'Constructed Financials'!H67</f>
        <v>5.2908533167980352</v>
      </c>
      <c r="I46" s="347">
        <f t="shared" si="11"/>
        <v>4.670693019709943</v>
      </c>
      <c r="J46" s="347" cm="1">
        <f t="array" ref="J46">IFERROR(AVERAGE(IF(C46:H46&lt;&gt;MAX(C46:H46),IF(C46:H46&lt;&gt;MIN(C46:H46),C46:H46))),K46)</f>
        <v>4.7322435889109808</v>
      </c>
      <c r="K46" s="347">
        <f t="shared" si="12"/>
        <v>5.2908533167980352</v>
      </c>
      <c r="L46" s="347">
        <v>5</v>
      </c>
      <c r="M46" s="346">
        <v>15.58</v>
      </c>
      <c r="N46" s="333"/>
    </row>
    <row r="47" spans="1:14" ht="16.8" thickBot="1" x14ac:dyDescent="0.4">
      <c r="A47" s="321" t="s">
        <v>384</v>
      </c>
      <c r="B47" s="350"/>
      <c r="C47" s="349">
        <f>C42+'Constructed Financials'!C66+('Constructed Financials'!C55+'Constructed Financials'!C50)+'Constructed Financials'!C73-'Constructed Financials'!C33</f>
        <v>333247.74</v>
      </c>
      <c r="D47" s="349">
        <f>D42+'Constructed Financials'!D66+('Constructed Financials'!D55+'Constructed Financials'!D50)+'Constructed Financials'!D73-'Constructed Financials'!D33</f>
        <v>394143.12357</v>
      </c>
      <c r="E47" s="349">
        <f>E42+'Constructed Financials'!E66+('Constructed Financials'!E55+'Constructed Financials'!E50)+'Constructed Financials'!E73-'Constructed Financials'!E33</f>
        <v>448433.29000000004</v>
      </c>
      <c r="F47" s="349">
        <f>F42+'Constructed Financials'!F66+('Constructed Financials'!F55+'Constructed Financials'!F50)+'Constructed Financials'!F73-'Constructed Financials'!F33</f>
        <v>437216.41000000003</v>
      </c>
      <c r="G47" s="349">
        <f>G42+'Constructed Financials'!G66+('Constructed Financials'!G55+'Constructed Financials'!G50)+'Constructed Financials'!G73-'Constructed Financials'!G33</f>
        <v>444800.91000000003</v>
      </c>
      <c r="H47" s="349">
        <f>H42+'Constructed Financials'!H66+('Constructed Financials'!H55+'Constructed Financials'!H50)+'Constructed Financials'!H73-'Constructed Financials'!H33</f>
        <v>501638.25</v>
      </c>
      <c r="I47" s="349">
        <f t="shared" si="11"/>
        <v>426579.95392833342</v>
      </c>
      <c r="J47" s="349" cm="1">
        <f t="array" ref="J47">IFERROR(AVERAGE(IF(C47:H47&lt;&gt;MAX(C47:H47),IF(C47:H47&lt;&gt;MIN(C47:H47),C47:H47))),K47)</f>
        <v>431148.43339250004</v>
      </c>
      <c r="K47" s="349">
        <f t="shared" si="12"/>
        <v>501638.25</v>
      </c>
      <c r="L47" s="349"/>
      <c r="M47" s="320">
        <f>386851100000/1000000</f>
        <v>386851.1</v>
      </c>
      <c r="N47" s="333"/>
    </row>
    <row r="48" spans="1:14" ht="15.6" x14ac:dyDescent="0.3">
      <c r="A48" s="179" t="s">
        <v>383</v>
      </c>
      <c r="B48" s="348"/>
      <c r="C48" s="347">
        <f>C47/'Constructed Financials'!C8</f>
        <v>0.65121918046465999</v>
      </c>
      <c r="D48" s="347">
        <f>D47/'Constructed Financials'!D8</f>
        <v>0.75589464961471042</v>
      </c>
      <c r="E48" s="347">
        <f>E47/'Constructed Financials'!E8</f>
        <v>0.80518354990636221</v>
      </c>
      <c r="F48" s="347">
        <f>F47/'Constructed Financials'!F8</f>
        <v>0.76709747316487775</v>
      </c>
      <c r="G48" s="347">
        <f>G47/'Constructed Financials'!G8</f>
        <v>0.73100213482425913</v>
      </c>
      <c r="H48" s="347">
        <f>H47/'Constructed Financials'!H8</f>
        <v>0.77684606891040775</v>
      </c>
      <c r="I48" s="347">
        <f t="shared" si="11"/>
        <v>0.74787384281421287</v>
      </c>
      <c r="J48" s="347" cm="1">
        <f t="array" ref="J48">IFERROR(AVERAGE(IF(C48:H48&lt;&gt;MAX(C48:H48),IF(C48:H48&lt;&gt;MIN(C48:H48),C48:H48))),K48)</f>
        <v>0.75771008162856379</v>
      </c>
      <c r="K48" s="347">
        <f t="shared" si="12"/>
        <v>0.77684606891040775</v>
      </c>
      <c r="L48" s="347">
        <v>0.9</v>
      </c>
      <c r="M48" s="346">
        <v>1.59</v>
      </c>
      <c r="N48" s="333"/>
    </row>
    <row r="49" spans="1:17" ht="15.6" x14ac:dyDescent="0.3">
      <c r="A49" s="179" t="s">
        <v>382</v>
      </c>
      <c r="B49" s="348"/>
      <c r="C49" s="347">
        <f>C47/'Constructed Financials'!C14</f>
        <v>17.115080889528016</v>
      </c>
      <c r="D49" s="347">
        <f>D47/'Constructed Financials'!D14</f>
        <v>20.57973702850877</v>
      </c>
      <c r="E49" s="347">
        <f>E47/'Constructed Financials'!E14</f>
        <v>18.020224633313241</v>
      </c>
      <c r="F49" s="347">
        <f>F47/'Constructed Financials'!F14</f>
        <v>16.974004581101017</v>
      </c>
      <c r="G49" s="347">
        <f>G47/'Constructed Financials'!G14</f>
        <v>20.409328714325046</v>
      </c>
      <c r="H49" s="347">
        <f>H47/'Constructed Financials'!H14</f>
        <v>20.295272484524823</v>
      </c>
      <c r="I49" s="347">
        <f t="shared" si="11"/>
        <v>18.898941388550153</v>
      </c>
      <c r="J49" s="347" cm="1">
        <f t="array" ref="J49">IFERROR(AVERAGE(IF(C49:H49&lt;&gt;MAX(C49:H49),IF(C49:H49&lt;&gt;MIN(C49:H49),C49:H49))),K49)</f>
        <v>18.959976680422784</v>
      </c>
      <c r="K49" s="347">
        <f t="shared" si="12"/>
        <v>20.295272484524823</v>
      </c>
      <c r="L49" s="347">
        <v>20.100000000000001</v>
      </c>
      <c r="M49" s="346">
        <v>45.39</v>
      </c>
      <c r="N49" s="333"/>
    </row>
    <row r="50" spans="1:17" ht="16.2" thickBot="1" x14ac:dyDescent="0.35">
      <c r="A50" s="198" t="s">
        <v>381</v>
      </c>
      <c r="B50" s="345"/>
      <c r="C50" s="344">
        <f>C47/'Constructed Financials'!C12</f>
        <v>11.053359647086138</v>
      </c>
      <c r="D50" s="344">
        <f>D47/'Constructed Financials'!D12</f>
        <v>13.077511648362586</v>
      </c>
      <c r="E50" s="344">
        <f>E47/'Constructed Financials'!E12</f>
        <v>12.443690928767657</v>
      </c>
      <c r="F50" s="344">
        <f>F47/'Constructed Financials'!F12</f>
        <v>12.006162401142356</v>
      </c>
      <c r="G50" s="344">
        <f>G47/'Constructed Financials'!G12</f>
        <v>13.586270503069734</v>
      </c>
      <c r="H50" s="344">
        <f>H47/'Constructed Financials'!H12</f>
        <v>13.717206726825266</v>
      </c>
      <c r="I50" s="344">
        <f t="shared" si="11"/>
        <v>12.647366975875622</v>
      </c>
      <c r="J50" s="344" cm="1">
        <f t="array" ref="J50">IFERROR(AVERAGE(IF(C50:H50&lt;&gt;MAX(C50:H50),IF(C50:H50&lt;&gt;MIN(C50:H50),C50:H50))),K50)</f>
        <v>12.778408870335584</v>
      </c>
      <c r="K50" s="344">
        <f t="shared" si="12"/>
        <v>13.717206726825266</v>
      </c>
      <c r="L50" s="344">
        <v>12.4</v>
      </c>
      <c r="M50" s="343">
        <v>34.94</v>
      </c>
      <c r="N50" s="330"/>
    </row>
    <row r="51" spans="1:17" ht="16.2" thickBot="1" x14ac:dyDescent="0.35">
      <c r="A51" s="1"/>
      <c r="B51" s="34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7" ht="16.8" thickBot="1" x14ac:dyDescent="0.4">
      <c r="A52" s="104"/>
      <c r="B52" s="341" t="str">
        <f t="shared" ref="B52:H52" si="13">B4</f>
        <v>Fiscal Year</v>
      </c>
      <c r="C52" s="340">
        <f t="shared" si="13"/>
        <v>2018</v>
      </c>
      <c r="D52" s="75">
        <f t="shared" si="13"/>
        <v>2019</v>
      </c>
      <c r="E52" s="75">
        <f t="shared" si="13"/>
        <v>2020</v>
      </c>
      <c r="F52" s="75">
        <f t="shared" si="13"/>
        <v>2021</v>
      </c>
      <c r="G52" s="75">
        <f t="shared" si="13"/>
        <v>2022</v>
      </c>
      <c r="H52" s="75">
        <f t="shared" si="13"/>
        <v>2023</v>
      </c>
      <c r="I52" s="339" t="s">
        <v>292</v>
      </c>
      <c r="J52" s="338" t="s">
        <v>291</v>
      </c>
      <c r="K52" s="338" t="s">
        <v>290</v>
      </c>
      <c r="L52" s="413" t="s">
        <v>380</v>
      </c>
      <c r="M52" s="421" t="s">
        <v>379</v>
      </c>
      <c r="N52" s="419" t="s">
        <v>378</v>
      </c>
    </row>
    <row r="53" spans="1:17" ht="16.8" thickBot="1" x14ac:dyDescent="0.4">
      <c r="A53" s="102" t="s">
        <v>377</v>
      </c>
      <c r="B53" s="43" t="s">
        <v>305</v>
      </c>
      <c r="C53" s="337">
        <f>'Constructed Financials'!C4</f>
        <v>43496</v>
      </c>
      <c r="D53" s="336">
        <f>'Constructed Financials'!D4</f>
        <v>43861</v>
      </c>
      <c r="E53" s="336">
        <f>'Constructed Financials'!E4</f>
        <v>44227</v>
      </c>
      <c r="F53" s="336">
        <f>'Constructed Financials'!F4</f>
        <v>44592</v>
      </c>
      <c r="G53" s="336">
        <f>'Constructed Financials'!G4</f>
        <v>44957</v>
      </c>
      <c r="H53" s="336">
        <f>'Constructed Financials'!H4</f>
        <v>45322</v>
      </c>
      <c r="I53" s="307" t="s">
        <v>288</v>
      </c>
      <c r="J53" s="306" t="s">
        <v>287</v>
      </c>
      <c r="K53" s="335" t="s">
        <v>286</v>
      </c>
      <c r="L53" s="414"/>
      <c r="M53" s="414"/>
      <c r="N53" s="420"/>
    </row>
    <row r="54" spans="1:17" ht="15.6" x14ac:dyDescent="0.3">
      <c r="A54" s="179" t="s">
        <v>376</v>
      </c>
      <c r="B54" s="25"/>
      <c r="C54" s="31">
        <f>('Constructed Financials'!C50+'Constructed Financials'!C55)/('Constructed Financials'!C50+'Constructed Financials'!C55+'Fin. Ratios (Trend Analysis)'!C42)</f>
        <v>0.17383907234225243</v>
      </c>
      <c r="D54" s="31">
        <f>('Constructed Financials'!D50+'Constructed Financials'!D55)/('Constructed Financials'!D50+'Constructed Financials'!D55+'Fin. Ratios (Trend Analysis)'!D42)</f>
        <v>0.1825772952017736</v>
      </c>
      <c r="E54" s="31">
        <f>('Constructed Financials'!E50+'Constructed Financials'!E55)/('Constructed Financials'!E50+'Constructed Financials'!E55+'Fin. Ratios (Trend Analysis)'!E42)</f>
        <v>0.13762046115061594</v>
      </c>
      <c r="F54" s="31">
        <f>('Constructed Financials'!F50+'Constructed Financials'!F55)/('Constructed Financials'!F50+'Constructed Financials'!F55+'Fin. Ratios (Trend Analysis)'!F42)</f>
        <v>0.12929851938612763</v>
      </c>
      <c r="G54" s="31">
        <f>('Constructed Financials'!G50+'Constructed Financials'!G55)/('Constructed Financials'!G50+'Constructed Financials'!G55+'Fin. Ratios (Trend Analysis)'!G42)</f>
        <v>0.1320063443159096</v>
      </c>
      <c r="H54" s="31">
        <f>('Constructed Financials'!H50+'Constructed Financials'!H55)/('Constructed Financials'!H50+'Constructed Financials'!H55+'Fin. Ratios (Trend Analysis)'!H42)</f>
        <v>0.12142357513530479</v>
      </c>
      <c r="I54" s="31">
        <f>AVERAGE(C54:H54)</f>
        <v>0.146127544588664</v>
      </c>
      <c r="J54" s="31" cm="1">
        <f t="array" ref="J54">IFERROR(AVERAGE(IF(C54:H54&lt;&gt;MAX(C54:H54),IF(C54:H54&lt;&gt;MIN(C54:H54),C54:H54))),K54)</f>
        <v>0.14319109929872639</v>
      </c>
      <c r="K54" s="334">
        <f>H54</f>
        <v>0.12142357513530479</v>
      </c>
      <c r="L54" s="334"/>
      <c r="M54" s="334"/>
      <c r="N54" s="333"/>
      <c r="O54" s="409"/>
      <c r="P54" s="410"/>
      <c r="Q54" s="410"/>
    </row>
    <row r="55" spans="1:17" ht="16.2" thickBot="1" x14ac:dyDescent="0.35">
      <c r="A55" s="198" t="s">
        <v>375</v>
      </c>
      <c r="B55" s="197"/>
      <c r="C55" s="332">
        <f>C42/('Constructed Financials'!C50+'Constructed Financials'!C55+'Fin. Ratios (Trend Analysis)'!C42)</f>
        <v>0.82616092765774762</v>
      </c>
      <c r="D55" s="332">
        <f>D42/('Constructed Financials'!D50+'Constructed Financials'!D55+'Fin. Ratios (Trend Analysis)'!D42)</f>
        <v>0.81742270479822643</v>
      </c>
      <c r="E55" s="332">
        <f>E42/('Constructed Financials'!E50+'Constructed Financials'!E55+'Fin. Ratios (Trend Analysis)'!E42)</f>
        <v>0.86237953884938412</v>
      </c>
      <c r="F55" s="332">
        <f>F42/('Constructed Financials'!F50+'Constructed Financials'!F55+'Fin. Ratios (Trend Analysis)'!F42)</f>
        <v>0.87070148061387242</v>
      </c>
      <c r="G55" s="332">
        <f>G42/('Constructed Financials'!G50+'Constructed Financials'!G55+'Fin. Ratios (Trend Analysis)'!G42)</f>
        <v>0.86799365568409037</v>
      </c>
      <c r="H55" s="332">
        <f>H42/('Constructed Financials'!H50+'Constructed Financials'!H55+'Fin. Ratios (Trend Analysis)'!H42)</f>
        <v>0.87857642486469523</v>
      </c>
      <c r="I55" s="332">
        <f>AVERAGE(C55:H55)</f>
        <v>0.85387245541133605</v>
      </c>
      <c r="J55" s="332" cm="1">
        <f t="array" ref="J55">IFERROR(AVERAGE(IF(C55:H55&lt;&gt;MAX(C55:H55),IF(C55:H55&lt;&gt;MIN(C55:H55),C55:H55))),K55)</f>
        <v>0.85680890070127358</v>
      </c>
      <c r="K55" s="331">
        <f>H55</f>
        <v>0.87857642486469523</v>
      </c>
      <c r="L55" s="331"/>
      <c r="M55" s="331"/>
      <c r="N55" s="330"/>
      <c r="O55" s="409"/>
      <c r="P55" s="410"/>
      <c r="Q55" s="410"/>
    </row>
    <row r="56" spans="1:17" ht="14.4" thickBot="1" x14ac:dyDescent="0.3"/>
    <row r="57" spans="1:17" ht="14.4" thickBot="1" x14ac:dyDescent="0.3">
      <c r="C57" s="329"/>
      <c r="D57" s="328"/>
    </row>
    <row r="58" spans="1:17" ht="14.4" thickBot="1" x14ac:dyDescent="0.3">
      <c r="C58" s="327" t="s">
        <v>374</v>
      </c>
      <c r="D58" s="326">
        <v>0.12142357513530479</v>
      </c>
      <c r="H58" s="422" t="s">
        <v>373</v>
      </c>
      <c r="I58" s="325" t="s">
        <v>372</v>
      </c>
    </row>
    <row r="59" spans="1:17" ht="16.8" thickBot="1" x14ac:dyDescent="0.4">
      <c r="C59" s="324" t="s">
        <v>371</v>
      </c>
      <c r="D59" s="323">
        <v>0.87857642486469523</v>
      </c>
      <c r="G59" s="321" t="s">
        <v>370</v>
      </c>
      <c r="H59" s="322">
        <v>387441.91000000003</v>
      </c>
      <c r="I59" s="322">
        <v>443696.25</v>
      </c>
    </row>
    <row r="60" spans="1:17" ht="16.8" thickBot="1" x14ac:dyDescent="0.4">
      <c r="G60" s="321" t="s">
        <v>369</v>
      </c>
      <c r="H60" s="320">
        <v>444800.91000000003</v>
      </c>
      <c r="I60" s="320">
        <v>501638.25</v>
      </c>
    </row>
    <row r="1000" spans="649:649" ht="15.6" x14ac:dyDescent="0.3">
      <c r="XY1000" s="2">
        <v>117383</v>
      </c>
    </row>
  </sheetData>
  <mergeCells count="21">
    <mergeCell ref="L1:L2"/>
    <mergeCell ref="M1:M2"/>
    <mergeCell ref="M4:M5"/>
    <mergeCell ref="N40:N41"/>
    <mergeCell ref="N52:N53"/>
    <mergeCell ref="N4:N5"/>
    <mergeCell ref="N10:N11"/>
    <mergeCell ref="N20:N21"/>
    <mergeCell ref="N28:N29"/>
    <mergeCell ref="M40:M41"/>
    <mergeCell ref="M52:M53"/>
    <mergeCell ref="M28:M29"/>
    <mergeCell ref="M20:M21"/>
    <mergeCell ref="M10:M11"/>
    <mergeCell ref="O54:Q55"/>
    <mergeCell ref="L4:L5"/>
    <mergeCell ref="L10:L11"/>
    <mergeCell ref="L20:L21"/>
    <mergeCell ref="L28:L29"/>
    <mergeCell ref="L40:L41"/>
    <mergeCell ref="L52:L53"/>
  </mergeCells>
  <conditionalFormatting sqref="C6:H6">
    <cfRule type="cellIs" dxfId="9" priority="9" operator="greaterThan">
      <formula>$I$6</formula>
    </cfRule>
    <cfRule type="expression" dxfId="8" priority="10">
      <formula>if+$C$6:$H$6&lt;$I$6</formula>
    </cfRule>
  </conditionalFormatting>
  <conditionalFormatting sqref="C7:H7">
    <cfRule type="cellIs" dxfId="7" priority="8" operator="greaterThan">
      <formula>$I$7</formula>
    </cfRule>
  </conditionalFormatting>
  <conditionalFormatting sqref="C8:H8">
    <cfRule type="cellIs" dxfId="6" priority="7" operator="greaterThan">
      <formula>$I$8</formula>
    </cfRule>
  </conditionalFormatting>
  <conditionalFormatting sqref="C12:H12">
    <cfRule type="cellIs" dxfId="5" priority="6" operator="greaterThan">
      <formula>$I$12</formula>
    </cfRule>
  </conditionalFormatting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530F323-980E-4954-84EB-EB1074E0D28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Analysis)'!C6:H6</xm:f>
              <xm:sqref>N6</xm:sqref>
            </x14:sparkline>
            <x14:sparkline>
              <xm:f>'Fin. Ratios (Trend Analysis)'!C7:H7</xm:f>
              <xm:sqref>N7</xm:sqref>
            </x14:sparkline>
            <x14:sparkline>
              <xm:f>'Fin. Ratios (Trend Analysis)'!C8:H8</xm:f>
              <xm:sqref>N8</xm:sqref>
            </x14:sparkline>
          </x14:sparklines>
        </x14:sparklineGroup>
        <x14:sparklineGroup displayEmptyCellsAs="gap" xr2:uid="{4C65449F-B832-4AA3-82C4-1F8609737E9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Analysis)'!C12:H12</xm:f>
              <xm:sqref>N12</xm:sqref>
            </x14:sparkline>
          </x14:sparklines>
        </x14:sparklineGroup>
        <x14:sparklineGroup displayEmptyCellsAs="gap" xr2:uid="{396B405F-35F6-4265-A6F0-355B134A732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Analysis)'!C13:H13</xm:f>
              <xm:sqref>N13</xm:sqref>
            </x14:sparkline>
            <x14:sparkline>
              <xm:f>'Fin. Ratios (Trend Analysis)'!C14:H14</xm:f>
              <xm:sqref>N14</xm:sqref>
            </x14:sparkline>
            <x14:sparkline>
              <xm:f>'Fin. Ratios (Trend Analysis)'!C15:H15</xm:f>
              <xm:sqref>N15</xm:sqref>
            </x14:sparkline>
            <x14:sparkline>
              <xm:f>'Fin. Ratios (Trend Analysis)'!C16:H16</xm:f>
              <xm:sqref>N16</xm:sqref>
            </x14:sparkline>
            <x14:sparkline>
              <xm:f>'Fin. Ratios (Trend Analysis)'!C17:H17</xm:f>
              <xm:sqref>N17</xm:sqref>
            </x14:sparkline>
            <x14:sparkline>
              <xm:f>'Fin. Ratios (Trend Analysis)'!C18:H18</xm:f>
              <xm:sqref>N18</xm:sqref>
            </x14:sparkline>
          </x14:sparklines>
        </x14:sparklineGroup>
        <x14:sparklineGroup displayEmptyCellsAs="gap" xr2:uid="{147345BC-98E0-4665-9BC4-F7A1190D07C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Analysis)'!C22:H22</xm:f>
              <xm:sqref>N22</xm:sqref>
            </x14:sparkline>
            <x14:sparkline>
              <xm:f>'Fin. Ratios (Trend Analysis)'!C23:H23</xm:f>
              <xm:sqref>N23</xm:sqref>
            </x14:sparkline>
            <x14:sparkline>
              <xm:f>'Fin. Ratios (Trend Analysis)'!C24:H24</xm:f>
              <xm:sqref>N24</xm:sqref>
            </x14:sparkline>
            <x14:sparkline>
              <xm:f>'Fin. Ratios (Trend Analysis)'!C25:H25</xm:f>
              <xm:sqref>N25</xm:sqref>
            </x14:sparkline>
            <x14:sparkline>
              <xm:f>'Fin. Ratios (Trend Analysis)'!C26:H26</xm:f>
              <xm:sqref>N26</xm:sqref>
            </x14:sparkline>
          </x14:sparklines>
        </x14:sparklineGroup>
        <x14:sparklineGroup displayEmptyCellsAs="gap" xr2:uid="{FFDE333C-D115-4E03-86FA-DD9820D3CCF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Analysis)'!C30:H30</xm:f>
              <xm:sqref>N30</xm:sqref>
            </x14:sparkline>
            <x14:sparkline>
              <xm:f>'Fin. Ratios (Trend Analysis)'!C31:H31</xm:f>
              <xm:sqref>N31</xm:sqref>
            </x14:sparkline>
            <x14:sparkline>
              <xm:f>'Fin. Ratios (Trend Analysis)'!C32:H32</xm:f>
              <xm:sqref>N32</xm:sqref>
            </x14:sparkline>
            <x14:sparkline>
              <xm:f>'Fin. Ratios (Trend Analysis)'!C33:H33</xm:f>
              <xm:sqref>N33</xm:sqref>
            </x14:sparkline>
            <x14:sparkline>
              <xm:f>'Fin. Ratios (Trend Analysis)'!C34:H34</xm:f>
              <xm:sqref>N34</xm:sqref>
            </x14:sparkline>
            <x14:sparkline>
              <xm:f>'Fin. Ratios (Trend Analysis)'!C35:H35</xm:f>
              <xm:sqref>N35</xm:sqref>
            </x14:sparkline>
            <x14:sparkline>
              <xm:f>'Fin. Ratios (Trend Analysis)'!C36:H36</xm:f>
              <xm:sqref>N36</xm:sqref>
            </x14:sparkline>
            <x14:sparkline>
              <xm:f>'Fin. Ratios (Trend Analysis)'!C37:H37</xm:f>
              <xm:sqref>N37</xm:sqref>
            </x14:sparkline>
            <x14:sparkline>
              <xm:f>'Fin. Ratios (Trend Analysis)'!C38:H38</xm:f>
              <xm:sqref>N38</xm:sqref>
            </x14:sparkline>
          </x14:sparklines>
        </x14:sparklineGroup>
        <x14:sparklineGroup displayEmptyCellsAs="gap" xr2:uid="{ADF563FD-8A12-40A6-A3B8-E0B33B3386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Analysis)'!C42:H42</xm:f>
              <xm:sqref>N42</xm:sqref>
            </x14:sparkline>
            <x14:sparkline>
              <xm:f>'Fin. Ratios (Trend Analysis)'!C43:H43</xm:f>
              <xm:sqref>N43</xm:sqref>
            </x14:sparkline>
            <x14:sparkline>
              <xm:f>'Fin. Ratios (Trend Analysis)'!C44:H44</xm:f>
              <xm:sqref>N44</xm:sqref>
            </x14:sparkline>
            <x14:sparkline>
              <xm:f>'Fin. Ratios (Trend Analysis)'!C45:H45</xm:f>
              <xm:sqref>N45</xm:sqref>
            </x14:sparkline>
            <x14:sparkline>
              <xm:f>'Fin. Ratios (Trend Analysis)'!C46:H46</xm:f>
              <xm:sqref>N46</xm:sqref>
            </x14:sparkline>
            <x14:sparkline>
              <xm:f>'Fin. Ratios (Trend Analysis)'!C47:H47</xm:f>
              <xm:sqref>N47</xm:sqref>
            </x14:sparkline>
            <x14:sparkline>
              <xm:f>'Fin. Ratios (Trend Analysis)'!C48:H48</xm:f>
              <xm:sqref>N48</xm:sqref>
            </x14:sparkline>
            <x14:sparkline>
              <xm:f>'Fin. Ratios (Trend Analysis)'!C49:H49</xm:f>
              <xm:sqref>N49</xm:sqref>
            </x14:sparkline>
            <x14:sparkline>
              <xm:f>'Fin. Ratios (Trend Analysis)'!C50:H50</xm:f>
              <xm:sqref>N50</xm:sqref>
            </x14:sparkline>
          </x14:sparklines>
        </x14:sparklineGroup>
        <x14:sparklineGroup displayEmptyCellsAs="gap" xr2:uid="{5D444F35-7AEE-4CBA-BBCD-C5ADB8DA576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'Fin. Ratios (Trend Analysis)'!C54:H54</xm:f>
              <xm:sqref>N54</xm:sqref>
            </x14:sparkline>
            <x14:sparkline>
              <xm:f>'Fin. Ratios (Trend Analysis)'!C55:H55</xm:f>
              <xm:sqref>N55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2FEC-8B58-42D8-8F75-CC37740862A7}">
  <dimension ref="A1:C51"/>
  <sheetViews>
    <sheetView tabSelected="1" topLeftCell="A26" workbookViewId="0">
      <selection activeCell="H45" sqref="H45"/>
    </sheetView>
  </sheetViews>
  <sheetFormatPr defaultColWidth="9" defaultRowHeight="13.2" x14ac:dyDescent="0.25"/>
  <cols>
    <col min="1" max="1" width="46.59765625" style="390" customWidth="1"/>
    <col min="2" max="2" width="11.59765625" style="390" bestFit="1" customWidth="1"/>
    <col min="3" max="3" width="11.19921875" style="390" customWidth="1"/>
    <col min="4" max="16384" width="9" style="390"/>
  </cols>
  <sheetData>
    <row r="1" spans="1:3" x14ac:dyDescent="0.25">
      <c r="A1" s="400" t="s">
        <v>418</v>
      </c>
      <c r="B1" s="404" t="s">
        <v>423</v>
      </c>
      <c r="C1" s="421" t="s">
        <v>380</v>
      </c>
    </row>
    <row r="2" spans="1:3" ht="12.9" customHeight="1" thickBot="1" x14ac:dyDescent="0.3">
      <c r="A2" s="400"/>
      <c r="B2" s="404"/>
      <c r="C2" s="414"/>
    </row>
    <row r="3" spans="1:3" ht="15.6" x14ac:dyDescent="0.3">
      <c r="A3" s="179" t="s">
        <v>417</v>
      </c>
      <c r="B3" s="363">
        <f>'Fin. Ratios (Trend Analysis)'!H6</f>
        <v>0.83186712113834338</v>
      </c>
      <c r="C3" s="363">
        <v>0.8</v>
      </c>
    </row>
    <row r="4" spans="1:3" ht="15.6" x14ac:dyDescent="0.3">
      <c r="A4" s="179" t="s">
        <v>416</v>
      </c>
      <c r="B4" s="363">
        <f>'Fin. Ratios (Trend Analysis)'!H7</f>
        <v>0.20194773575718228</v>
      </c>
      <c r="C4" s="363">
        <v>1.2</v>
      </c>
    </row>
    <row r="5" spans="1:3" ht="16.2" thickBot="1" x14ac:dyDescent="0.35">
      <c r="A5" s="179" t="s">
        <v>415</v>
      </c>
      <c r="B5" s="374">
        <f>'Fin. Ratios (Trend Analysis)'!H8</f>
        <v>0.10676838175620841</v>
      </c>
      <c r="C5" s="374">
        <v>0.2</v>
      </c>
    </row>
    <row r="6" spans="1:3" ht="16.2" thickBot="1" x14ac:dyDescent="0.35">
      <c r="A6" s="198"/>
      <c r="B6" s="197"/>
      <c r="C6" s="371"/>
    </row>
    <row r="7" spans="1:3" ht="15" customHeight="1" x14ac:dyDescent="0.3">
      <c r="A7" s="104"/>
      <c r="B7" s="404" t="s">
        <v>423</v>
      </c>
      <c r="C7" s="413" t="s">
        <v>380</v>
      </c>
    </row>
    <row r="8" spans="1:3" ht="15.6" customHeight="1" thickBot="1" x14ac:dyDescent="0.35">
      <c r="A8" s="102" t="s">
        <v>414</v>
      </c>
      <c r="B8" s="404"/>
      <c r="C8" s="414"/>
    </row>
    <row r="9" spans="1:3" ht="15.6" x14ac:dyDescent="0.3">
      <c r="A9" s="179" t="s">
        <v>413</v>
      </c>
      <c r="B9" s="364">
        <f>'Fin. Ratios (Trend Analysis)'!H12</f>
        <v>2.5583976164723317</v>
      </c>
      <c r="C9" s="364">
        <v>1.9</v>
      </c>
    </row>
    <row r="10" spans="1:3" ht="15.6" x14ac:dyDescent="0.3">
      <c r="A10" s="179" t="s">
        <v>412</v>
      </c>
      <c r="B10" s="347">
        <f>'Fin. Ratios (Trend Analysis)'!H13</f>
        <v>3.6789519262542587</v>
      </c>
      <c r="C10" s="347">
        <v>4.3</v>
      </c>
    </row>
    <row r="11" spans="1:3" ht="15.6" x14ac:dyDescent="0.3">
      <c r="A11" s="179" t="s">
        <v>411</v>
      </c>
      <c r="B11" s="347">
        <f>'Fin. Ratios (Trend Analysis)'!H14</f>
        <v>8.7132733367339501</v>
      </c>
      <c r="C11" s="347">
        <v>8.5</v>
      </c>
    </row>
    <row r="12" spans="1:3" ht="15.6" x14ac:dyDescent="0.3">
      <c r="A12" s="179" t="s">
        <v>410</v>
      </c>
      <c r="B12" s="347">
        <f>'Fin. Ratios (Trend Analysis)'!H15</f>
        <v>41.890112463385108</v>
      </c>
      <c r="C12" s="347">
        <v>44.7</v>
      </c>
    </row>
    <row r="13" spans="1:3" ht="15.6" x14ac:dyDescent="0.3">
      <c r="A13" s="179" t="s">
        <v>409</v>
      </c>
      <c r="B13" s="347">
        <f>'Fin. Ratios (Trend Analysis)'!H16</f>
        <v>4.9719003247452136</v>
      </c>
      <c r="C13" s="347">
        <v>11.5</v>
      </c>
    </row>
    <row r="14" spans="1:3" ht="15.6" x14ac:dyDescent="0.3">
      <c r="A14" s="179" t="s">
        <v>408</v>
      </c>
      <c r="B14" s="347">
        <f>'Fin. Ratios (Trend Analysis)'!H17</f>
        <v>43.355335372546719</v>
      </c>
      <c r="C14" s="347">
        <v>48</v>
      </c>
    </row>
    <row r="15" spans="1:3" ht="16.2" thickBot="1" x14ac:dyDescent="0.35">
      <c r="A15" s="198" t="s">
        <v>407</v>
      </c>
      <c r="B15" s="344">
        <f>'Fin. Ratios (Trend Analysis)'!H18</f>
        <v>3.5066774155836029</v>
      </c>
      <c r="C15" s="344">
        <f>C12+C13-C14</f>
        <v>8.2000000000000028</v>
      </c>
    </row>
    <row r="16" spans="1:3" ht="16.2" thickBot="1" x14ac:dyDescent="0.35">
      <c r="A16" s="179"/>
      <c r="B16" s="25"/>
      <c r="C16" s="359"/>
    </row>
    <row r="17" spans="1:3" ht="15" customHeight="1" x14ac:dyDescent="0.3">
      <c r="A17" s="104"/>
      <c r="B17" s="404" t="s">
        <v>423</v>
      </c>
      <c r="C17" s="413" t="s">
        <v>380</v>
      </c>
    </row>
    <row r="18" spans="1:3" ht="15.6" customHeight="1" thickBot="1" x14ac:dyDescent="0.35">
      <c r="A18" s="102" t="s">
        <v>406</v>
      </c>
      <c r="B18" s="404"/>
      <c r="C18" s="414"/>
    </row>
    <row r="19" spans="1:3" ht="15.6" x14ac:dyDescent="0.3">
      <c r="A19" s="179" t="s">
        <v>405</v>
      </c>
      <c r="B19" s="364">
        <v>0.24295262659519254</v>
      </c>
      <c r="C19" s="364"/>
    </row>
    <row r="20" spans="1:3" ht="15.6" x14ac:dyDescent="0.3">
      <c r="A20" s="179" t="s">
        <v>404</v>
      </c>
      <c r="B20" s="347">
        <v>0.73122190291076905</v>
      </c>
      <c r="C20" s="347">
        <v>0.89200000000000002</v>
      </c>
    </row>
    <row r="21" spans="1:3" ht="15.6" x14ac:dyDescent="0.3">
      <c r="A21" s="179" t="s">
        <v>403</v>
      </c>
      <c r="B21" s="347">
        <v>0.21705315789682209</v>
      </c>
      <c r="C21" s="347"/>
    </row>
    <row r="22" spans="1:3" ht="15.6" x14ac:dyDescent="0.3">
      <c r="A22" s="179" t="s">
        <v>402</v>
      </c>
      <c r="B22" s="347">
        <v>0.65327148495725074</v>
      </c>
      <c r="C22" s="347">
        <v>0.4</v>
      </c>
    </row>
    <row r="23" spans="1:3" ht="16.2" thickBot="1" x14ac:dyDescent="0.35">
      <c r="A23" s="198" t="s">
        <v>401</v>
      </c>
      <c r="B23" s="344">
        <v>9.2124487513976892</v>
      </c>
      <c r="C23" s="344"/>
    </row>
    <row r="24" spans="1:3" ht="16.2" thickBot="1" x14ac:dyDescent="0.35">
      <c r="A24" s="179"/>
      <c r="B24" s="25"/>
      <c r="C24" s="359"/>
    </row>
    <row r="25" spans="1:3" ht="15" customHeight="1" x14ac:dyDescent="0.3">
      <c r="A25" s="104"/>
      <c r="B25" s="407" t="s">
        <v>423</v>
      </c>
      <c r="C25" s="413" t="s">
        <v>380</v>
      </c>
    </row>
    <row r="26" spans="1:3" ht="15.6" customHeight="1" thickBot="1" x14ac:dyDescent="0.35">
      <c r="A26" s="395" t="s">
        <v>400</v>
      </c>
      <c r="B26" s="408"/>
      <c r="C26" s="414"/>
    </row>
    <row r="27" spans="1:3" ht="15.6" x14ac:dyDescent="0.3">
      <c r="A27" s="179" t="s">
        <v>399</v>
      </c>
      <c r="B27" s="31">
        <v>0.25931300204262725</v>
      </c>
      <c r="C27" s="351">
        <v>0.27500000000000002</v>
      </c>
    </row>
    <row r="28" spans="1:3" ht="15.6" x14ac:dyDescent="0.3">
      <c r="A28" s="179" t="s">
        <v>398</v>
      </c>
      <c r="B28" s="31">
        <v>3.8277193346517233E-2</v>
      </c>
      <c r="C28" s="351">
        <v>2.5999999999999999E-2</v>
      </c>
    </row>
    <row r="29" spans="1:3" ht="15.6" x14ac:dyDescent="0.3">
      <c r="A29" s="179" t="s">
        <v>397</v>
      </c>
      <c r="B29" s="31">
        <v>2.402061520402269E-2</v>
      </c>
      <c r="C29" s="351">
        <v>0.02</v>
      </c>
    </row>
    <row r="30" spans="1:3" ht="15.6" x14ac:dyDescent="0.3">
      <c r="A30" s="179" t="s">
        <v>396</v>
      </c>
      <c r="B30" s="31">
        <v>6.1454284684170697E-2</v>
      </c>
      <c r="C30" s="351">
        <v>4.9000000000000002E-2</v>
      </c>
    </row>
    <row r="31" spans="1:3" ht="15.6" x14ac:dyDescent="0.3">
      <c r="A31" s="179" t="s">
        <v>395</v>
      </c>
      <c r="B31" s="31">
        <v>0.18496082803687053</v>
      </c>
      <c r="C31" s="351">
        <v>0.14799999999999999</v>
      </c>
    </row>
    <row r="32" spans="1:3" ht="15.6" x14ac:dyDescent="0.3">
      <c r="A32" s="365" t="s">
        <v>394</v>
      </c>
      <c r="B32" s="31">
        <v>0.18496082803687053</v>
      </c>
      <c r="C32" s="363"/>
    </row>
    <row r="33" spans="1:3" ht="15.6" x14ac:dyDescent="0.3">
      <c r="A33" s="179" t="s">
        <v>393</v>
      </c>
      <c r="B33" s="347">
        <v>2.5583976164723317</v>
      </c>
      <c r="C33" s="346"/>
    </row>
    <row r="34" spans="1:3" ht="15.6" x14ac:dyDescent="0.3">
      <c r="A34" s="179" t="s">
        <v>392</v>
      </c>
      <c r="B34" s="31">
        <v>2.402061520402269E-2</v>
      </c>
      <c r="C34" s="346"/>
    </row>
    <row r="35" spans="1:3" ht="16.2" thickBot="1" x14ac:dyDescent="0.35">
      <c r="A35" s="198" t="s">
        <v>391</v>
      </c>
      <c r="B35" s="396">
        <v>3.0097303871883234</v>
      </c>
      <c r="C35" s="343"/>
    </row>
    <row r="36" spans="1:3" ht="16.2" thickBot="1" x14ac:dyDescent="0.35">
      <c r="A36" s="179"/>
      <c r="B36" s="25"/>
      <c r="C36" s="359"/>
    </row>
    <row r="37" spans="1:3" ht="15" customHeight="1" x14ac:dyDescent="0.3">
      <c r="A37" s="104"/>
      <c r="B37" s="407" t="s">
        <v>423</v>
      </c>
      <c r="C37" s="413" t="s">
        <v>380</v>
      </c>
    </row>
    <row r="38" spans="1:3" ht="15.6" customHeight="1" thickBot="1" x14ac:dyDescent="0.35">
      <c r="A38" s="395" t="s">
        <v>390</v>
      </c>
      <c r="B38" s="408"/>
      <c r="C38" s="414"/>
    </row>
    <row r="39" spans="1:3" ht="16.8" thickBot="1" x14ac:dyDescent="0.4">
      <c r="A39" s="321" t="s">
        <v>389</v>
      </c>
      <c r="B39" s="394">
        <v>443696.25</v>
      </c>
      <c r="C39" s="397"/>
    </row>
    <row r="40" spans="1:3" ht="15.6" x14ac:dyDescent="0.3">
      <c r="A40" s="179" t="s">
        <v>388</v>
      </c>
      <c r="B40" s="31">
        <v>1.3838295906264703E-2</v>
      </c>
      <c r="C40" s="351"/>
    </row>
    <row r="41" spans="1:3" ht="15.6" x14ac:dyDescent="0.3">
      <c r="A41" s="179" t="s">
        <v>387</v>
      </c>
      <c r="B41" s="347">
        <v>28.605264006189156</v>
      </c>
      <c r="C41" s="346">
        <v>29.6</v>
      </c>
    </row>
    <row r="42" spans="1:3" ht="15.6" x14ac:dyDescent="0.3">
      <c r="A42" s="179" t="s">
        <v>386</v>
      </c>
      <c r="B42" s="347">
        <v>12.419421429771035</v>
      </c>
      <c r="C42" s="346"/>
    </row>
    <row r="43" spans="1:3" ht="16.2" thickBot="1" x14ac:dyDescent="0.35">
      <c r="A43" s="179" t="s">
        <v>385</v>
      </c>
      <c r="B43" s="347">
        <v>5.2908533167980352</v>
      </c>
      <c r="C43" s="346">
        <v>5</v>
      </c>
    </row>
    <row r="44" spans="1:3" ht="16.8" thickBot="1" x14ac:dyDescent="0.4">
      <c r="A44" s="321" t="s">
        <v>384</v>
      </c>
      <c r="B44" s="353">
        <v>501638.25</v>
      </c>
      <c r="C44" s="320"/>
    </row>
    <row r="45" spans="1:3" ht="15.6" x14ac:dyDescent="0.3">
      <c r="A45" s="179" t="s">
        <v>383</v>
      </c>
      <c r="B45" s="391">
        <v>0.77684606891040775</v>
      </c>
      <c r="C45" s="346">
        <v>0.9</v>
      </c>
    </row>
    <row r="46" spans="1:3" ht="15.6" x14ac:dyDescent="0.3">
      <c r="A46" s="179" t="s">
        <v>382</v>
      </c>
      <c r="B46" s="347">
        <v>20.295272484524823</v>
      </c>
      <c r="C46" s="346">
        <v>20.100000000000001</v>
      </c>
    </row>
    <row r="47" spans="1:3" ht="16.2" thickBot="1" x14ac:dyDescent="0.35">
      <c r="A47" s="198" t="s">
        <v>381</v>
      </c>
      <c r="B47" s="344">
        <v>13.717206726825266</v>
      </c>
      <c r="C47" s="343">
        <v>12.4</v>
      </c>
    </row>
    <row r="49" ht="15" customHeight="1" x14ac:dyDescent="0.25"/>
    <row r="50" ht="15.6" customHeight="1" x14ac:dyDescent="0.25"/>
    <row r="51" ht="15.6" customHeight="1" x14ac:dyDescent="0.25"/>
  </sheetData>
  <mergeCells count="11">
    <mergeCell ref="C17:C18"/>
    <mergeCell ref="B25:B26"/>
    <mergeCell ref="C25:C26"/>
    <mergeCell ref="B37:B38"/>
    <mergeCell ref="C37:C38"/>
    <mergeCell ref="B17:B18"/>
    <mergeCell ref="A1:A2"/>
    <mergeCell ref="B1:B2"/>
    <mergeCell ref="C1:C2"/>
    <mergeCell ref="B7:B8"/>
    <mergeCell ref="C7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C07D-D8B2-42C0-BEE0-A8D14C6E2D49}">
  <dimension ref="A1:C36"/>
  <sheetViews>
    <sheetView topLeftCell="A25" workbookViewId="0">
      <selection activeCell="A37" sqref="A37:XFD52"/>
    </sheetView>
  </sheetViews>
  <sheetFormatPr defaultColWidth="9" defaultRowHeight="13.2" x14ac:dyDescent="0.25"/>
  <cols>
    <col min="1" max="1" width="46.69921875" style="390" bestFit="1" customWidth="1"/>
    <col min="2" max="2" width="12.19921875" style="390" bestFit="1" customWidth="1"/>
    <col min="3" max="3" width="19.09765625" style="390" bestFit="1" customWidth="1"/>
    <col min="4" max="16384" width="9" style="390"/>
  </cols>
  <sheetData>
    <row r="1" spans="1:3" ht="12.6" customHeight="1" x14ac:dyDescent="0.25">
      <c r="A1" s="400" t="s">
        <v>418</v>
      </c>
      <c r="B1" s="404" t="s">
        <v>423</v>
      </c>
      <c r="C1" s="421" t="s">
        <v>379</v>
      </c>
    </row>
    <row r="2" spans="1:3" ht="12.9" customHeight="1" thickBot="1" x14ac:dyDescent="0.3">
      <c r="A2" s="400"/>
      <c r="B2" s="404"/>
      <c r="C2" s="414"/>
    </row>
    <row r="3" spans="1:3" ht="15.6" x14ac:dyDescent="0.3">
      <c r="A3" s="179" t="s">
        <v>417</v>
      </c>
      <c r="B3" s="363">
        <f>'Fin. Ratios (Trend Analysis)'!H6</f>
        <v>0.83186712113834338</v>
      </c>
      <c r="C3" s="363">
        <v>1.07</v>
      </c>
    </row>
    <row r="4" spans="1:3" ht="15.6" x14ac:dyDescent="0.3">
      <c r="A4" s="179" t="s">
        <v>416</v>
      </c>
      <c r="B4" s="363">
        <f>'Fin. Ratios (Trend Analysis)'!H7</f>
        <v>0.20194773575718228</v>
      </c>
      <c r="C4" s="363">
        <v>0.52</v>
      </c>
    </row>
    <row r="5" spans="1:3" ht="16.2" thickBot="1" x14ac:dyDescent="0.35">
      <c r="A5" s="179" t="s">
        <v>415</v>
      </c>
      <c r="B5" s="374">
        <f>'Fin. Ratios (Trend Analysis)'!H8</f>
        <v>0.10676838175620841</v>
      </c>
      <c r="C5" s="374">
        <v>0.33</v>
      </c>
    </row>
    <row r="6" spans="1:3" ht="16.2" thickBot="1" x14ac:dyDescent="0.35">
      <c r="A6" s="198"/>
      <c r="B6" s="197"/>
      <c r="C6" s="359"/>
    </row>
    <row r="7" spans="1:3" ht="15.6" x14ac:dyDescent="0.3">
      <c r="A7" s="104"/>
      <c r="B7" s="404" t="s">
        <v>423</v>
      </c>
      <c r="C7" s="421" t="s">
        <v>379</v>
      </c>
    </row>
    <row r="8" spans="1:3" ht="16.2" thickBot="1" x14ac:dyDescent="0.35">
      <c r="A8" s="102" t="s">
        <v>414</v>
      </c>
      <c r="B8" s="404"/>
      <c r="C8" s="414"/>
    </row>
    <row r="9" spans="1:3" ht="15.6" x14ac:dyDescent="0.3">
      <c r="A9" s="179" t="s">
        <v>413</v>
      </c>
      <c r="B9" s="364">
        <f>'Fin. Ratios (Trend Analysis)'!H12</f>
        <v>2.5583976164723317</v>
      </c>
      <c r="C9" s="364">
        <v>3.64</v>
      </c>
    </row>
    <row r="10" spans="1:3" ht="15.6" x14ac:dyDescent="0.3">
      <c r="A10" s="179" t="s">
        <v>412</v>
      </c>
      <c r="B10" s="347">
        <f>'Fin. Ratios (Trend Analysis)'!H13</f>
        <v>3.6789519262542587</v>
      </c>
      <c r="C10" s="347">
        <v>8.11</v>
      </c>
    </row>
    <row r="11" spans="1:3" ht="15.6" x14ac:dyDescent="0.3">
      <c r="A11" s="179" t="s">
        <v>411</v>
      </c>
      <c r="B11" s="347">
        <f>'Fin. Ratios (Trend Analysis)'!H14</f>
        <v>8.7132733367339501</v>
      </c>
      <c r="C11" s="347">
        <v>12.28</v>
      </c>
    </row>
    <row r="12" spans="1:3" ht="15.6" x14ac:dyDescent="0.3">
      <c r="A12" s="179" t="s">
        <v>410</v>
      </c>
      <c r="B12" s="347">
        <f>'Fin. Ratios (Trend Analysis)'!H15</f>
        <v>41.890112463385108</v>
      </c>
      <c r="C12" s="347">
        <v>30.21</v>
      </c>
    </row>
    <row r="13" spans="1:3" ht="15.6" x14ac:dyDescent="0.3">
      <c r="A13" s="179" t="s">
        <v>409</v>
      </c>
      <c r="B13" s="347">
        <f>'Fin. Ratios (Trend Analysis)'!H16</f>
        <v>4.9719003247452136</v>
      </c>
      <c r="C13" s="347">
        <v>3.47</v>
      </c>
    </row>
    <row r="14" spans="1:3" ht="15.6" x14ac:dyDescent="0.3">
      <c r="A14" s="179" t="s">
        <v>408</v>
      </c>
      <c r="B14" s="347">
        <f>'Fin. Ratios (Trend Analysis)'!H17</f>
        <v>43.355335372546719</v>
      </c>
      <c r="C14" s="347">
        <v>31.07</v>
      </c>
    </row>
    <row r="15" spans="1:3" ht="16.2" thickBot="1" x14ac:dyDescent="0.35">
      <c r="A15" s="198" t="s">
        <v>407</v>
      </c>
      <c r="B15" s="344">
        <f>'Fin. Ratios (Trend Analysis)'!H18</f>
        <v>3.5066774155836029</v>
      </c>
      <c r="C15" s="344">
        <v>2.6099999999999994</v>
      </c>
    </row>
    <row r="16" spans="1:3" ht="16.2" thickBot="1" x14ac:dyDescent="0.35">
      <c r="A16" s="179"/>
      <c r="B16" s="25"/>
      <c r="C16" s="359"/>
    </row>
    <row r="17" spans="1:3" ht="15.6" x14ac:dyDescent="0.3">
      <c r="A17" s="104"/>
      <c r="B17" s="404" t="s">
        <v>423</v>
      </c>
      <c r="C17" s="421" t="s">
        <v>379</v>
      </c>
    </row>
    <row r="18" spans="1:3" ht="16.2" thickBot="1" x14ac:dyDescent="0.35">
      <c r="A18" s="102" t="s">
        <v>406</v>
      </c>
      <c r="B18" s="404"/>
      <c r="C18" s="414"/>
    </row>
    <row r="19" spans="1:3" ht="15.6" x14ac:dyDescent="0.3">
      <c r="A19" s="179" t="s">
        <v>405</v>
      </c>
      <c r="B19" s="364">
        <v>0.24295262659519254</v>
      </c>
      <c r="C19" s="364"/>
    </row>
    <row r="20" spans="1:3" ht="15.6" x14ac:dyDescent="0.3">
      <c r="A20" s="179" t="s">
        <v>404</v>
      </c>
      <c r="B20" s="347">
        <v>0.73122190291076905</v>
      </c>
      <c r="C20" s="347">
        <v>0.42699999999999999</v>
      </c>
    </row>
    <row r="21" spans="1:3" ht="15.6" x14ac:dyDescent="0.3">
      <c r="A21" s="179" t="s">
        <v>403</v>
      </c>
      <c r="B21" s="347">
        <v>0.21705315789682209</v>
      </c>
      <c r="C21" s="347"/>
    </row>
    <row r="22" spans="1:3" ht="15.6" x14ac:dyDescent="0.3">
      <c r="A22" s="179" t="s">
        <v>402</v>
      </c>
      <c r="B22" s="347">
        <v>0.65327148495725074</v>
      </c>
      <c r="C22" s="347">
        <v>0.31140000000000001</v>
      </c>
    </row>
    <row r="23" spans="1:3" ht="16.2" thickBot="1" x14ac:dyDescent="0.35">
      <c r="A23" s="198" t="s">
        <v>401</v>
      </c>
      <c r="B23" s="344">
        <v>9.2124487513976892</v>
      </c>
      <c r="C23" s="344"/>
    </row>
    <row r="24" spans="1:3" ht="16.2" thickBot="1" x14ac:dyDescent="0.35">
      <c r="A24" s="179"/>
      <c r="B24" s="25"/>
      <c r="C24" s="359"/>
    </row>
    <row r="25" spans="1:3" ht="15.6" x14ac:dyDescent="0.3">
      <c r="A25" s="104"/>
      <c r="B25" s="407" t="s">
        <v>423</v>
      </c>
      <c r="C25" s="413" t="s">
        <v>379</v>
      </c>
    </row>
    <row r="26" spans="1:3" ht="16.2" thickBot="1" x14ac:dyDescent="0.35">
      <c r="A26" s="395" t="s">
        <v>400</v>
      </c>
      <c r="B26" s="408"/>
      <c r="C26" s="414"/>
    </row>
    <row r="27" spans="1:3" ht="15.6" x14ac:dyDescent="0.3">
      <c r="A27" s="179" t="s">
        <v>399</v>
      </c>
      <c r="B27" s="31">
        <v>0.25931300204262725</v>
      </c>
      <c r="C27" s="351">
        <v>0.1242</v>
      </c>
    </row>
    <row r="28" spans="1:3" ht="15.6" x14ac:dyDescent="0.3">
      <c r="A28" s="179" t="s">
        <v>398</v>
      </c>
      <c r="B28" s="31">
        <v>3.8277193346517233E-2</v>
      </c>
      <c r="C28" s="351">
        <v>3.5099999999999999E-2</v>
      </c>
    </row>
    <row r="29" spans="1:3" ht="15.6" x14ac:dyDescent="0.3">
      <c r="A29" s="179" t="s">
        <v>397</v>
      </c>
      <c r="B29" s="31">
        <v>2.402061520402269E-2</v>
      </c>
      <c r="C29" s="351">
        <v>2.5999999999999999E-2</v>
      </c>
    </row>
    <row r="30" spans="1:3" ht="15.6" x14ac:dyDescent="0.3">
      <c r="A30" s="179" t="s">
        <v>396</v>
      </c>
      <c r="B30" s="31">
        <v>6.1454284684170697E-2</v>
      </c>
      <c r="C30" s="351">
        <v>7.9799999999999996E-2</v>
      </c>
    </row>
    <row r="31" spans="1:3" ht="15.6" x14ac:dyDescent="0.3">
      <c r="A31" s="179" t="s">
        <v>395</v>
      </c>
      <c r="B31" s="31">
        <v>0.18496082803687053</v>
      </c>
      <c r="C31" s="351">
        <v>0.27529999999999999</v>
      </c>
    </row>
    <row r="32" spans="1:3" ht="15.6" x14ac:dyDescent="0.3">
      <c r="A32" s="365" t="s">
        <v>394</v>
      </c>
      <c r="B32" s="31">
        <v>0.18496082803687053</v>
      </c>
      <c r="C32" s="363"/>
    </row>
    <row r="33" spans="1:3" ht="15.6" x14ac:dyDescent="0.3">
      <c r="A33" s="179" t="s">
        <v>393</v>
      </c>
      <c r="B33" s="347">
        <v>2.5583976164723317</v>
      </c>
      <c r="C33" s="346"/>
    </row>
    <row r="34" spans="1:3" ht="15.6" x14ac:dyDescent="0.3">
      <c r="A34" s="179" t="s">
        <v>392</v>
      </c>
      <c r="B34" s="31">
        <v>2.402061520402269E-2</v>
      </c>
      <c r="C34" s="346"/>
    </row>
    <row r="35" spans="1:3" ht="16.2" thickBot="1" x14ac:dyDescent="0.35">
      <c r="A35" s="198" t="s">
        <v>391</v>
      </c>
      <c r="B35" s="396">
        <v>3.0097303871883234</v>
      </c>
      <c r="C35" s="343"/>
    </row>
    <row r="36" spans="1:3" ht="15.6" x14ac:dyDescent="0.3">
      <c r="A36" s="179"/>
      <c r="B36" s="25"/>
      <c r="C36" s="359"/>
    </row>
  </sheetData>
  <mergeCells count="9">
    <mergeCell ref="C17:C18"/>
    <mergeCell ref="B25:B26"/>
    <mergeCell ref="C25:C26"/>
    <mergeCell ref="B17:B18"/>
    <mergeCell ref="A1:A2"/>
    <mergeCell ref="C1:C2"/>
    <mergeCell ref="B1:B2"/>
    <mergeCell ref="B7:B8"/>
    <mergeCell ref="C7: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D9A6-2F1A-409E-8B24-89835BA280E2}">
  <dimension ref="A1:I19"/>
  <sheetViews>
    <sheetView workbookViewId="0">
      <selection activeCell="G20" sqref="G20"/>
    </sheetView>
  </sheetViews>
  <sheetFormatPr defaultColWidth="9" defaultRowHeight="13.2" x14ac:dyDescent="0.25"/>
  <cols>
    <col min="1" max="10" width="13.19921875" style="12" customWidth="1"/>
    <col min="11" max="16384" width="9" style="12"/>
  </cols>
  <sheetData>
    <row r="1" spans="1:9" ht="13.8" thickBot="1" x14ac:dyDescent="0.3">
      <c r="A1" s="423" t="s">
        <v>443</v>
      </c>
      <c r="B1" s="424">
        <f>'Constructed Financials'!C5</f>
        <v>2018</v>
      </c>
      <c r="C1" s="424">
        <f>'Constructed Financials'!D5</f>
        <v>2019</v>
      </c>
      <c r="D1" s="424">
        <f>'Constructed Financials'!E5</f>
        <v>2020</v>
      </c>
      <c r="E1" s="424">
        <f>'Constructed Financials'!F5</f>
        <v>2021</v>
      </c>
      <c r="F1" s="424">
        <f>'Constructed Financials'!G5</f>
        <v>2022</v>
      </c>
      <c r="G1" s="425">
        <f>'Constructed Financials'!H5</f>
        <v>2023</v>
      </c>
      <c r="H1" s="426" t="s">
        <v>442</v>
      </c>
      <c r="I1" s="426" t="s">
        <v>441</v>
      </c>
    </row>
    <row r="2" spans="1:9" x14ac:dyDescent="0.25">
      <c r="A2" s="427" t="s">
        <v>440</v>
      </c>
      <c r="B2" s="428"/>
      <c r="C2" s="429">
        <f>'Constructed Financials'!N3</f>
        <v>1.8949483027149137E-2</v>
      </c>
      <c r="D2" s="430">
        <f>'Constructed Financials'!O3</f>
        <v>6.8095952254011119E-2</v>
      </c>
      <c r="E2" s="429">
        <f>'Constructed Financials'!P3</f>
        <v>2.3394196429373012E-2</v>
      </c>
      <c r="F2" s="429">
        <f>'Constructed Financials'!Q3</f>
        <v>6.7581698429018081E-2</v>
      </c>
      <c r="G2" s="429">
        <f>'Constructed Financials'!R3</f>
        <v>6.1227877287869298E-2</v>
      </c>
      <c r="I2" s="12" t="s">
        <v>439</v>
      </c>
    </row>
    <row r="3" spans="1:9" x14ac:dyDescent="0.25">
      <c r="A3" s="427" t="s">
        <v>438</v>
      </c>
      <c r="B3" s="429">
        <f>'Fin. Ratios (Trend Analysis)'!C30</f>
        <v>0.2679269691575033</v>
      </c>
      <c r="C3" s="429">
        <f>'Fin. Ratios (Trend Analysis)'!D30</f>
        <v>0.26429061841948809</v>
      </c>
      <c r="D3" s="429">
        <f>'Fin. Ratios (Trend Analysis)'!E30</f>
        <v>0.26532814539630439</v>
      </c>
      <c r="E3" s="429">
        <f>'Fin. Ratios (Trend Analysis)'!F30</f>
        <v>0.26601773451563437</v>
      </c>
      <c r="F3" s="429">
        <f>'Fin. Ratios (Trend Analysis)'!G30</f>
        <v>0.25589130967113188</v>
      </c>
      <c r="G3" s="429">
        <f>'Fin. Ratios (Trend Analysis)'!H30</f>
        <v>0.25931300204262725</v>
      </c>
      <c r="I3" s="12" t="s">
        <v>437</v>
      </c>
    </row>
    <row r="4" spans="1:9" x14ac:dyDescent="0.25">
      <c r="A4" s="427" t="s">
        <v>436</v>
      </c>
      <c r="B4" s="429">
        <f>'Constructed Financials'!M11</f>
        <v>0.20901101950446427</v>
      </c>
      <c r="C4" s="429">
        <f>'Constructed Financials'!N11</f>
        <v>0.20648951145512498</v>
      </c>
      <c r="D4" s="429">
        <f>'Constructed Financials'!O11</f>
        <v>0.2006219778680739</v>
      </c>
      <c r="E4" s="429">
        <f>'Constructed Financials'!P11</f>
        <v>0.20212575575213787</v>
      </c>
      <c r="F4" s="429">
        <f>'Constructed Financials'!Q11</f>
        <v>0.2020868359077769</v>
      </c>
      <c r="G4" s="429">
        <f>'Constructed Financials'!R11</f>
        <v>0.20268003846767338</v>
      </c>
      <c r="I4" s="12" t="s">
        <v>435</v>
      </c>
    </row>
    <row r="5" spans="1:9" ht="13.8" thickBot="1" x14ac:dyDescent="0.3">
      <c r="A5" s="431" t="s">
        <v>434</v>
      </c>
      <c r="B5" s="429">
        <f>'Constructed Financials'!M38</f>
        <v>0.21768357861289864</v>
      </c>
      <c r="C5" s="430">
        <f>'Constructed Financials'!N38</f>
        <v>0.24365681803362318</v>
      </c>
      <c r="D5" s="429">
        <f>'Constructed Financials'!O38</f>
        <v>0.19723736966565097</v>
      </c>
      <c r="E5" s="429">
        <f>'Constructed Financials'!P38</f>
        <v>0.19759913818815991</v>
      </c>
      <c r="F5" s="429">
        <f>'Constructed Financials'!Q38</f>
        <v>0.19595353018417994</v>
      </c>
      <c r="G5" s="429">
        <f>'Constructed Financials'!R38</f>
        <v>0.2018437846987241</v>
      </c>
      <c r="I5" s="12" t="s">
        <v>433</v>
      </c>
    </row>
    <row r="6" spans="1:9" x14ac:dyDescent="0.25">
      <c r="A6" s="12" t="s">
        <v>432</v>
      </c>
      <c r="B6" s="432">
        <f>'Constructed Financials'!C133</f>
        <v>12826.409162303666</v>
      </c>
      <c r="C6" s="432">
        <f>'Constructed Financials'!D133</f>
        <v>14427.536886060851</v>
      </c>
      <c r="D6" s="433">
        <f>'Constructed Financials'!E133</f>
        <v>25445.966251702001</v>
      </c>
      <c r="E6" s="432">
        <f>'Constructed Financials'!F133</f>
        <v>10160.526315789473</v>
      </c>
      <c r="F6" s="432">
        <f>'Constructed Financials'!G133</f>
        <v>11103.732016925245</v>
      </c>
      <c r="G6" s="432">
        <f>'Constructed Financials'!H133</f>
        <v>11596.517301354816</v>
      </c>
    </row>
    <row r="8" spans="1:9" x14ac:dyDescent="0.25">
      <c r="A8" s="434" t="s">
        <v>431</v>
      </c>
      <c r="I8" s="434" t="s">
        <v>430</v>
      </c>
    </row>
    <row r="9" spans="1:9" x14ac:dyDescent="0.25">
      <c r="I9" s="12" t="s">
        <v>429</v>
      </c>
    </row>
    <row r="10" spans="1:9" x14ac:dyDescent="0.25">
      <c r="A10" s="12" t="s">
        <v>428</v>
      </c>
      <c r="I10" s="12" t="s">
        <v>427</v>
      </c>
    </row>
    <row r="11" spans="1:9" x14ac:dyDescent="0.25">
      <c r="A11" s="435" t="s">
        <v>444</v>
      </c>
      <c r="I11" s="12" t="s">
        <v>426</v>
      </c>
    </row>
    <row r="12" spans="1:9" x14ac:dyDescent="0.25">
      <c r="A12" s="435" t="s">
        <v>445</v>
      </c>
      <c r="I12" s="12" t="s">
        <v>425</v>
      </c>
    </row>
    <row r="13" spans="1:9" x14ac:dyDescent="0.25">
      <c r="A13" s="435" t="s">
        <v>446</v>
      </c>
    </row>
    <row r="14" spans="1:9" x14ac:dyDescent="0.25">
      <c r="A14" s="435"/>
      <c r="I14" s="436" t="s">
        <v>424</v>
      </c>
    </row>
    <row r="17" spans="1:1" x14ac:dyDescent="0.25">
      <c r="A17" s="435"/>
    </row>
    <row r="18" spans="1:1" x14ac:dyDescent="0.25">
      <c r="A18" s="435"/>
    </row>
    <row r="19" spans="1:1" x14ac:dyDescent="0.25">
      <c r="A19" s="435"/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D5F076F-660E-41E2-8C81-8484B583BD3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Drivers!B3:G3</xm:f>
              <xm:sqref>H3</xm:sqref>
            </x14:sparkline>
            <x14:sparkline>
              <xm:f>Drivers!B4:G4</xm:f>
              <xm:sqref>H4</xm:sqref>
            </x14:sparkline>
            <x14:sparkline>
              <xm:f>Drivers!B5:G5</xm:f>
              <xm:sqref>H5</xm:sqref>
            </x14:sparkline>
            <x14:sparkline>
              <xm:f>Drivers!B6:G6</xm:f>
              <xm:sqref>H6</xm:sqref>
            </x14:sparkline>
          </x14:sparklines>
        </x14:sparklineGroup>
        <x14:sparklineGroup displayEmptyCellsAs="gap" xr2:uid="{08A9FDA9-6498-4EA0-A18E-41F5644FC0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Drivers!C2:G2</xm:f>
              <xm:sqref>H2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Raw Data</vt:lpstr>
      <vt:lpstr>Constructed Financials</vt:lpstr>
      <vt:lpstr>WMT vs. Ind. Cost Co.</vt:lpstr>
      <vt:lpstr>Fin. Ratios (Trend Analysis)</vt:lpstr>
      <vt:lpstr>Walmart vs Industry Avg.</vt:lpstr>
      <vt:lpstr>Walmart vs. CostCo.</vt:lpstr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robinson</dc:creator>
  <cp:lastModifiedBy>kevin robinson</cp:lastModifiedBy>
  <dcterms:created xsi:type="dcterms:W3CDTF">2025-05-15T22:41:32Z</dcterms:created>
  <dcterms:modified xsi:type="dcterms:W3CDTF">2025-09-08T23:21:42Z</dcterms:modified>
</cp:coreProperties>
</file>