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1a04007f80a09c/Desktop/Finance/"/>
    </mc:Choice>
  </mc:AlternateContent>
  <xr:revisionPtr revIDLastSave="2" documentId="8_{F80E6F80-78E0-463C-AD77-BE8A7EE66FF4}" xr6:coauthVersionLast="47" xr6:coauthVersionMax="47" xr10:uidLastSave="{D3C9C3B8-BCFB-423B-BA99-E07FB3884A2B}"/>
  <bookViews>
    <workbookView xWindow="-120" yWindow="-120" windowWidth="24240" windowHeight="13020" activeTab="3" xr2:uid="{DE1ACA8B-5505-40BC-AAC0-B880E816D1AF}"/>
  </bookViews>
  <sheets>
    <sheet name="CH13 Finance Model" sheetId="1" r:id="rId1"/>
    <sheet name="CH14 Finance Model" sheetId="2" r:id="rId2"/>
    <sheet name="CH15 Finance Model" sheetId="3" r:id="rId3"/>
    <sheet name="CH16 Finance Model" sheetId="4" r:id="rId4"/>
    <sheet name="CH17 Finance Model" sheetId="5" r:id="rId5"/>
    <sheet name="DFN Class Example" sheetId="6" r:id="rId6"/>
    <sheet name="CH18 Finance Model" sheetId="7" r:id="rId7"/>
    <sheet name="CH20 Finance Mod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3" i="4" l="1"/>
  <c r="E27" i="7"/>
  <c r="E39" i="5"/>
  <c r="E38" i="5"/>
  <c r="F8" i="5"/>
  <c r="I9" i="5"/>
  <c r="B50" i="4"/>
  <c r="B26" i="4"/>
  <c r="B35" i="4"/>
  <c r="B57" i="8"/>
  <c r="B56" i="8"/>
  <c r="C46" i="8"/>
  <c r="C47" i="8"/>
  <c r="C48" i="8"/>
  <c r="C49" i="8"/>
  <c r="C50" i="8"/>
  <c r="C51" i="8"/>
  <c r="C52" i="8"/>
  <c r="C53" i="8"/>
  <c r="C54" i="8"/>
  <c r="C55" i="8"/>
  <c r="C45" i="8"/>
  <c r="B46" i="8"/>
  <c r="D46" i="8" s="1"/>
  <c r="E46" i="8" s="1"/>
  <c r="G46" i="8" s="1"/>
  <c r="B47" i="8"/>
  <c r="B48" i="8"/>
  <c r="B49" i="8"/>
  <c r="B50" i="8"/>
  <c r="B51" i="8"/>
  <c r="B52" i="8"/>
  <c r="B53" i="8"/>
  <c r="B54" i="8"/>
  <c r="B55" i="8"/>
  <c r="B45" i="8"/>
  <c r="A46" i="8"/>
  <c r="A47" i="8"/>
  <c r="A48" i="8"/>
  <c r="F48" i="8" s="1"/>
  <c r="A49" i="8"/>
  <c r="F49" i="8" s="1"/>
  <c r="A50" i="8"/>
  <c r="F50" i="8" s="1"/>
  <c r="A51" i="8"/>
  <c r="A52" i="8"/>
  <c r="F52" i="8" s="1"/>
  <c r="A53" i="8"/>
  <c r="F53" i="8" s="1"/>
  <c r="A54" i="8"/>
  <c r="A55" i="8"/>
  <c r="A45" i="8"/>
  <c r="F55" i="8"/>
  <c r="F54" i="8"/>
  <c r="D54" i="8"/>
  <c r="E54" i="8" s="1"/>
  <c r="G54" i="8" s="1"/>
  <c r="F51" i="8"/>
  <c r="F46" i="8"/>
  <c r="G44" i="8"/>
  <c r="F44" i="8"/>
  <c r="B38" i="8"/>
  <c r="B37" i="8"/>
  <c r="F33" i="8"/>
  <c r="F34" i="8"/>
  <c r="F35" i="8"/>
  <c r="F32" i="8"/>
  <c r="G24" i="8"/>
  <c r="F25" i="8"/>
  <c r="F26" i="8"/>
  <c r="F27" i="8"/>
  <c r="F28" i="8"/>
  <c r="F29" i="8"/>
  <c r="F30" i="8"/>
  <c r="F31" i="8"/>
  <c r="F24" i="8"/>
  <c r="D35" i="8"/>
  <c r="E35" i="8" s="1"/>
  <c r="G35" i="8" s="1"/>
  <c r="D25" i="8"/>
  <c r="E25" i="8" s="1"/>
  <c r="G25" i="8" s="1"/>
  <c r="C26" i="8"/>
  <c r="C27" i="8"/>
  <c r="C28" i="8"/>
  <c r="C29" i="8"/>
  <c r="C30" i="8"/>
  <c r="C31" i="8"/>
  <c r="C32" i="8"/>
  <c r="D32" i="8" s="1"/>
  <c r="E32" i="8" s="1"/>
  <c r="G32" i="8" s="1"/>
  <c r="C33" i="8"/>
  <c r="C34" i="8"/>
  <c r="C35" i="8"/>
  <c r="C25" i="8"/>
  <c r="B26" i="8"/>
  <c r="B27" i="8"/>
  <c r="D27" i="8" s="1"/>
  <c r="E27" i="8" s="1"/>
  <c r="G27" i="8" s="1"/>
  <c r="B28" i="8"/>
  <c r="D28" i="8" s="1"/>
  <c r="E28" i="8" s="1"/>
  <c r="G28" i="8" s="1"/>
  <c r="B29" i="8"/>
  <c r="D29" i="8" s="1"/>
  <c r="E29" i="8" s="1"/>
  <c r="G29" i="8" s="1"/>
  <c r="B30" i="8"/>
  <c r="D30" i="8" s="1"/>
  <c r="E30" i="8" s="1"/>
  <c r="G30" i="8" s="1"/>
  <c r="B31" i="8"/>
  <c r="D31" i="8" s="1"/>
  <c r="E31" i="8" s="1"/>
  <c r="G31" i="8" s="1"/>
  <c r="B32" i="8"/>
  <c r="B33" i="8"/>
  <c r="B34" i="8"/>
  <c r="B35" i="8"/>
  <c r="B25" i="8"/>
  <c r="F14" i="8"/>
  <c r="F15" i="8"/>
  <c r="F16" i="8"/>
  <c r="F17" i="8"/>
  <c r="F18" i="8"/>
  <c r="F19" i="8"/>
  <c r="F20" i="8"/>
  <c r="F21" i="8"/>
  <c r="F13" i="8"/>
  <c r="D14" i="8"/>
  <c r="D15" i="8"/>
  <c r="D16" i="8"/>
  <c r="D17" i="8"/>
  <c r="D18" i="8"/>
  <c r="D19" i="8"/>
  <c r="D20" i="8"/>
  <c r="D21" i="8"/>
  <c r="D13" i="8"/>
  <c r="C14" i="8"/>
  <c r="E14" i="8" s="1"/>
  <c r="C15" i="8"/>
  <c r="C16" i="8"/>
  <c r="C17" i="8"/>
  <c r="C18" i="8"/>
  <c r="C19" i="8"/>
  <c r="C20" i="8"/>
  <c r="C21" i="8"/>
  <c r="C13" i="8"/>
  <c r="B14" i="8"/>
  <c r="B15" i="8"/>
  <c r="B16" i="8"/>
  <c r="E16" i="8" s="1"/>
  <c r="B17" i="8"/>
  <c r="E17" i="8" s="1"/>
  <c r="G17" i="8" s="1"/>
  <c r="B18" i="8"/>
  <c r="E18" i="8" s="1"/>
  <c r="G18" i="8" s="1"/>
  <c r="B19" i="8"/>
  <c r="B20" i="8"/>
  <c r="B21" i="8"/>
  <c r="B13" i="8"/>
  <c r="C4" i="8"/>
  <c r="B81" i="7"/>
  <c r="B80" i="7"/>
  <c r="B75" i="7"/>
  <c r="E66" i="7"/>
  <c r="E65" i="7"/>
  <c r="E64" i="7"/>
  <c r="F60" i="7"/>
  <c r="F61" i="7" s="1"/>
  <c r="F69" i="7" s="1"/>
  <c r="E59" i="7"/>
  <c r="E60" i="7" s="1"/>
  <c r="E61" i="7" s="1"/>
  <c r="B49" i="7"/>
  <c r="B48" i="7"/>
  <c r="E34" i="7"/>
  <c r="E33" i="7"/>
  <c r="E35" i="7" s="1"/>
  <c r="E26" i="7"/>
  <c r="E23" i="7"/>
  <c r="E24" i="7"/>
  <c r="H23" i="7"/>
  <c r="B25" i="7"/>
  <c r="B27" i="7" s="1"/>
  <c r="F4" i="7"/>
  <c r="G4" i="7"/>
  <c r="H4" i="7"/>
  <c r="F3" i="7"/>
  <c r="G3" i="7"/>
  <c r="H3" i="7"/>
  <c r="D48" i="8" l="1"/>
  <c r="F45" i="8"/>
  <c r="D34" i="8"/>
  <c r="E34" i="8" s="1"/>
  <c r="G34" i="8" s="1"/>
  <c r="D26" i="8"/>
  <c r="E26" i="8" s="1"/>
  <c r="G26" i="8" s="1"/>
  <c r="D47" i="8"/>
  <c r="D33" i="8"/>
  <c r="E33" i="8" s="1"/>
  <c r="G33" i="8" s="1"/>
  <c r="G16" i="8"/>
  <c r="F47" i="8"/>
  <c r="B58" i="8"/>
  <c r="D50" i="8"/>
  <c r="E50" i="8" s="1"/>
  <c r="G50" i="8" s="1"/>
  <c r="D55" i="8"/>
  <c r="E55" i="8" s="1"/>
  <c r="G55" i="8" s="1"/>
  <c r="D52" i="8"/>
  <c r="E52" i="8" s="1"/>
  <c r="G52" i="8" s="1"/>
  <c r="D51" i="8"/>
  <c r="E48" i="8"/>
  <c r="G48" i="8" s="1"/>
  <c r="E51" i="8"/>
  <c r="G51" i="8" s="1"/>
  <c r="E47" i="8"/>
  <c r="G47" i="8" s="1"/>
  <c r="D45" i="8"/>
  <c r="E45" i="8" s="1"/>
  <c r="G45" i="8" s="1"/>
  <c r="D49" i="8"/>
  <c r="E49" i="8" s="1"/>
  <c r="G49" i="8" s="1"/>
  <c r="D53" i="8"/>
  <c r="E53" i="8" s="1"/>
  <c r="G53" i="8" s="1"/>
  <c r="B39" i="8"/>
  <c r="G14" i="8"/>
  <c r="E19" i="8"/>
  <c r="G19" i="8" s="1"/>
  <c r="E15" i="8"/>
  <c r="G15" i="8" s="1"/>
  <c r="E13" i="8"/>
  <c r="G13" i="8" s="1"/>
  <c r="E20" i="8"/>
  <c r="G20" i="8" s="1"/>
  <c r="E21" i="8"/>
  <c r="G21" i="8" s="1"/>
  <c r="E67" i="7"/>
  <c r="B43" i="7"/>
  <c r="E68" i="7"/>
  <c r="E69" i="7" s="1"/>
  <c r="G5" i="7"/>
  <c r="F5" i="7"/>
  <c r="E25" i="7"/>
  <c r="K87" i="5"/>
  <c r="J83" i="5"/>
  <c r="I83" i="5"/>
  <c r="I81" i="5"/>
  <c r="H81" i="5"/>
  <c r="F6" i="7" l="1"/>
  <c r="L76" i="5"/>
  <c r="M74" i="5"/>
  <c r="M75" i="5"/>
  <c r="F86" i="5"/>
  <c r="G80" i="5" l="1"/>
  <c r="I76" i="5"/>
  <c r="H75" i="5" l="1"/>
  <c r="I75" i="5"/>
  <c r="J75" i="5"/>
  <c r="K75" i="5"/>
  <c r="L75" i="5"/>
  <c r="H74" i="5"/>
  <c r="I74" i="5"/>
  <c r="J74" i="5"/>
  <c r="K74" i="5"/>
  <c r="L74" i="5"/>
  <c r="L73" i="5"/>
  <c r="H70" i="5"/>
  <c r="J70" i="5"/>
  <c r="H68" i="5"/>
  <c r="K68" i="5"/>
  <c r="L68" i="5"/>
  <c r="F18" i="6"/>
  <c r="F17" i="6"/>
  <c r="F15" i="6"/>
  <c r="F13" i="6"/>
  <c r="F11" i="6"/>
  <c r="F8" i="6"/>
  <c r="F7" i="6"/>
  <c r="F9" i="6" s="1"/>
  <c r="J7" i="6" s="1"/>
  <c r="C8" i="6"/>
  <c r="C9" i="6"/>
  <c r="C11" i="6"/>
  <c r="C12" i="6"/>
  <c r="C13" i="6"/>
  <c r="C14" i="6"/>
  <c r="C15" i="6"/>
  <c r="C16" i="6"/>
  <c r="C17" i="6"/>
  <c r="C18" i="6"/>
  <c r="C19" i="6"/>
  <c r="C20" i="6"/>
  <c r="C21" i="6"/>
  <c r="C7" i="6"/>
  <c r="B21" i="6"/>
  <c r="B20" i="6"/>
  <c r="B16" i="6"/>
  <c r="B14" i="6"/>
  <c r="B9" i="6"/>
  <c r="F3" i="6"/>
  <c r="F4" i="6" s="1"/>
  <c r="G1" i="6" s="1"/>
  <c r="F19" i="6" s="1"/>
  <c r="F20" i="6" s="1"/>
  <c r="N66" i="5"/>
  <c r="M73" i="5" s="1"/>
  <c r="M77" i="5" s="1"/>
  <c r="M66" i="5"/>
  <c r="M68" i="5" s="1"/>
  <c r="K66" i="5"/>
  <c r="M70" i="5" s="1"/>
  <c r="L66" i="5"/>
  <c r="M69" i="5" s="1"/>
  <c r="J66" i="5"/>
  <c r="K69" i="5" s="1"/>
  <c r="I66" i="5"/>
  <c r="H66" i="5"/>
  <c r="G70" i="5"/>
  <c r="G69" i="5"/>
  <c r="G75" i="5"/>
  <c r="G74" i="5"/>
  <c r="F83" i="5"/>
  <c r="E83" i="5"/>
  <c r="G66" i="5"/>
  <c r="I70" i="5" s="1"/>
  <c r="C59" i="5"/>
  <c r="C60" i="5" s="1"/>
  <c r="D59" i="5"/>
  <c r="D60" i="5" s="1"/>
  <c r="B59" i="5"/>
  <c r="B60" i="5" s="1"/>
  <c r="H39" i="5"/>
  <c r="H37" i="5"/>
  <c r="E37" i="5"/>
  <c r="E42" i="5" s="1"/>
  <c r="J38" i="5" s="1"/>
  <c r="B43" i="5"/>
  <c r="E40" i="5" s="1"/>
  <c r="H38" i="5" s="1"/>
  <c r="E31" i="5"/>
  <c r="D30" i="5" s="1"/>
  <c r="H30" i="5" s="1"/>
  <c r="H28" i="5"/>
  <c r="I28" i="5" s="1"/>
  <c r="H24" i="5"/>
  <c r="I24" i="5" s="1"/>
  <c r="C30" i="5"/>
  <c r="C28" i="5"/>
  <c r="C27" i="5"/>
  <c r="C24" i="5"/>
  <c r="C23" i="5"/>
  <c r="H23" i="5" s="1"/>
  <c r="I23" i="5" s="1"/>
  <c r="E28" i="5"/>
  <c r="B31" i="5"/>
  <c r="H31" i="5" s="1"/>
  <c r="I31" i="5" s="1"/>
  <c r="B29" i="5"/>
  <c r="B25" i="5"/>
  <c r="M71" i="5" l="1"/>
  <c r="M79" i="5" s="1"/>
  <c r="K73" i="5"/>
  <c r="K77" i="5" s="1"/>
  <c r="L70" i="5"/>
  <c r="G68" i="5"/>
  <c r="G71" i="5" s="1"/>
  <c r="L77" i="5"/>
  <c r="J68" i="5"/>
  <c r="I73" i="5"/>
  <c r="I77" i="5" s="1"/>
  <c r="J73" i="5"/>
  <c r="J77" i="5" s="1"/>
  <c r="L69" i="5"/>
  <c r="L71" i="5"/>
  <c r="J69" i="5"/>
  <c r="J71" i="5" s="1"/>
  <c r="H73" i="5"/>
  <c r="H77" i="5" s="1"/>
  <c r="K70" i="5"/>
  <c r="K71" i="5" s="1"/>
  <c r="I68" i="5"/>
  <c r="G73" i="5"/>
  <c r="I69" i="5"/>
  <c r="I71" i="5" s="1"/>
  <c r="I79" i="5" s="1"/>
  <c r="H69" i="5"/>
  <c r="H71" i="5" s="1"/>
  <c r="F12" i="6"/>
  <c r="F14" i="6" s="1"/>
  <c r="F16" i="6" s="1"/>
  <c r="F21" i="6" s="1"/>
  <c r="J8" i="6" s="1"/>
  <c r="G77" i="5"/>
  <c r="E36" i="5"/>
  <c r="H40" i="5"/>
  <c r="E41" i="5"/>
  <c r="J36" i="5" s="1"/>
  <c r="J37" i="5" s="1"/>
  <c r="C31" i="5"/>
  <c r="C33" i="5" s="1"/>
  <c r="H32" i="5"/>
  <c r="L25" i="5" s="1"/>
  <c r="C29" i="5"/>
  <c r="I30" i="5"/>
  <c r="C25" i="5"/>
  <c r="H27" i="5"/>
  <c r="I27" i="5" s="1"/>
  <c r="H29" i="5"/>
  <c r="H25" i="5"/>
  <c r="G79" i="5" l="1"/>
  <c r="G83" i="5" s="1"/>
  <c r="G85" i="5" s="1"/>
  <c r="G86" i="5" s="1"/>
  <c r="H80" i="5" s="1"/>
  <c r="J79" i="5"/>
  <c r="L79" i="5"/>
  <c r="K79" i="5"/>
  <c r="H79" i="5"/>
  <c r="J40" i="5"/>
  <c r="J39" i="5" s="1"/>
  <c r="H36" i="5"/>
  <c r="I25" i="5"/>
  <c r="L23" i="5"/>
  <c r="I32" i="5"/>
  <c r="I29" i="5"/>
  <c r="L24" i="5"/>
  <c r="L26" i="5" s="1"/>
  <c r="H33" i="5"/>
  <c r="I33" i="5" s="1"/>
  <c r="I11" i="5" l="1"/>
  <c r="I10" i="5"/>
  <c r="I8" i="5"/>
  <c r="C3" i="5"/>
  <c r="C5" i="5" s="1"/>
  <c r="C8" i="5"/>
  <c r="C7" i="5"/>
  <c r="I7" i="5" s="1"/>
  <c r="C12" i="5"/>
  <c r="C11" i="5"/>
  <c r="C10" i="5"/>
  <c r="C4" i="5"/>
  <c r="I4" i="5" s="1"/>
  <c r="I12" i="5"/>
  <c r="I13" i="5" s="1"/>
  <c r="L5" i="5" s="1"/>
  <c r="B13" i="5"/>
  <c r="B9" i="5"/>
  <c r="E71" i="4"/>
  <c r="E70" i="4"/>
  <c r="G69" i="4"/>
  <c r="E77" i="4"/>
  <c r="E75" i="4"/>
  <c r="E74" i="4"/>
  <c r="B75" i="4"/>
  <c r="B74" i="4"/>
  <c r="B66" i="4"/>
  <c r="E57" i="4"/>
  <c r="B61" i="4" s="1"/>
  <c r="E53" i="4"/>
  <c r="E54" i="4"/>
  <c r="E55" i="4"/>
  <c r="E59" i="4"/>
  <c r="E58" i="4"/>
  <c r="E60" i="4"/>
  <c r="I45" i="4"/>
  <c r="G41" i="4"/>
  <c r="G44" i="4" s="1"/>
  <c r="G46" i="4" s="1"/>
  <c r="I44" i="4"/>
  <c r="I42" i="4"/>
  <c r="I41" i="4"/>
  <c r="G45" i="4"/>
  <c r="G43" i="4"/>
  <c r="G42" i="4"/>
  <c r="I43" i="4"/>
  <c r="D46" i="4"/>
  <c r="D43" i="4"/>
  <c r="B46" i="4"/>
  <c r="B44" i="4"/>
  <c r="B36" i="4"/>
  <c r="B25" i="4"/>
  <c r="B16" i="4"/>
  <c r="B8" i="4"/>
  <c r="B9" i="4"/>
  <c r="B7" i="4"/>
  <c r="K40" i="1"/>
  <c r="K39" i="1"/>
  <c r="K37" i="1"/>
  <c r="K36" i="1"/>
  <c r="D73" i="3"/>
  <c r="N63" i="3"/>
  <c r="N59" i="3"/>
  <c r="N61" i="3"/>
  <c r="N58" i="3"/>
  <c r="N65" i="3"/>
  <c r="K63" i="3"/>
  <c r="K59" i="3"/>
  <c r="K58" i="3"/>
  <c r="K65" i="3"/>
  <c r="K61" i="3"/>
  <c r="H59" i="3"/>
  <c r="E59" i="3"/>
  <c r="H58" i="3"/>
  <c r="H65" i="3"/>
  <c r="H63" i="3"/>
  <c r="H61" i="3"/>
  <c r="E58" i="3"/>
  <c r="E65" i="3"/>
  <c r="E63" i="3"/>
  <c r="E61" i="3"/>
  <c r="B60" i="3"/>
  <c r="B62" i="3" s="1"/>
  <c r="B64" i="3" s="1"/>
  <c r="G49" i="3"/>
  <c r="H49" i="3"/>
  <c r="F49" i="3"/>
  <c r="D51" i="3"/>
  <c r="D53" i="3" s="1"/>
  <c r="C53" i="3"/>
  <c r="B53" i="3"/>
  <c r="C51" i="3"/>
  <c r="B51" i="3"/>
  <c r="E42" i="3"/>
  <c r="E39" i="3"/>
  <c r="E41" i="3" s="1"/>
  <c r="G39" i="3"/>
  <c r="B41" i="3"/>
  <c r="G26" i="3"/>
  <c r="E28" i="3"/>
  <c r="E27" i="3"/>
  <c r="E26" i="3"/>
  <c r="B34" i="3"/>
  <c r="B32" i="3"/>
  <c r="B29" i="3"/>
  <c r="E16" i="3"/>
  <c r="B16" i="3"/>
  <c r="B19" i="3" s="1"/>
  <c r="E15" i="3" s="1"/>
  <c r="G2" i="3"/>
  <c r="E4" i="3"/>
  <c r="B4" i="3"/>
  <c r="B7" i="3" s="1"/>
  <c r="E3" i="3" s="1"/>
  <c r="H55" i="2"/>
  <c r="B59" i="2"/>
  <c r="D54" i="2"/>
  <c r="N23" i="2"/>
  <c r="K24" i="2"/>
  <c r="H26" i="2"/>
  <c r="E12" i="2"/>
  <c r="H23" i="2"/>
  <c r="B26" i="2"/>
  <c r="B27" i="2" s="1"/>
  <c r="B28" i="2" s="1"/>
  <c r="K12" i="2"/>
  <c r="H13" i="2"/>
  <c r="E14" i="2"/>
  <c r="B15" i="2"/>
  <c r="B16" i="2" s="1"/>
  <c r="B17" i="2" s="1"/>
  <c r="B45" i="2"/>
  <c r="B46" i="2" s="1"/>
  <c r="B51" i="2"/>
  <c r="B36" i="2"/>
  <c r="B37" i="2" s="1"/>
  <c r="C6" i="2"/>
  <c r="F4" i="2" s="1"/>
  <c r="B6" i="2"/>
  <c r="K38" i="1"/>
  <c r="H38" i="1"/>
  <c r="H41" i="1" s="1"/>
  <c r="H10" i="1"/>
  <c r="M7" i="1" s="1"/>
  <c r="K13" i="1"/>
  <c r="K12" i="1"/>
  <c r="K14" i="1" s="1"/>
  <c r="K19" i="1" s="1"/>
  <c r="L5" i="1"/>
  <c r="M5" i="1"/>
  <c r="K5" i="1"/>
  <c r="I27" i="1"/>
  <c r="I28" i="1"/>
  <c r="I29" i="1"/>
  <c r="I26" i="1"/>
  <c r="I23" i="1"/>
  <c r="I21" i="1"/>
  <c r="I22" i="1"/>
  <c r="I20" i="1"/>
  <c r="H17" i="1"/>
  <c r="M4" i="1" s="1"/>
  <c r="H16" i="1"/>
  <c r="M3" i="1" s="1"/>
  <c r="C73" i="4"/>
  <c r="C45" i="2"/>
  <c r="F77" i="4"/>
  <c r="C46" i="2"/>
  <c r="F73" i="4"/>
  <c r="B14" i="5" l="1"/>
  <c r="C14" i="5" s="1"/>
  <c r="C13" i="5"/>
  <c r="C9" i="5"/>
  <c r="I3" i="5"/>
  <c r="I5" i="5" s="1"/>
  <c r="L3" i="5" s="1"/>
  <c r="E73" i="4"/>
  <c r="I46" i="4"/>
  <c r="K41" i="1"/>
  <c r="N60" i="3"/>
  <c r="N62" i="3"/>
  <c r="K60" i="3"/>
  <c r="K62" i="3" s="1"/>
  <c r="C72" i="3" s="1"/>
  <c r="B66" i="3"/>
  <c r="B67" i="3" s="1"/>
  <c r="E60" i="3"/>
  <c r="E62" i="3" s="1"/>
  <c r="H60" i="3"/>
  <c r="H62" i="3" s="1"/>
  <c r="B43" i="3"/>
  <c r="B44" i="3" s="1"/>
  <c r="E43" i="3"/>
  <c r="E44" i="3" s="1"/>
  <c r="B21" i="3"/>
  <c r="G14" i="3" s="1"/>
  <c r="E14" i="3"/>
  <c r="E2" i="3" a="1"/>
  <c r="E2" i="3" s="1"/>
  <c r="F3" i="2"/>
  <c r="K7" i="1"/>
  <c r="M6" i="1"/>
  <c r="M8" i="1" s="1"/>
  <c r="K3" i="1"/>
  <c r="K4" i="1"/>
  <c r="L7" i="1"/>
  <c r="L3" i="1"/>
  <c r="L4" i="1"/>
  <c r="I14" i="5" l="1"/>
  <c r="L4" i="5"/>
  <c r="L6" i="5" s="1"/>
  <c r="N64" i="3"/>
  <c r="N66" i="3" s="1"/>
  <c r="N67" i="3" s="1"/>
  <c r="C73" i="3"/>
  <c r="K64" i="3"/>
  <c r="K66" i="3" s="1"/>
  <c r="K67" i="3" s="1"/>
  <c r="D72" i="3" s="1"/>
  <c r="H64" i="3"/>
  <c r="H66" i="3" s="1"/>
  <c r="H67" i="3" s="1"/>
  <c r="D71" i="3" s="1"/>
  <c r="C71" i="3"/>
  <c r="E64" i="3"/>
  <c r="E66" i="3" s="1"/>
  <c r="E67" i="3" s="1"/>
  <c r="D70" i="3" s="1"/>
  <c r="C70" i="3"/>
  <c r="K6" i="1"/>
  <c r="K8" i="1" s="1"/>
  <c r="K9" i="1" s="1"/>
  <c r="M9" i="1"/>
  <c r="M10" i="1" s="1"/>
  <c r="M11" i="1" s="1"/>
  <c r="M14" i="1" s="1"/>
  <c r="K29" i="1" s="1"/>
  <c r="L6" i="1"/>
  <c r="L8" i="1" s="1"/>
  <c r="L9" i="1" s="1"/>
  <c r="L10" i="1" s="1"/>
  <c r="L11" i="1" s="1"/>
  <c r="L14" i="1" s="1"/>
  <c r="K10" i="1" l="1"/>
  <c r="K11" i="1" s="1"/>
  <c r="K25" i="1"/>
  <c r="K27" i="1"/>
  <c r="K20" i="1"/>
  <c r="K28" i="1"/>
  <c r="K21" i="1"/>
  <c r="K22" i="1"/>
  <c r="K23" i="1"/>
  <c r="K26" i="1"/>
  <c r="K24" i="1"/>
  <c r="K30" i="1" l="1"/>
  <c r="D27" i="1" l="1"/>
  <c r="D28" i="1"/>
  <c r="D26" i="1"/>
  <c r="B20" i="1"/>
  <c r="B12" i="1"/>
  <c r="B5" i="1"/>
  <c r="B6" i="1" s="1"/>
  <c r="B31" i="1"/>
  <c r="B30" i="1" l="1"/>
  <c r="B5" i="5" l="1"/>
  <c r="H83" i="5" l="1"/>
  <c r="G87" i="5" l="1"/>
  <c r="H85" i="5" l="1"/>
  <c r="H86" i="5" l="1"/>
  <c r="I80" i="5" s="1"/>
  <c r="H87" i="5"/>
  <c r="I85" i="5" l="1"/>
  <c r="J81" i="5" s="1"/>
  <c r="I86" i="5" l="1"/>
  <c r="J80" i="5" s="1"/>
  <c r="I87" i="5"/>
  <c r="J85" i="5" l="1"/>
  <c r="K81" i="5" s="1"/>
  <c r="J86" i="5" l="1"/>
  <c r="K80" i="5" s="1"/>
  <c r="J87" i="5"/>
  <c r="K82" i="5"/>
  <c r="K83" i="5" l="1"/>
  <c r="K85" i="5"/>
  <c r="L81" i="5" s="1"/>
  <c r="K86" i="5"/>
  <c r="L80" i="5" s="1"/>
  <c r="L82" i="5" l="1"/>
  <c r="L83" i="5" l="1"/>
  <c r="L85" i="5" s="1"/>
  <c r="L87" i="5" s="1"/>
  <c r="M81" i="5" l="1"/>
  <c r="M82" i="5" s="1"/>
  <c r="L86" i="5"/>
  <c r="M80" i="5" s="1"/>
  <c r="M83" i="5" l="1"/>
  <c r="M85" i="5" s="1"/>
  <c r="M86" i="5" l="1"/>
  <c r="M8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tc={DE51A399-88E4-4AC9-88D7-92CDD290F2BB}</author>
    <author>tc={2DB363B3-58B6-4981-B972-ED7FA8E834F4}</author>
    <author>tc={F60D6935-1608-476B-967D-3099DE34F432}</author>
    <author>tc={FD70934A-28D9-415A-91D3-3DBC7A4B8585}</author>
    <author>tc={8B0E23EF-EA0E-4014-B0FC-8CB826BD3999}</author>
  </authors>
  <commentList>
    <comment ref="G1" authorId="0" shapeId="0" xr:uid="{DE51A399-88E4-4AC9-88D7-92CDD290F2B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Scenario Manager</t>
      </text>
    </comment>
    <comment ref="A3" authorId="1" shapeId="0" xr:uid="{2DB363B3-58B6-4981-B972-ED7FA8E834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 Me
</t>
      </text>
    </comment>
    <comment ref="G9" authorId="2" shapeId="0" xr:uid="{F60D6935-1608-476B-967D-3099DE34F4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years
</t>
      </text>
    </comment>
    <comment ref="G33" authorId="3" shapeId="0" xr:uid="{FD70934A-28D9-415A-91D3-3DBC7A4B858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Goal Seek</t>
      </text>
    </comment>
    <comment ref="G51" authorId="4" shapeId="0" xr:uid="{8B0E23EF-EA0E-4014-B0FC-8CB826BD3999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Goal Seek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tc={904953A4-6946-409E-9217-45E31E709B98}</author>
    <author>tc={61A74F41-5EE5-41EA-AD26-15EBB7768A89}</author>
    <author>tc={31EA291B-DAFA-49AC-B415-7F5FF2B61C53}</author>
  </authors>
  <commentList>
    <comment ref="A1" authorId="0" shapeId="0" xr:uid="{904953A4-6946-409E-9217-45E31E709B9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reflect current market values</t>
      </text>
    </comment>
    <comment ref="A8" authorId="1" shapeId="0" xr:uid="{61A74F41-5EE5-41EA-AD26-15EBB7768A89}">
      <text>
        <t>[Threaded comment]
Your version of Excel allows you to read this threaded comment; however, any edits to it will get removed if the file is opened in a newer version of Excel. Learn more: https://go.microsoft.com/fwlink/?linkid=870924
Comment:
    Ensure to scale I/Y back to annual</t>
      </text>
    </comment>
    <comment ref="B33" authorId="2" shapeId="0" xr:uid="{31EA291B-DAFA-49AC-B415-7F5FF2B61C53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Me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tc={7A7C0BC5-191D-4C56-B54F-C71D257E81DF}</author>
    <author>tc={F015040F-7B6E-4246-B389-A9DD9A7BE1A3}</author>
    <author>tc={0991ACB0-09E3-4E90-BC32-66C4D477574B}</author>
  </authors>
  <commentList>
    <comment ref="D2" authorId="0" shapeId="0" xr:uid="{7A7C0BC5-191D-4C56-B54F-C71D257E81DF}">
      <text>
        <t>[Threaded comment]
Your version of Excel allows you to read this threaded comment; however, any edits to it will get removed if the file is opened in a newer version of Excel. Learn more: https://go.microsoft.com/fwlink/?linkid=870924
Comment:
    Debt Ratio=TL/TA</t>
      </text>
    </comment>
    <comment ref="D3" authorId="1" shapeId="0" xr:uid="{F015040F-7B6E-4246-B389-A9DD9A7BE1A3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Interest-Bearing Debt/TA</t>
      </text>
    </comment>
    <comment ref="A36" authorId="2" shapeId="0" xr:uid="{0991ACB0-09E3-4E90-BC32-66C4D477574B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Equation it says Billion but input as millions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tc={3AC0E59C-278A-476F-A7AA-A887FC463971}</author>
  </authors>
  <commentList>
    <comment ref="A40" authorId="0" shapeId="0" xr:uid="{3AC0E59C-278A-476F-A7AA-A887FC463971}">
      <text>
        <t>[Threaded comment]
Your version of Excel allows you to read this threaded comment; however, any edits to it will get removed if the file is opened in a newer version of Excel. Learn more: https://go.microsoft.com/fwlink/?linkid=870924
Comment:
    Impact Equity (-) &amp; Cash (-) from an entry standpoint with deceases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tc={88FE7356-045A-4861-81E7-680FF6736028}</author>
    <author>tc={1B37AFF7-91C8-41F6-8710-A2E76DB9BB70}</author>
    <author>tc={A7C753F9-EF75-4A93-8F2C-E6E145B0CCC6}</author>
    <author>tc={454D5B5A-7CD6-4FA0-83CC-9B870EA8F215}</author>
    <author>tc={9242C455-D16A-4D04-8C53-6BABE39412F2}</author>
    <author>tc={F7B1D8BC-24BC-4E4D-AE34-CDC3FC3D92F8}</author>
  </authors>
  <commentList>
    <comment ref="K23" authorId="0" shapeId="0" xr:uid="{88FE7356-045A-4861-81E7-680FF6736028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Financing Requirements</t>
      </text>
    </comment>
    <comment ref="B37" authorId="1" shapeId="0" xr:uid="{1B37AFF7-91C8-41F6-8710-A2E76DB9BB70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Times</t>
      </text>
    </comment>
    <comment ref="B38" authorId="2" shapeId="0" xr:uid="{A7C753F9-EF75-4A93-8F2C-E6E145B0CCC6}">
      <text>
        <t>[Threaded comment]
Your version of Excel allows you to read this threaded comment; however, any edits to it will get removed if the file is opened in a newer version of Excel. Learn more: https://go.microsoft.com/fwlink/?linkid=870924
Comment:
    Days</t>
      </text>
    </comment>
    <comment ref="B39" authorId="3" shapeId="0" xr:uid="{454D5B5A-7CD6-4FA0-83CC-9B870EA8F215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times</t>
      </text>
    </comment>
    <comment ref="B40" authorId="4" shapeId="0" xr:uid="{9242C455-D16A-4D04-8C53-6BABE39412F2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times</t>
      </text>
    </comment>
    <comment ref="B41" authorId="5" shapeId="0" xr:uid="{F7B1D8BC-24BC-4E4D-AE34-CDC3FC3D92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tc={05D0CF2A-70BF-49E8-A057-B539160B58E7}</author>
    <author>tc={B1AEDA50-0490-4B73-94E7-22193A24CBE4}</author>
  </authors>
  <commentList>
    <comment ref="A46" authorId="0" shapeId="0" xr:uid="{05D0CF2A-70BF-49E8-A057-B539160B58E7}">
      <text>
        <t>[Threaded comment]
Your version of Excel allows you to read this threaded comment; however, any edits to it will get removed if the file is opened in a newer version of Excel. Learn more: https://go.microsoft.com/fwlink/?linkid=870924
Comment:
    ^Obligate to pay Full Amount^</t>
      </text>
    </comment>
    <comment ref="A78" authorId="1" shapeId="0" xr:uid="{B1AEDA50-0490-4B73-94E7-22193A24CBE4}">
      <text>
        <t>[Threaded comment]
Your version of Excel allows you to read this threaded comment; however, any edits to it will get removed if the file is opened in a newer version of Excel. Learn more: https://go.microsoft.com/fwlink/?linkid=870924
Comment:
    ^Obligate to pay Full Amount^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tc={8BA8C29B-EA85-4EC4-8810-A74033B01932}</author>
    <author>tc={80547D31-50CE-4B91-947E-85FB61152DA0}</author>
    <author>tc={7A7C3841-DA87-47CD-A6B9-5F7FD3E6E3C3}</author>
    <author>tc={EF7CBC64-F9BC-4599-BB9A-615D6E996019}</author>
  </authors>
  <commentList>
    <comment ref="C38" authorId="0" shapeId="0" xr:uid="{8BA8C29B-EA85-4EC4-8810-A74033B01932}">
      <text>
        <t>[Threaded comment]
Your version of Excel allows you to read this threaded comment; however, any edits to it will get removed if the file is opened in a newer version of Excel. Learn more: https://go.microsoft.com/fwlink/?linkid=870924
Comment:
    Ceiling on Graph</t>
      </text>
    </comment>
    <comment ref="C39" authorId="1" shapeId="0" xr:uid="{80547D31-50CE-4B91-947E-85FB61152DA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Floor on Graph</t>
      </text>
    </comment>
    <comment ref="C57" authorId="2" shapeId="0" xr:uid="{7A7C3841-DA87-47CD-A6B9-5F7FD3E6E3C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Floor on Graph</t>
      </text>
    </comment>
    <comment ref="C58" authorId="3" shapeId="0" xr:uid="{EF7CBC64-F9BC-4599-BB9A-615D6E996019}">
      <text>
        <t>[Threaded comment]
Your version of Excel allows you to read this threaded comment; however, any edits to it will get removed if the file is opened in a newer version of Excel. Learn more: https://go.microsoft.com/fwlink/?linkid=870924
Comment:
    Ceiling on Graph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<sst xmlns="http://schemas.openxmlformats.org/spreadsheetml/2006/main" count="840" uniqueCount="535">
  <si>
    <t>Q1.) Calculating Expected Revenues</t>
  </si>
  <si>
    <t xml:space="preserve">Probability </t>
  </si>
  <si>
    <t>Revenue</t>
  </si>
  <si>
    <t>Total</t>
  </si>
  <si>
    <t xml:space="preserve">Simplified </t>
  </si>
  <si>
    <t>Q2.) Forecasting CFs using the expected value</t>
  </si>
  <si>
    <t>Scenario I</t>
  </si>
  <si>
    <t>Scenario III</t>
  </si>
  <si>
    <t>Scenario II</t>
  </si>
  <si>
    <t>CF</t>
  </si>
  <si>
    <t>Expected CFs</t>
  </si>
  <si>
    <t>Q3.) Calculating the expected NPV of a project</t>
  </si>
  <si>
    <t xml:space="preserve">Demand State </t>
  </si>
  <si>
    <t>Probability</t>
  </si>
  <si>
    <t>NPV Estimate</t>
  </si>
  <si>
    <t>Low</t>
  </si>
  <si>
    <t>Mid</t>
  </si>
  <si>
    <t>High</t>
  </si>
  <si>
    <t>a.) Expected NPV</t>
  </si>
  <si>
    <t>Second Part: Acknowledge negative NPV and its probability but focus on the total NPV value</t>
  </si>
  <si>
    <t xml:space="preserve">b.) Assume probability </t>
  </si>
  <si>
    <t>Expected NPV</t>
  </si>
  <si>
    <t>Q4.) Scenario Analysis</t>
  </si>
  <si>
    <t>&lt;-Change input variables</t>
  </si>
  <si>
    <t>Given Variables</t>
  </si>
  <si>
    <t>Unit Price</t>
  </si>
  <si>
    <t>VC</t>
  </si>
  <si>
    <t>FC</t>
  </si>
  <si>
    <t>Expected Sales</t>
  </si>
  <si>
    <t>Intitial Outlay</t>
  </si>
  <si>
    <t>Project LC</t>
  </si>
  <si>
    <t>WC investment</t>
  </si>
  <si>
    <t>Stright Line Depr.</t>
  </si>
  <si>
    <t xml:space="preserve">Cost of Capital </t>
  </si>
  <si>
    <t>Marginal Tax Rate</t>
  </si>
  <si>
    <t>VC per unit</t>
  </si>
  <si>
    <t>Base NPV</t>
  </si>
  <si>
    <t>FCF</t>
  </si>
  <si>
    <t>Year 0</t>
  </si>
  <si>
    <t>Year 1-9</t>
  </si>
  <si>
    <t>Year 10</t>
  </si>
  <si>
    <t>FCF model</t>
  </si>
  <si>
    <t>Intial Calculations</t>
  </si>
  <si>
    <t>Year Revenue (years 1-10)</t>
  </si>
  <si>
    <t>VC  (years 1-10)</t>
  </si>
  <si>
    <t>Revenues</t>
  </si>
  <si>
    <t>CF0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</si>
  <si>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</si>
  <si>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</si>
  <si>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</si>
  <si>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</si>
  <si>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</si>
  <si>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</si>
  <si>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</si>
  <si>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</si>
  <si>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</si>
  <si>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</si>
  <si>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NPV&amp;IRR Calc</t>
  </si>
  <si>
    <t>Expect Sales</t>
  </si>
  <si>
    <t>Best Scenario Manager Tweaks</t>
  </si>
  <si>
    <t>Worst Scenario Manager Tweaks</t>
  </si>
  <si>
    <t>Inputs</t>
  </si>
  <si>
    <t>Variable cost</t>
  </si>
  <si>
    <t>Fixed Expenses</t>
  </si>
  <si>
    <t>Gross Margin</t>
  </si>
  <si>
    <t>Depreciation</t>
  </si>
  <si>
    <t>Net Operating Income</t>
  </si>
  <si>
    <t>Income Tax Expense</t>
  </si>
  <si>
    <t xml:space="preserve">Net Income </t>
  </si>
  <si>
    <t>Intiaal Outlay</t>
  </si>
  <si>
    <t>Invest in NOWC</t>
  </si>
  <si>
    <t xml:space="preserve">Q5.) Break Even Analysis </t>
  </si>
  <si>
    <t>a.) Accouunting  &amp; Cash Even BE Production Units</t>
  </si>
  <si>
    <t>Total Fix Cost</t>
  </si>
  <si>
    <t>Variable Cost per unit (V)</t>
  </si>
  <si>
    <t>Price Per Unit (P)</t>
  </si>
  <si>
    <t>Accounting B/E</t>
  </si>
  <si>
    <t>Dep</t>
  </si>
  <si>
    <t>Fixed Cash Expense</t>
  </si>
  <si>
    <t>Cash B/E</t>
  </si>
  <si>
    <t>Q6.) Using Degree of Operating Leverage</t>
  </si>
  <si>
    <t>DOL=1+FC/ NOI</t>
  </si>
  <si>
    <t>To identify % increase just times it by the sales anticpated %</t>
  </si>
  <si>
    <t>Q1.) Defining capital structure​ weights</t>
  </si>
  <si>
    <t>Q4.) Cost of Common Equity</t>
  </si>
  <si>
    <t>Q5.) Cost of Debt</t>
  </si>
  <si>
    <t>Q6.) Cost of Preferred Stock</t>
  </si>
  <si>
    <t>Q7.) Cost of Debt</t>
  </si>
  <si>
    <t xml:space="preserve">$ Millions </t>
  </si>
  <si>
    <t>Book Value</t>
  </si>
  <si>
    <t>Market Value</t>
  </si>
  <si>
    <t>ST Debt</t>
  </si>
  <si>
    <t>LT Debt</t>
  </si>
  <si>
    <t xml:space="preserve">Common Equity </t>
  </si>
  <si>
    <t>Total Capital</t>
  </si>
  <si>
    <t>Weights</t>
  </si>
  <si>
    <t>Debt</t>
  </si>
  <si>
    <t>CE</t>
  </si>
  <si>
    <t>Percentage</t>
  </si>
  <si>
    <t>CE Market Price</t>
  </si>
  <si>
    <t>Dividends</t>
  </si>
  <si>
    <t>Expected AGR</t>
  </si>
  <si>
    <t>Cost of CE</t>
  </si>
  <si>
    <t>D1</t>
  </si>
  <si>
    <t>Sell Share Price</t>
  </si>
  <si>
    <t xml:space="preserve">Preferred Stock COC </t>
  </si>
  <si>
    <t>Bond Par Value</t>
  </si>
  <si>
    <t>Annual Interest %</t>
  </si>
  <si>
    <t xml:space="preserve">Years to Maturity </t>
  </si>
  <si>
    <t>Willing to Pay</t>
  </si>
  <si>
    <t xml:space="preserve">Tax Rate </t>
  </si>
  <si>
    <t>After-tax Cost of Debt</t>
  </si>
  <si>
    <t>I/Y</t>
  </si>
  <si>
    <t>Annual Coupon Rate</t>
  </si>
  <si>
    <t>Current MV</t>
  </si>
  <si>
    <t xml:space="preserve">Marginal Tax Rate </t>
  </si>
  <si>
    <t>I/Y (Semi-Annual)</t>
  </si>
  <si>
    <t>Annual I/Y</t>
  </si>
  <si>
    <t>b.) Cost of CE</t>
  </si>
  <si>
    <t>a.) Individual or component costs of​ capital</t>
  </si>
  <si>
    <t xml:space="preserve">Q2.) </t>
  </si>
  <si>
    <t>Dividend</t>
  </si>
  <si>
    <t>Growth Rate</t>
  </si>
  <si>
    <t>Current CE price</t>
  </si>
  <si>
    <t xml:space="preserve">Sell for </t>
  </si>
  <si>
    <t>Par Value</t>
  </si>
  <si>
    <t xml:space="preserve">Dividend </t>
  </si>
  <si>
    <t>Cost of PS</t>
  </si>
  <si>
    <t>c.) Cost of PS</t>
  </si>
  <si>
    <t>d.) After-tax cost of debt</t>
  </si>
  <si>
    <t xml:space="preserve">Selling to Yield </t>
  </si>
  <si>
    <t>Tax-Rate</t>
  </si>
  <si>
    <t>After-tax cost of debt</t>
  </si>
  <si>
    <t>Q3.)</t>
  </si>
  <si>
    <t>b.) Conceptual</t>
  </si>
  <si>
    <t>c.) Cost of CE</t>
  </si>
  <si>
    <r>
      <rPr>
        <b/>
        <sz val="12"/>
        <color theme="1"/>
        <rFont val="Garamond"/>
        <family val="1"/>
      </rPr>
      <t xml:space="preserve">If the​ firm's bonds are not frequently​ traded, how would you go about determining a cost of debt for this​ company? </t>
    </r>
    <r>
      <rPr>
        <sz val="12"/>
        <color theme="1"/>
        <rFont val="Garamond"/>
        <family val="1"/>
      </rPr>
      <t>Standard practice to estimate the cost of debt using the yield to maturity on a portfolio of bonds with a similar credit rating and maturity as the​ firm's outstanding debt.</t>
    </r>
  </si>
  <si>
    <t>Stock par value</t>
  </si>
  <si>
    <t>Stock Value now</t>
  </si>
  <si>
    <t>d.) Cost of PS</t>
  </si>
  <si>
    <t>e.) After-tax cost of debt</t>
  </si>
  <si>
    <t>Upfront raise</t>
  </si>
  <si>
    <t>Maturity LC</t>
  </si>
  <si>
    <t>Investor ROR</t>
  </si>
  <si>
    <t>Annual Coupon Rate (semi payment)</t>
  </si>
  <si>
    <t>MV of the Bonds</t>
  </si>
  <si>
    <t>b.) How many bonds needed?</t>
  </si>
  <si>
    <t>c.) After-tax cost of debt</t>
  </si>
  <si>
    <t>Tax Rate</t>
  </si>
  <si>
    <t>Q1.) Calculating Debt Ratio</t>
  </si>
  <si>
    <t>A/P</t>
  </si>
  <si>
    <t xml:space="preserve">Current Liabilities </t>
  </si>
  <si>
    <t xml:space="preserve">Total </t>
  </si>
  <si>
    <t>Shareholder Equity</t>
  </si>
  <si>
    <t>Debt Ratio</t>
  </si>
  <si>
    <t>a.</t>
  </si>
  <si>
    <t>b.</t>
  </si>
  <si>
    <t>Debt-to-Enterprise Ratio</t>
  </si>
  <si>
    <t xml:space="preserve">b. </t>
  </si>
  <si>
    <t>Debt Ratio=TL/TA</t>
  </si>
  <si>
    <t>Interest Bearing Debt Ratio</t>
  </si>
  <si>
    <t>Interest Bearing Debt=Total Debt-A/P</t>
  </si>
  <si>
    <t>Interest Bearing Debt Ratio=(Total Debt-A/P)/TA</t>
  </si>
  <si>
    <t>Calculations:</t>
  </si>
  <si>
    <t>Excess Cash</t>
  </si>
  <si>
    <t>Interest Bearing Debt</t>
  </si>
  <si>
    <t>Debt-to-Enterprise Ratio=((Interest Bearing Debt-Excess Cash)/(Interest Bearing Debt-Excess Cash)+MV of Equity))</t>
  </si>
  <si>
    <t>c.</t>
  </si>
  <si>
    <t>The most relevant of the three​ debt-related ratios we have calculated is the​ third, the​ debt-to-enterprise-value ratio.</t>
  </si>
  <si>
    <t>MV of Equity</t>
  </si>
  <si>
    <t>MV of Equity (for b.)</t>
  </si>
  <si>
    <t>Q2.) Adjusting a firm's Capital Structure</t>
  </si>
  <si>
    <t>Target Debt Ratio</t>
  </si>
  <si>
    <t>New Equity Funding</t>
  </si>
  <si>
    <t>Total Debt</t>
  </si>
  <si>
    <t>Consideration for Expansion</t>
  </si>
  <si>
    <t>Calculation:</t>
  </si>
  <si>
    <t>New Equity Funding=Total Debt-(TA-Additional Consideration)*Target Debt Ratio</t>
  </si>
  <si>
    <t>Q3.) Describing a firm's Capital Structure</t>
  </si>
  <si>
    <t>Liabilities</t>
  </si>
  <si>
    <t>Current</t>
  </si>
  <si>
    <t>ST/Current Debt</t>
  </si>
  <si>
    <t>Total CL</t>
  </si>
  <si>
    <t>Other CL</t>
  </si>
  <si>
    <t xml:space="preserve">Other LT liabilties </t>
  </si>
  <si>
    <t>Total LT Liabilites</t>
  </si>
  <si>
    <t>Stockholder Equity</t>
  </si>
  <si>
    <t>EBIT</t>
  </si>
  <si>
    <t>Interest Expense</t>
  </si>
  <si>
    <t>Net Income</t>
  </si>
  <si>
    <t>Earnings before Taxes</t>
  </si>
  <si>
    <t>Taxed Amount</t>
  </si>
  <si>
    <t>Net Income (a.)</t>
  </si>
  <si>
    <t xml:space="preserve">b. No Debt </t>
  </si>
  <si>
    <t xml:space="preserve">c. Firm Interest </t>
  </si>
  <si>
    <t>Tax-Savings</t>
  </si>
  <si>
    <t>Tax Savings=Interest Expense*Tax Rate</t>
  </si>
  <si>
    <t>Q4.) Computing Tax Savings</t>
  </si>
  <si>
    <t>$ Thousands</t>
  </si>
  <si>
    <t>YEAR</t>
  </si>
  <si>
    <t>Income Taxes</t>
  </si>
  <si>
    <t xml:space="preserve">a. Time Interest Earned (TIE) Ratio </t>
  </si>
  <si>
    <t xml:space="preserve">b. TIE Interperation </t>
  </si>
  <si>
    <t>Q5.) Analyzing Coverage Ratios</t>
  </si>
  <si>
    <t>Q6.) Leverage &amp; EPS</t>
  </si>
  <si>
    <t>Pro Forma Statement</t>
  </si>
  <si>
    <t>Sales</t>
  </si>
  <si>
    <t>Revenue Before FC</t>
  </si>
  <si>
    <t>Earnings Before Taxes</t>
  </si>
  <si>
    <t>Base Case</t>
  </si>
  <si>
    <t>a. Increase</t>
  </si>
  <si>
    <t>b. Decrease</t>
  </si>
  <si>
    <t xml:space="preserve">Sales </t>
  </si>
  <si>
    <t>Increase</t>
  </si>
  <si>
    <t>Decrease</t>
  </si>
  <si>
    <t xml:space="preserve">c. Sales &amp; Interest Fluctucate </t>
  </si>
  <si>
    <t>Flucations (c.) part 1</t>
  </si>
  <si>
    <t>Flucations (c.) part 2</t>
  </si>
  <si>
    <t>c. Sales &amp; Interest Fluctucate (part 2)</t>
  </si>
  <si>
    <t>Change Me (use for C)</t>
  </si>
  <si>
    <t xml:space="preserve">(Dividend %*Par Value)/ Sell For </t>
  </si>
  <si>
    <t>^Calculator Method^</t>
  </si>
  <si>
    <t>(D1/CS price now)+growth rate</t>
  </si>
  <si>
    <t>(Dividend Rate*Par Value)/Sell for</t>
  </si>
  <si>
    <t>Q1.) Dividend Payout Ratio</t>
  </si>
  <si>
    <t>Company</t>
  </si>
  <si>
    <t>X</t>
  </si>
  <si>
    <t>Y</t>
  </si>
  <si>
    <t>Z</t>
  </si>
  <si>
    <t>Dividend Payout Ratio</t>
  </si>
  <si>
    <t>EPS</t>
  </si>
  <si>
    <t xml:space="preserve">X Dividend Per Share </t>
  </si>
  <si>
    <t xml:space="preserve">Y Dividend Per Share </t>
  </si>
  <si>
    <t xml:space="preserve">Z Dividend Per Share </t>
  </si>
  <si>
    <t>Dividend Per Share=EPS*Dividend Payout Ratio</t>
  </si>
  <si>
    <t>Q2.) Calculating the​ ex-dividend stock​ price</t>
  </si>
  <si>
    <t>Stock Price</t>
  </si>
  <si>
    <t xml:space="preserve">One-Time Cash Dividend </t>
  </si>
  <si>
    <t>Stock price just before ex-dividend date=PV (all dividends to be paid from now to infinity)</t>
  </si>
  <si>
    <t>​Ex-dividend stock​ price</t>
  </si>
  <si>
    <t>b. If the​ firm's management is right about the stimulating effect of disgorging​ cash, do you think that the drop in stock price after the​ ex-dividend date will be smaller than otherwise​ expected?</t>
  </si>
  <si>
    <t>This firm has just admitted that its growth days are​ over, thus the price will probably fall by more than ​$40.1640.16. Given the underlying motivation for the large​ payout, it is possible that the stock price would not fall by ​$40.1640.16.</t>
  </si>
  <si>
    <t xml:space="preserve">Q3.) Stock Dividend </t>
  </si>
  <si>
    <t>Years</t>
  </si>
  <si>
    <t>Trading Price</t>
  </si>
  <si>
    <t xml:space="preserve">Trading Range Floor </t>
  </si>
  <si>
    <t>Trading Range Ceiling</t>
  </si>
  <si>
    <t>What should the stock dividend be so as to result in the desired change in the​ firm's stock​ price?</t>
  </si>
  <si>
    <t>Expected Share Price</t>
  </si>
  <si>
    <t>Stock Dividend</t>
  </si>
  <si>
    <t>Q4.) Stock Split</t>
  </si>
  <si>
    <t>s=Current Price/ New Price</t>
  </si>
  <si>
    <t>Q5.) Cash Dividends</t>
  </si>
  <si>
    <t xml:space="preserve">Cash </t>
  </si>
  <si>
    <t>A/R</t>
  </si>
  <si>
    <t>Inventories</t>
  </si>
  <si>
    <t>CA</t>
  </si>
  <si>
    <t>FA</t>
  </si>
  <si>
    <t>Total Assets</t>
  </si>
  <si>
    <t>Notes Payable</t>
  </si>
  <si>
    <t>CL</t>
  </si>
  <si>
    <t xml:space="preserve">Equity </t>
  </si>
  <si>
    <t>Balance Sheet</t>
  </si>
  <si>
    <t>Per Share Dividend</t>
  </si>
  <si>
    <t>Common Stock Shares</t>
  </si>
  <si>
    <t xml:space="preserve">a.) Total Dividend Payout </t>
  </si>
  <si>
    <t>Reconstructed Balance Sheet</t>
  </si>
  <si>
    <t>Q6.) Stock repurchase and taxes</t>
  </si>
  <si>
    <t>Repurchase Price</t>
  </si>
  <si>
    <t>Company Total Shares of Stock</t>
  </si>
  <si>
    <t>Currently Trading Share Price</t>
  </si>
  <si>
    <t>Founder Stock he still holds</t>
  </si>
  <si>
    <t>^Original Purchase Price^</t>
  </si>
  <si>
    <t>Shares to Sell</t>
  </si>
  <si>
    <t>^Share Price^</t>
  </si>
  <si>
    <t>After Tax Proceeds</t>
  </si>
  <si>
    <t>Total Proceeds</t>
  </si>
  <si>
    <t>Price per Share</t>
  </si>
  <si>
    <t xml:space="preserve"># of shares </t>
  </si>
  <si>
    <t xml:space="preserve">Tax Liability </t>
  </si>
  <si>
    <t>Capital gain per Share</t>
  </si>
  <si>
    <t>Intend to Sell</t>
  </si>
  <si>
    <t>Total Proceeds=Current Price per Share*# of shares</t>
  </si>
  <si>
    <t xml:space="preserve">After-Tax Proceeds=Total Proceeds-Tax Liability </t>
  </si>
  <si>
    <t>Current Share Price-Original Purchase Price</t>
  </si>
  <si>
    <t>Tax Liability=Capital Gain Per Share*# of shares*Tax Rate</t>
  </si>
  <si>
    <t>Capital Gain per share=</t>
  </si>
  <si>
    <t>Q7.) Dividend Irrelevance of the timing of cash dividends</t>
  </si>
  <si>
    <t>Aviable Cash Dividend Funds</t>
  </si>
  <si>
    <t>Liquidating Dividends</t>
  </si>
  <si>
    <t xml:space="preserve">ROR Required </t>
  </si>
  <si>
    <t>Estimated Value of Equity today</t>
  </si>
  <si>
    <t>Dividend Year 0</t>
  </si>
  <si>
    <t>Dividend Year 1</t>
  </si>
  <si>
    <t>b.) Reconstructed</t>
  </si>
  <si>
    <t>Additional to be Raised</t>
  </si>
  <si>
    <t>Today Value</t>
  </si>
  <si>
    <t>Value of new Shares</t>
  </si>
  <si>
    <t>Q1.) Financial Forecasting</t>
  </si>
  <si>
    <t>Q2.) Financial Forecasting-% of Sales</t>
  </si>
  <si>
    <t>Q3.) Constructing pro forma Balance Sheet</t>
  </si>
  <si>
    <t>Q4.) Discretionary Financing Needs</t>
  </si>
  <si>
    <t>Q5.) Cash Budget Preparation</t>
  </si>
  <si>
    <t>#% of Sales</t>
  </si>
  <si>
    <t>NFA</t>
  </si>
  <si>
    <t>Liabilities &amp; Owners Equity</t>
  </si>
  <si>
    <t>Total Liabilites</t>
  </si>
  <si>
    <t>Common Stock</t>
  </si>
  <si>
    <t>Paid-In-Capital</t>
  </si>
  <si>
    <t>RE</t>
  </si>
  <si>
    <t>Common Equity</t>
  </si>
  <si>
    <t>2013 Given Information</t>
  </si>
  <si>
    <t>2014 Given Information</t>
  </si>
  <si>
    <t>NI</t>
  </si>
  <si>
    <t>"2013"</t>
  </si>
  <si>
    <t>"2014"</t>
  </si>
  <si>
    <t>a.) RE</t>
  </si>
  <si>
    <r>
      <t>^</t>
    </r>
    <r>
      <rPr>
        <b/>
        <sz val="12"/>
        <color rgb="FFFF0000"/>
        <rFont val="Garamond"/>
        <family val="1"/>
      </rPr>
      <t>Long-term debt, common​ stock, and​ paid-in capital keep the same values</t>
    </r>
    <r>
      <rPr>
        <sz val="12"/>
        <color rgb="FFFF0000"/>
        <rFont val="Garamond"/>
        <family val="2"/>
      </rPr>
      <t xml:space="preserve"> that they had in​ 2013, since these amounts are assumed not to vary with sales.^ and input the New RE you found </t>
    </r>
  </si>
  <si>
    <t>c.) Total Financing Requirements</t>
  </si>
  <si>
    <t>b. New Pro-Forma</t>
  </si>
  <si>
    <t>Current Year RE=Previous Year RE+Current Year NI-Current Year Dividends</t>
  </si>
  <si>
    <t>Discretionary Financing Needs (DFN)=Total Assets-Total Liability &amp; Common Equity</t>
  </si>
  <si>
    <t xml:space="preserve">Total Liability </t>
  </si>
  <si>
    <t>Total Equity</t>
  </si>
  <si>
    <t>DFN</t>
  </si>
  <si>
    <t>Next Year</t>
  </si>
  <si>
    <t>Current Year</t>
  </si>
  <si>
    <t>Net Profi Margin %</t>
  </si>
  <si>
    <t>Total Liabilities</t>
  </si>
  <si>
    <t>Retained Earrnings</t>
  </si>
  <si>
    <t>Total CE</t>
  </si>
  <si>
    <t>% of Sales</t>
  </si>
  <si>
    <t>FA Increase</t>
  </si>
  <si>
    <t>Next Year RE</t>
  </si>
  <si>
    <t>Stock Dividends</t>
  </si>
  <si>
    <t>Total Lia. &amp; CE</t>
  </si>
  <si>
    <t>Retained Earnings</t>
  </si>
  <si>
    <t>Next Year NI</t>
  </si>
  <si>
    <t>a.) Balance Sheet "Next Year"</t>
  </si>
  <si>
    <t>b.) DFN</t>
  </si>
  <si>
    <t>TL</t>
  </si>
  <si>
    <t>TE</t>
  </si>
  <si>
    <t>c.) Largest Increase In Sale</t>
  </si>
  <si>
    <t>???</t>
  </si>
  <si>
    <t xml:space="preserve">Ratio Analysis </t>
  </si>
  <si>
    <t>Total Asset Turnover</t>
  </si>
  <si>
    <t>ACP (365 days a year)</t>
  </si>
  <si>
    <t>Fixed Asset Turnover</t>
  </si>
  <si>
    <t>Inventory Turnover (based on COGS)</t>
  </si>
  <si>
    <t>Current Ratiio</t>
  </si>
  <si>
    <t>COGS</t>
  </si>
  <si>
    <t>COGS% of Sales</t>
  </si>
  <si>
    <t>TA</t>
  </si>
  <si>
    <t>ACP=AR/Annual Credit Sales/365 days</t>
  </si>
  <si>
    <t>Total Asset Turnover=Sales/Total Assets</t>
  </si>
  <si>
    <t>Fixed Asset Turnover=Sales/ Net PPE</t>
  </si>
  <si>
    <t>Current Ratiio=CA/CL</t>
  </si>
  <si>
    <t>Inventory Turnove=COGS/Inventories</t>
  </si>
  <si>
    <t>AR Turnover=Annual Credit Sales/AR</t>
  </si>
  <si>
    <t xml:space="preserve">Pro Forma Balance Sheet </t>
  </si>
  <si>
    <t>Cash</t>
  </si>
  <si>
    <t>Inventory</t>
  </si>
  <si>
    <t>Total Liability</t>
  </si>
  <si>
    <t>Project Sources of Financing</t>
  </si>
  <si>
    <t>a.) Growth Scenario</t>
  </si>
  <si>
    <t>b. Sources of Financing</t>
  </si>
  <si>
    <t>1. ​ Long-term debt:  The​ firm's long-term debt is only slightly larger than  its current​ liabilities, and is significantly less than its common equity.  It is possible that Harrison could borrow more​ long-term money.
2.  Notes​ payable:  If Harrison prefers to borrow short​ term, it could take out another note payable.  In the given​ projections, it has not raised its notes payable at all in support of its much higher sales.
3.  Retained​ earnings:  The firm increases its retained earnings slightly as it increases its​ sales, but not by nearly as much as we expect that it could.
4.  Common​ stock:  The firm could issue new common stock. ​ (It may be unwilling to do​ so, however, if​ it's afraid that the sale could signal that its stock is​ overvalued.)</t>
  </si>
  <si>
    <t>January</t>
  </si>
  <si>
    <t>Febuary</t>
  </si>
  <si>
    <t>March</t>
  </si>
  <si>
    <t>April</t>
  </si>
  <si>
    <t xml:space="preserve">May </t>
  </si>
  <si>
    <t>June</t>
  </si>
  <si>
    <t>July</t>
  </si>
  <si>
    <t>August</t>
  </si>
  <si>
    <t>Months</t>
  </si>
  <si>
    <t>Nov.</t>
  </si>
  <si>
    <t>Dec.</t>
  </si>
  <si>
    <t>Jan.</t>
  </si>
  <si>
    <t xml:space="preserve">Sales for Cash </t>
  </si>
  <si>
    <t>Percent</t>
  </si>
  <si>
    <t>2nd Month After Sales</t>
  </si>
  <si>
    <t>1st Month After Sales</t>
  </si>
  <si>
    <t>Total Cash Receipts</t>
  </si>
  <si>
    <t>Raw Materials</t>
  </si>
  <si>
    <t>Rent</t>
  </si>
  <si>
    <t>Other Exp.</t>
  </si>
  <si>
    <t>Tax Prepayments</t>
  </si>
  <si>
    <t>Total Cash Disbursements</t>
  </si>
  <si>
    <t>Net Change in Cash</t>
  </si>
  <si>
    <t>Net Change in Cash for period</t>
  </si>
  <si>
    <t>(+) Beginning Cash Balance</t>
  </si>
  <si>
    <t>(-) Interest on ST Borrowing</t>
  </si>
  <si>
    <t>Ending Cash Balance Borrowing</t>
  </si>
  <si>
    <t>New Financing Need</t>
  </si>
  <si>
    <t>Financing Needed for Period</t>
  </si>
  <si>
    <t xml:space="preserve">Ending Cash Balance </t>
  </si>
  <si>
    <t>Cumative Borrowing</t>
  </si>
  <si>
    <t>Input Variables (per month)</t>
  </si>
  <si>
    <t>Other Ex.</t>
  </si>
  <si>
    <t>Quaterly</t>
  </si>
  <si>
    <t>ST Loan %</t>
  </si>
  <si>
    <t xml:space="preserve">RM % of Final Price </t>
  </si>
  <si>
    <t>Feb.</t>
  </si>
  <si>
    <t>May</t>
  </si>
  <si>
    <t>CAGR</t>
  </si>
  <si>
    <t>NPM</t>
  </si>
  <si>
    <t>Assets</t>
  </si>
  <si>
    <t>Liabilites &amp; Owners Equity</t>
  </si>
  <si>
    <t>Accrued Expenses</t>
  </si>
  <si>
    <t>Total Liabilies</t>
  </si>
  <si>
    <t>Common Stock (par)</t>
  </si>
  <si>
    <t>Total Liabilies &amp; CE</t>
  </si>
  <si>
    <t>Total Financing Reqs</t>
  </si>
  <si>
    <t>Amount Reinvested</t>
  </si>
  <si>
    <t>Forecasted</t>
  </si>
  <si>
    <t xml:space="preserve">Cash Balance at Dec. 31,2013 </t>
  </si>
  <si>
    <t>Min Main. Balance</t>
  </si>
  <si>
    <t>(-) ST Borrowing Repayments</t>
  </si>
  <si>
    <t>Cash Reciepts (Inflow or Sources)</t>
  </si>
  <si>
    <t>Cash Disbursements (Outflow or Uses)</t>
  </si>
  <si>
    <t>Q1.) Measuring firm​ liquidity</t>
  </si>
  <si>
    <t xml:space="preserve">  ($ thousands)</t>
  </si>
  <si>
    <t xml:space="preserve">  Current assets</t>
  </si>
  <si>
    <t xml:space="preserve">  Cash and cash equivalents</t>
  </si>
  <si>
    <t xml:space="preserve">  Short-term investments</t>
  </si>
  <si>
    <t xml:space="preserve">  Net receivables</t>
  </si>
  <si>
    <t xml:space="preserve">  Inventory</t>
  </si>
  <si>
    <t xml:space="preserve">  Total current assets</t>
  </si>
  <si>
    <t xml:space="preserve">  Current liabilities</t>
  </si>
  <si>
    <t xml:space="preserve">  Accounts payable</t>
  </si>
  <si>
    <t xml:space="preserve">  Short-term/current long-term debt</t>
  </si>
  <si>
    <t xml:space="preserve">  Other current liabilities</t>
  </si>
  <si>
    <t xml:space="preserve">  Total current liabilities</t>
  </si>
  <si>
    <t>NWC</t>
  </si>
  <si>
    <t>Current Ratio</t>
  </si>
  <si>
    <t>NWC=CA-CL</t>
  </si>
  <si>
    <t>Current Ratio=CA/CL</t>
  </si>
  <si>
    <t>Percent Change YOY</t>
  </si>
  <si>
    <t xml:space="preserve">b.) Trend Analysis Interpretation </t>
  </si>
  <si>
    <t>a.)</t>
  </si>
  <si>
    <t>Q2.) Identifying spontaneous,​ temporary, &amp; permanent sources of​ financing</t>
  </si>
  <si>
    <t>Multiple Choice</t>
  </si>
  <si>
    <t>I broke the type of financing into Operational and Strategic decision-making (think of managerial accounting decision classifications)</t>
  </si>
  <si>
    <t>Q3.) Cash Conversion Cycle (CCC)</t>
  </si>
  <si>
    <t>Operating Cycle=Inventory Conversion Period (ICP)+Avg. Collection Period (ACP)</t>
  </si>
  <si>
    <t xml:space="preserve">CCC=Operating Cycle- A/P Deferral Period </t>
  </si>
  <si>
    <t>ICP</t>
  </si>
  <si>
    <t>ACP</t>
  </si>
  <si>
    <t>Operating Cycle</t>
  </si>
  <si>
    <t>A/P Deferral Period</t>
  </si>
  <si>
    <t>a.) CCC</t>
  </si>
  <si>
    <t>b.) CCC</t>
  </si>
  <si>
    <t>c.) Working Capital Reduction</t>
  </si>
  <si>
    <t>Current Supplier Payment Schedule (days)</t>
  </si>
  <si>
    <t>Forecasted Supplier Payment Schedule (days)</t>
  </si>
  <si>
    <t>Material Cost</t>
  </si>
  <si>
    <t>Daily Production (units)</t>
  </si>
  <si>
    <t>Working Capital Reduction=Daily Units*Cost*(Forecasted-Current)</t>
  </si>
  <si>
    <t>Q4.) Estimating the Cost of Bank Credit</t>
  </si>
  <si>
    <t>per annum rate</t>
  </si>
  <si>
    <t>Anticipated Loan Amt</t>
  </si>
  <si>
    <t>Period (months)</t>
  </si>
  <si>
    <t>Interest=Principal*Rate*Time</t>
  </si>
  <si>
    <t>Interest</t>
  </si>
  <si>
    <t>Months Annual</t>
  </si>
  <si>
    <t>APR</t>
  </si>
  <si>
    <t xml:space="preserve">Principal </t>
  </si>
  <si>
    <t>Maintenance deposit of loan balance</t>
  </si>
  <si>
    <t>Principal=Loan Amount*Maintenance %</t>
  </si>
  <si>
    <t>APR=((Interest/(Loan Amt-Principal-Interest)*(1/(Period/12))</t>
  </si>
  <si>
    <t>Q5.) Cost of Trade Credit</t>
  </si>
  <si>
    <t>Net (days)</t>
  </si>
  <si>
    <t>Discount %</t>
  </si>
  <si>
    <t>Discount Expiration day</t>
  </si>
  <si>
    <t>Example:</t>
  </si>
  <si>
    <t>Days in Year</t>
  </si>
  <si>
    <t>Discount Days</t>
  </si>
  <si>
    <t>Principal</t>
  </si>
  <si>
    <t>APR=((Disc. %/(1-Disc. %))*(1/(Non-Disc. Days/365))</t>
  </si>
  <si>
    <t>Discount days=Net days-Disc. Expiration day</t>
  </si>
  <si>
    <t>Q6.) Cost of ST Financing</t>
  </si>
  <si>
    <t>Alternative A</t>
  </si>
  <si>
    <t>Alternative B</t>
  </si>
  <si>
    <t>Need to Borrow</t>
  </si>
  <si>
    <t>Cost of New Asset</t>
  </si>
  <si>
    <t>Payback period (year)</t>
  </si>
  <si>
    <t>IR</t>
  </si>
  <si>
    <t>Compenstion Balance</t>
  </si>
  <si>
    <t>Maintenance Deposit</t>
  </si>
  <si>
    <t>Principal &amp; Interest Total</t>
  </si>
  <si>
    <t>`</t>
  </si>
  <si>
    <t>Discounted</t>
  </si>
  <si>
    <t>Interest Amt</t>
  </si>
  <si>
    <t>a.) APR</t>
  </si>
  <si>
    <t>b.) APR</t>
  </si>
  <si>
    <t>New Amt Borrowed</t>
  </si>
  <si>
    <t>Q7.) Trade Credit Discounts</t>
  </si>
  <si>
    <t>^Only Difference here is added compensation balance to find new amt borrowed^</t>
  </si>
  <si>
    <t xml:space="preserve">Then Find Interest by multiplying IR &amp; New Amt. </t>
  </si>
  <si>
    <t>Lastly, follow normal APR protocol</t>
  </si>
  <si>
    <t>Profit (or Loss)=Delivery Price of Forward Contract-Price of Underlying Asset at Delivery</t>
  </si>
  <si>
    <t>Delivery Price of Forward Contact</t>
  </si>
  <si>
    <t>Price of Underlying Asset at Delivery</t>
  </si>
  <si>
    <t>Profit (or Loss)</t>
  </si>
  <si>
    <t>A short position is often used to refer to the sale of a​ security, or a forward contract. That​ is, if you sell a forward contract you are said to be​ "short" the forward​ contract, such that when the price of the forward contract goes down the holder of the short position benefits or profits.  </t>
  </si>
  <si>
    <t>Q1.) Forward Contract Payout</t>
  </si>
  <si>
    <t>Q2.) Hedging with Forward Contracts</t>
  </si>
  <si>
    <t>Price of Oil/bbl</t>
  </si>
  <si>
    <t>Total Cost of Oil</t>
  </si>
  <si>
    <t>Total Cost of Revenue</t>
  </si>
  <si>
    <t>Total Refining Costs</t>
  </si>
  <si>
    <t>How Much being Bought?</t>
  </si>
  <si>
    <t>Sold Price</t>
  </si>
  <si>
    <t xml:space="preserve">Avg. Cost </t>
  </si>
  <si>
    <t>Unhedged Annual Profits</t>
  </si>
  <si>
    <t>Profit/Loss on Forward Contract</t>
  </si>
  <si>
    <t>Delivery Price In 1 Year</t>
  </si>
  <si>
    <t>Hedged Annual Profits</t>
  </si>
  <si>
    <t>Q3.) Call Option Payouts</t>
  </si>
  <si>
    <t>Stock Price @ Expiration</t>
  </si>
  <si>
    <t>Exercise Price</t>
  </si>
  <si>
    <t xml:space="preserve">Option Premium </t>
  </si>
  <si>
    <t>Profit (Or Loss)</t>
  </si>
  <si>
    <t>Option Premium</t>
  </si>
  <si>
    <t>Break-Even</t>
  </si>
  <si>
    <t>Break Even=Exercise Price+Option Premium</t>
  </si>
  <si>
    <t>Maximum Obtainable Profit</t>
  </si>
  <si>
    <t xml:space="preserve">Unlimited </t>
  </si>
  <si>
    <t>"Interpret Graph"</t>
  </si>
  <si>
    <t>Maximum Obtainable Loss</t>
  </si>
  <si>
    <t>b.)</t>
  </si>
  <si>
    <t>Option Premium Paid</t>
  </si>
  <si>
    <t>Unlimited</t>
  </si>
  <si>
    <t>p%=(Current Trading Price/New Price)-1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</si>
</sst>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  <numFmt numFmtId="166" formatCode="&quot;$&quot;#,##0"/>
    <numFmt numFmtId="167" formatCode="0.0%"/>
    <numFmt numFmtId="168" formatCode="_(&quot;$&quot;* #,##0.000_);_(&quot;$&quot;* \(#,##0.000\);_(&quot;$&quot;* &quot;-&quot;??_);_(@_)"/>
    <numFmt numFmtId="169" formatCode="0.0000%"/>
  </numFmts>
  <fonts count="18" x14ac:knownFonts="1">
    <font>
      <sz val="12"/>
      <color theme="1"/>
      <name val="Garamond"/>
      <family val="2"/>
    </font>
    <font>
      <sz val="12"/>
      <color theme="1"/>
      <name val="Garamond"/>
      <family val="2"/>
    </font>
    <font>
      <sz val="12"/>
      <color rgb="FFFF0000"/>
      <name val="Garamond"/>
      <family val="2"/>
    </font>
    <font>
      <b/>
      <sz val="12"/>
      <color theme="1"/>
      <name val="Garamond"/>
      <family val="1"/>
    </font>
    <font>
      <sz val="8"/>
      <name val="Garamond"/>
      <family val="2"/>
    </font>
    <font>
      <sz val="12"/>
      <color theme="1"/>
      <name val="Garamond"/>
      <family val="1"/>
    </font>
    <font>
      <sz val="12"/>
      <color theme="1"/>
      <name val="Times New Roman"/>
      <family val="1"/>
    </font>
    <font>
      <b/>
      <sz val="12"/>
      <color rgb="FFFF0000"/>
      <name val="Garamond"/>
      <family val="1"/>
    </font>
    <font>
      <sz val="7"/>
      <color rgb="FF000000"/>
      <name val="Arial"/>
      <family val="2"/>
    </font>
    <font>
      <sz val="12"/>
      <color rgb="FFFF0000"/>
      <name val="Garamond"/>
      <family val="1"/>
    </font>
    <font>
      <sz val="12"/>
      <name val="Garamond"/>
      <family val="1"/>
    </font>
    <font>
      <sz val="11"/>
      <name val="Calibri"/>
      <family val="2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rgb="FF7030A0"/>
      <name val="Garamond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375">
    <xf numFmtId="0" fontId="0" fillId="0" borderId="0" xfId="0"/>
    <xf numFmtId="0" fontId="0" fillId="0" borderId="0" xfId="0" applyAlignment="1">
      <alignment horizontal="right"/>
    </xf>
    <xf numFmtId="164" fontId="3" fillId="3" borderId="1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2" borderId="6" xfId="0" applyFill="1" applyBorder="1"/>
    <xf numFmtId="0" fontId="0" fillId="0" borderId="1" xfId="0" applyBorder="1" applyAlignment="1">
      <alignment horizontal="center" vertical="center"/>
    </xf>
    <xf numFmtId="0" fontId="0" fillId="2" borderId="12" xfId="0" applyFill="1" applyBorder="1"/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/>
    <xf numFmtId="0" fontId="0" fillId="0" borderId="3" xfId="0" applyBorder="1"/>
    <xf numFmtId="165" fontId="0" fillId="0" borderId="8" xfId="0" applyNumberFormat="1" applyBorder="1"/>
    <xf numFmtId="0" fontId="0" fillId="0" borderId="11" xfId="0" applyBorder="1"/>
    <xf numFmtId="0" fontId="0" fillId="0" borderId="12" xfId="0" applyBorder="1"/>
    <xf numFmtId="165" fontId="0" fillId="2" borderId="8" xfId="0" applyNumberFormat="1" applyFill="1" applyBorder="1"/>
    <xf numFmtId="44" fontId="0" fillId="2" borderId="6" xfId="0" applyNumberFormat="1" applyFill="1" applyBorder="1"/>
    <xf numFmtId="165" fontId="0" fillId="2" borderId="6" xfId="0" applyNumberFormat="1" applyFill="1" applyBorder="1"/>
    <xf numFmtId="0" fontId="3" fillId="0" borderId="0" xfId="0" applyFont="1"/>
    <xf numFmtId="165" fontId="3" fillId="3" borderId="1" xfId="0" applyNumberFormat="1" applyFont="1" applyFill="1" applyBorder="1"/>
    <xf numFmtId="165" fontId="0" fillId="0" borderId="6" xfId="0" applyNumberFormat="1" applyBorder="1"/>
    <xf numFmtId="0" fontId="0" fillId="0" borderId="1" xfId="0" applyBorder="1"/>
    <xf numFmtId="166" fontId="3" fillId="3" borderId="1" xfId="0" applyNumberFormat="1" applyFont="1" applyFill="1" applyBorder="1"/>
    <xf numFmtId="165" fontId="0" fillId="2" borderId="4" xfId="0" applyNumberFormat="1" applyFill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165" fontId="0" fillId="2" borderId="8" xfId="0" applyNumberFormat="1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  <xf numFmtId="9" fontId="0" fillId="2" borderId="6" xfId="1" applyFon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9" fontId="0" fillId="2" borderId="3" xfId="1" applyFont="1" applyFill="1" applyBorder="1" applyAlignment="1">
      <alignment horizontal="center" vertical="center"/>
    </xf>
    <xf numFmtId="9" fontId="0" fillId="2" borderId="5" xfId="1" applyFont="1" applyFill="1" applyBorder="1" applyAlignment="1">
      <alignment horizontal="center" vertical="center"/>
    </xf>
    <xf numFmtId="9" fontId="0" fillId="2" borderId="7" xfId="1" applyFont="1" applyFill="1" applyBorder="1" applyAlignment="1">
      <alignment horizontal="center" vertical="center"/>
    </xf>
    <xf numFmtId="9" fontId="0" fillId="2" borderId="11" xfId="1" applyFont="1" applyFill="1" applyBorder="1" applyAlignment="1">
      <alignment horizontal="center" vertical="center"/>
    </xf>
    <xf numFmtId="9" fontId="0" fillId="2" borderId="12" xfId="1" applyFont="1" applyFill="1" applyBorder="1" applyAlignment="1">
      <alignment horizontal="center" vertical="center"/>
    </xf>
    <xf numFmtId="167" fontId="3" fillId="3" borderId="1" xfId="1" applyNumberFormat="1" applyFont="1" applyFill="1" applyBorder="1"/>
    <xf numFmtId="165" fontId="0" fillId="0" borderId="15" xfId="0" applyNumberFormat="1" applyBorder="1"/>
    <xf numFmtId="165" fontId="0" fillId="0" borderId="12" xfId="0" applyNumberFormat="1" applyBorder="1"/>
    <xf numFmtId="165" fontId="0" fillId="0" borderId="4" xfId="0" applyNumberFormat="1" applyBorder="1"/>
    <xf numFmtId="0" fontId="0" fillId="0" borderId="15" xfId="0" applyBorder="1"/>
    <xf numFmtId="165" fontId="0" fillId="0" borderId="0" xfId="0" applyNumberFormat="1"/>
    <xf numFmtId="1" fontId="0" fillId="2" borderId="6" xfId="0" applyNumberFormat="1" applyFill="1" applyBorder="1"/>
    <xf numFmtId="167" fontId="0" fillId="2" borderId="6" xfId="1" applyNumberFormat="1" applyFont="1" applyFill="1" applyBorder="1"/>
    <xf numFmtId="9" fontId="0" fillId="2" borderId="8" xfId="1" applyFont="1" applyFill="1" applyBorder="1"/>
    <xf numFmtId="9" fontId="0" fillId="2" borderId="11" xfId="1" applyFont="1" applyFill="1" applyBorder="1"/>
    <xf numFmtId="9" fontId="0" fillId="2" borderId="15" xfId="1" applyFont="1" applyFill="1" applyBorder="1"/>
    <xf numFmtId="9" fontId="0" fillId="2" borderId="12" xfId="1" applyFont="1" applyFill="1" applyBorder="1"/>
    <xf numFmtId="44" fontId="0" fillId="2" borderId="4" xfId="0" applyNumberFormat="1" applyFill="1" applyBorder="1"/>
    <xf numFmtId="0" fontId="0" fillId="0" borderId="11" xfId="0" applyBorder="1" applyAlignment="1">
      <alignment horizontal="right" vertical="center"/>
    </xf>
    <xf numFmtId="165" fontId="0" fillId="0" borderId="13" xfId="0" applyNumberFormat="1" applyBorder="1" applyAlignment="1">
      <alignment horizontal="right" vertical="center"/>
    </xf>
    <xf numFmtId="165" fontId="0" fillId="0" borderId="11" xfId="0" applyNumberFormat="1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5" fontId="0" fillId="0" borderId="15" xfId="0" applyNumberFormat="1" applyBorder="1" applyAlignment="1">
      <alignment horizontal="right" vertical="center"/>
    </xf>
    <xf numFmtId="165" fontId="0" fillId="0" borderId="12" xfId="0" applyNumberFormat="1" applyBorder="1" applyAlignment="1">
      <alignment horizontal="right" vertical="center"/>
    </xf>
    <xf numFmtId="165" fontId="0" fillId="0" borderId="7" xfId="0" applyNumberFormat="1" applyBorder="1" applyAlignment="1">
      <alignment horizontal="right" vertical="center"/>
    </xf>
    <xf numFmtId="165" fontId="0" fillId="0" borderId="2" xfId="0" applyNumberForma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65" fontId="0" fillId="0" borderId="4" xfId="0" applyNumberFormat="1" applyBorder="1" applyAlignment="1">
      <alignment horizontal="right" vertical="center"/>
    </xf>
    <xf numFmtId="165" fontId="0" fillId="0" borderId="6" xfId="0" applyNumberFormat="1" applyBorder="1" applyAlignment="1">
      <alignment horizontal="right" vertical="center"/>
    </xf>
    <xf numFmtId="165" fontId="0" fillId="0" borderId="8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5" fontId="0" fillId="0" borderId="14" xfId="0" applyNumberFormat="1" applyBorder="1"/>
    <xf numFmtId="165" fontId="0" fillId="0" borderId="10" xfId="0" applyNumberFormat="1" applyBorder="1"/>
    <xf numFmtId="0" fontId="0" fillId="0" borderId="9" xfId="0" applyBorder="1" applyAlignment="1">
      <alignment horizontal="center"/>
    </xf>
    <xf numFmtId="44" fontId="0" fillId="0" borderId="3" xfId="0" applyNumberFormat="1" applyBorder="1"/>
    <xf numFmtId="44" fontId="0" fillId="0" borderId="5" xfId="0" applyNumberFormat="1" applyBorder="1"/>
    <xf numFmtId="1" fontId="0" fillId="0" borderId="7" xfId="0" applyNumberFormat="1" applyBorder="1"/>
    <xf numFmtId="44" fontId="3" fillId="3" borderId="12" xfId="0" applyNumberFormat="1" applyFont="1" applyFill="1" applyBorder="1"/>
    <xf numFmtId="0" fontId="0" fillId="0" borderId="3" xfId="0" applyBorder="1" applyAlignment="1">
      <alignment horizontal="right"/>
    </xf>
    <xf numFmtId="165" fontId="0" fillId="2" borderId="11" xfId="0" applyNumberFormat="1" applyFill="1" applyBorder="1"/>
    <xf numFmtId="165" fontId="0" fillId="2" borderId="12" xfId="0" applyNumberFormat="1" applyFill="1" applyBorder="1"/>
    <xf numFmtId="1" fontId="3" fillId="3" borderId="1" xfId="0" applyNumberFormat="1" applyFont="1" applyFill="1" applyBorder="1"/>
    <xf numFmtId="0" fontId="0" fillId="2" borderId="15" xfId="0" applyFill="1" applyBorder="1"/>
    <xf numFmtId="0" fontId="3" fillId="0" borderId="7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9" xfId="0" applyBorder="1"/>
    <xf numFmtId="9" fontId="0" fillId="0" borderId="0" xfId="1" applyFont="1"/>
    <xf numFmtId="167" fontId="0" fillId="0" borderId="0" xfId="1" applyNumberFormat="1" applyFont="1"/>
    <xf numFmtId="10" fontId="0" fillId="0" borderId="0" xfId="1" applyNumberFormat="1" applyFont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4" fontId="0" fillId="2" borderId="15" xfId="2" applyFont="1" applyFill="1" applyBorder="1"/>
    <xf numFmtId="10" fontId="0" fillId="2" borderId="12" xfId="1" applyNumberFormat="1" applyFont="1" applyFill="1" applyBorder="1"/>
    <xf numFmtId="165" fontId="0" fillId="2" borderId="11" xfId="2" applyNumberFormat="1" applyFont="1" applyFill="1" applyBorder="1"/>
    <xf numFmtId="44" fontId="0" fillId="2" borderId="11" xfId="2" applyFont="1" applyFill="1" applyBorder="1"/>
    <xf numFmtId="10" fontId="3" fillId="3" borderId="12" xfId="1" applyNumberFormat="1" applyFont="1" applyFill="1" applyBorder="1"/>
    <xf numFmtId="44" fontId="0" fillId="4" borderId="12" xfId="1" applyNumberFormat="1" applyFont="1" applyFill="1" applyBorder="1"/>
    <xf numFmtId="44" fontId="0" fillId="2" borderId="11" xfId="0" applyNumberFormat="1" applyFill="1" applyBorder="1"/>
    <xf numFmtId="44" fontId="0" fillId="2" borderId="12" xfId="0" applyNumberFormat="1" applyFill="1" applyBorder="1"/>
    <xf numFmtId="10" fontId="3" fillId="3" borderId="1" xfId="1" applyNumberFormat="1" applyFont="1" applyFill="1" applyBorder="1"/>
    <xf numFmtId="10" fontId="0" fillId="2" borderId="15" xfId="1" applyNumberFormat="1" applyFont="1" applyFill="1" applyBorder="1"/>
    <xf numFmtId="44" fontId="0" fillId="2" borderId="15" xfId="0" applyNumberFormat="1" applyFill="1" applyBorder="1"/>
    <xf numFmtId="167" fontId="0" fillId="2" borderId="12" xfId="1" applyNumberFormat="1" applyFont="1" applyFill="1" applyBorder="1"/>
    <xf numFmtId="167" fontId="0" fillId="4" borderId="12" xfId="1" applyNumberFormat="1" applyFont="1" applyFill="1" applyBorder="1"/>
    <xf numFmtId="165" fontId="0" fillId="2" borderId="15" xfId="0" applyNumberFormat="1" applyFill="1" applyBorder="1"/>
    <xf numFmtId="10" fontId="3" fillId="3" borderId="11" xfId="1" applyNumberFormat="1" applyFont="1" applyFill="1" applyBorder="1" applyAlignment="1">
      <alignment horizontal="center" vertical="center"/>
    </xf>
    <xf numFmtId="10" fontId="3" fillId="3" borderId="12" xfId="1" applyNumberFormat="1" applyFont="1" applyFill="1" applyBorder="1" applyAlignment="1">
      <alignment horizontal="center" vertical="center"/>
    </xf>
    <xf numFmtId="10" fontId="0" fillId="4" borderId="12" xfId="1" applyNumberFormat="1" applyFont="1" applyFill="1" applyBorder="1"/>
    <xf numFmtId="165" fontId="0" fillId="2" borderId="15" xfId="2" applyNumberFormat="1" applyFont="1" applyFill="1" applyBorder="1"/>
    <xf numFmtId="10" fontId="0" fillId="2" borderId="11" xfId="1" applyNumberFormat="1" applyFont="1" applyFill="1" applyBorder="1"/>
    <xf numFmtId="44" fontId="0" fillId="4" borderId="15" xfId="0" applyNumberFormat="1" applyFill="1" applyBorder="1"/>
    <xf numFmtId="44" fontId="0" fillId="2" borderId="1" xfId="0" applyNumberFormat="1" applyFill="1" applyBorder="1"/>
    <xf numFmtId="44" fontId="3" fillId="3" borderId="1" xfId="0" applyNumberFormat="1" applyFont="1" applyFill="1" applyBorder="1"/>
    <xf numFmtId="165" fontId="0" fillId="4" borderId="6" xfId="0" applyNumberFormat="1" applyFill="1" applyBorder="1"/>
    <xf numFmtId="165" fontId="0" fillId="4" borderId="15" xfId="0" applyNumberForma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165" fontId="0" fillId="2" borderId="1" xfId="0" applyNumberFormat="1" applyFill="1" applyBorder="1"/>
    <xf numFmtId="165" fontId="0" fillId="4" borderId="1" xfId="0" applyNumberFormat="1" applyFill="1" applyBorder="1"/>
    <xf numFmtId="10" fontId="3" fillId="3" borderId="11" xfId="1" applyNumberFormat="1" applyFont="1" applyFill="1" applyBorder="1"/>
    <xf numFmtId="9" fontId="0" fillId="2" borderId="1" xfId="1" applyFont="1" applyFill="1" applyBorder="1"/>
    <xf numFmtId="165" fontId="0" fillId="4" borderId="12" xfId="0" applyNumberFormat="1" applyFill="1" applyBorder="1"/>
    <xf numFmtId="165" fontId="0" fillId="4" borderId="15" xfId="2" applyNumberFormat="1" applyFont="1" applyFill="1" applyBorder="1"/>
    <xf numFmtId="165" fontId="0" fillId="2" borderId="12" xfId="2" applyNumberFormat="1" applyFont="1" applyFill="1" applyBorder="1"/>
    <xf numFmtId="165" fontId="0" fillId="4" borderId="15" xfId="1" applyNumberFormat="1" applyFont="1" applyFill="1" applyBorder="1"/>
    <xf numFmtId="165" fontId="3" fillId="3" borderId="12" xfId="0" applyNumberFormat="1" applyFont="1" applyFill="1" applyBorder="1"/>
    <xf numFmtId="165" fontId="6" fillId="2" borderId="3" xfId="0" applyNumberFormat="1" applyFont="1" applyFill="1" applyBorder="1"/>
    <xf numFmtId="165" fontId="6" fillId="2" borderId="4" xfId="0" applyNumberFormat="1" applyFont="1" applyFill="1" applyBorder="1"/>
    <xf numFmtId="165" fontId="6" fillId="2" borderId="5" xfId="0" applyNumberFormat="1" applyFont="1" applyFill="1" applyBorder="1"/>
    <xf numFmtId="165" fontId="6" fillId="2" borderId="6" xfId="0" applyNumberFormat="1" applyFont="1" applyFill="1" applyBorder="1"/>
    <xf numFmtId="165" fontId="0" fillId="4" borderId="5" xfId="0" applyNumberFormat="1" applyFill="1" applyBorder="1"/>
    <xf numFmtId="165" fontId="0" fillId="2" borderId="5" xfId="0" applyNumberFormat="1" applyFill="1" applyBorder="1"/>
    <xf numFmtId="165" fontId="0" fillId="4" borderId="7" xfId="0" applyNumberFormat="1" applyFill="1" applyBorder="1"/>
    <xf numFmtId="165" fontId="0" fillId="4" borderId="8" xfId="0" applyNumberFormat="1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2" fontId="3" fillId="3" borderId="9" xfId="0" applyNumberFormat="1" applyFont="1" applyFill="1" applyBorder="1" applyAlignment="1">
      <alignment horizontal="center" vertical="center"/>
    </xf>
    <xf numFmtId="165" fontId="3" fillId="6" borderId="12" xfId="0" applyNumberFormat="1" applyFont="1" applyFill="1" applyBorder="1"/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0" fillId="2" borderId="15" xfId="1" applyFont="1" applyFill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10" fontId="3" fillId="0" borderId="12" xfId="1" applyNumberFormat="1" applyFont="1" applyBorder="1" applyAlignment="1">
      <alignment horizontal="center" vertical="center"/>
    </xf>
    <xf numFmtId="10" fontId="3" fillId="0" borderId="8" xfId="1" applyNumberFormat="1" applyFont="1" applyBorder="1" applyAlignment="1">
      <alignment horizontal="center" vertical="center"/>
    </xf>
    <xf numFmtId="0" fontId="7" fillId="0" borderId="0" xfId="0" applyFont="1"/>
    <xf numFmtId="0" fontId="7" fillId="0" borderId="5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10" xfId="0" applyBorder="1" applyAlignment="1">
      <alignment horizontal="center" vertical="center"/>
    </xf>
    <xf numFmtId="44" fontId="0" fillId="2" borderId="12" xfId="2" applyFont="1" applyFill="1" applyBorder="1"/>
    <xf numFmtId="168" fontId="0" fillId="2" borderId="11" xfId="0" applyNumberFormat="1" applyFill="1" applyBorder="1" applyAlignment="1">
      <alignment horizontal="center" vertical="center"/>
    </xf>
    <xf numFmtId="168" fontId="0" fillId="2" borderId="15" xfId="0" applyNumberFormat="1" applyFill="1" applyBorder="1" applyAlignment="1">
      <alignment horizontal="center" vertical="center"/>
    </xf>
    <xf numFmtId="168" fontId="0" fillId="2" borderId="12" xfId="0" applyNumberForma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 indent="1"/>
    </xf>
    <xf numFmtId="0" fontId="0" fillId="2" borderId="4" xfId="0" applyFill="1" applyBorder="1"/>
    <xf numFmtId="44" fontId="3" fillId="3" borderId="16" xfId="0" applyNumberFormat="1" applyFont="1" applyFill="1" applyBorder="1" applyAlignment="1">
      <alignment horizontal="center" vertical="center"/>
    </xf>
    <xf numFmtId="2" fontId="3" fillId="3" borderId="10" xfId="1" applyNumberFormat="1" applyFont="1" applyFill="1" applyBorder="1" applyAlignment="1">
      <alignment horizontal="center" vertical="center"/>
    </xf>
    <xf numFmtId="0" fontId="0" fillId="0" borderId="13" xfId="0" applyBorder="1"/>
    <xf numFmtId="0" fontId="0" fillId="0" borderId="2" xfId="0" applyBorder="1"/>
    <xf numFmtId="165" fontId="3" fillId="3" borderId="11" xfId="0" applyNumberFormat="1" applyFont="1" applyFill="1" applyBorder="1"/>
    <xf numFmtId="165" fontId="3" fillId="3" borderId="15" xfId="0" applyNumberFormat="1" applyFont="1" applyFill="1" applyBorder="1"/>
    <xf numFmtId="9" fontId="0" fillId="2" borderId="12" xfId="0" applyNumberFormat="1" applyFill="1" applyBorder="1"/>
    <xf numFmtId="44" fontId="3" fillId="4" borderId="1" xfId="0" applyNumberFormat="1" applyFont="1" applyFill="1" applyBorder="1"/>
    <xf numFmtId="165" fontId="7" fillId="0" borderId="0" xfId="0" applyNumberFormat="1" applyFont="1"/>
    <xf numFmtId="44" fontId="0" fillId="0" borderId="0" xfId="0" applyNumberFormat="1"/>
    <xf numFmtId="165" fontId="0" fillId="2" borderId="0" xfId="0" applyNumberFormat="1" applyFill="1"/>
    <xf numFmtId="165" fontId="0" fillId="4" borderId="0" xfId="0" applyNumberFormat="1" applyFill="1"/>
    <xf numFmtId="0" fontId="0" fillId="0" borderId="15" xfId="0" applyBorder="1" applyAlignment="1">
      <alignment horizontal="right"/>
    </xf>
    <xf numFmtId="0" fontId="0" fillId="0" borderId="12" xfId="0" applyBorder="1" applyAlignment="1">
      <alignment horizontal="right"/>
    </xf>
    <xf numFmtId="10" fontId="0" fillId="0" borderId="6" xfId="1" applyNumberFormat="1" applyFont="1" applyBorder="1"/>
    <xf numFmtId="165" fontId="0" fillId="4" borderId="11" xfId="0" applyNumberFormat="1" applyFill="1" applyBorder="1"/>
    <xf numFmtId="165" fontId="3" fillId="3" borderId="8" xfId="0" applyNumberFormat="1" applyFont="1" applyFill="1" applyBorder="1"/>
    <xf numFmtId="165" fontId="0" fillId="2" borderId="4" xfId="0" applyNumberFormat="1" applyFill="1" applyBorder="1"/>
    <xf numFmtId="0" fontId="5" fillId="0" borderId="5" xfId="0" applyFont="1" applyBorder="1"/>
    <xf numFmtId="10" fontId="0" fillId="2" borderId="6" xfId="1" applyNumberFormat="1" applyFont="1" applyFill="1" applyBorder="1"/>
    <xf numFmtId="0" fontId="5" fillId="0" borderId="7" xfId="0" applyFont="1" applyBorder="1"/>
    <xf numFmtId="0" fontId="5" fillId="0" borderId="15" xfId="0" applyFont="1" applyBorder="1"/>
    <xf numFmtId="0" fontId="5" fillId="0" borderId="12" xfId="0" applyFont="1" applyBorder="1"/>
    <xf numFmtId="0" fontId="0" fillId="0" borderId="0" xfId="0" applyAlignment="1">
      <alignment horizontal="center" vertical="center"/>
    </xf>
    <xf numFmtId="10" fontId="0" fillId="0" borderId="15" xfId="1" applyNumberFormat="1" applyFont="1" applyBorder="1" applyAlignment="1">
      <alignment horizontal="center" vertical="center"/>
    </xf>
    <xf numFmtId="10" fontId="0" fillId="0" borderId="12" xfId="1" applyNumberFormat="1" applyFont="1" applyBorder="1" applyAlignment="1">
      <alignment horizontal="center" vertical="center"/>
    </xf>
    <xf numFmtId="44" fontId="0" fillId="4" borderId="8" xfId="0" applyNumberFormat="1" applyFill="1" applyBorder="1"/>
    <xf numFmtId="10" fontId="0" fillId="0" borderId="6" xfId="1" applyNumberFormat="1" applyFont="1" applyFill="1" applyBorder="1"/>
    <xf numFmtId="0" fontId="5" fillId="0" borderId="11" xfId="0" applyFont="1" applyBorder="1"/>
    <xf numFmtId="10" fontId="0" fillId="0" borderId="3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165" fontId="0" fillId="2" borderId="4" xfId="0" applyNumberFormat="1" applyFill="1" applyBorder="1" applyAlignment="1">
      <alignment wrapText="1"/>
    </xf>
    <xf numFmtId="0" fontId="0" fillId="0" borderId="11" xfId="0" applyBorder="1" applyAlignment="1">
      <alignment horizontal="center" vertical="center"/>
    </xf>
    <xf numFmtId="44" fontId="0" fillId="4" borderId="10" xfId="0" applyNumberFormat="1" applyFill="1" applyBorder="1"/>
    <xf numFmtId="167" fontId="0" fillId="0" borderId="4" xfId="1" applyNumberFormat="1" applyFont="1" applyBorder="1" applyAlignment="1">
      <alignment horizontal="center" vertical="center"/>
    </xf>
    <xf numFmtId="167" fontId="0" fillId="0" borderId="6" xfId="1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right"/>
    </xf>
    <xf numFmtId="167" fontId="0" fillId="0" borderId="8" xfId="1" applyNumberFormat="1" applyFont="1" applyBorder="1" applyAlignment="1">
      <alignment horizontal="center" vertical="center"/>
    </xf>
    <xf numFmtId="165" fontId="3" fillId="3" borderId="4" xfId="0" applyNumberFormat="1" applyFont="1" applyFill="1" applyBorder="1"/>
    <xf numFmtId="165" fontId="3" fillId="3" borderId="6" xfId="0" applyNumberFormat="1" applyFont="1" applyFill="1" applyBorder="1"/>
    <xf numFmtId="0" fontId="5" fillId="0" borderId="3" xfId="0" applyFont="1" applyBorder="1"/>
    <xf numFmtId="44" fontId="3" fillId="3" borderId="15" xfId="0" applyNumberFormat="1" applyFont="1" applyFill="1" applyBorder="1"/>
    <xf numFmtId="165" fontId="3" fillId="3" borderId="2" xfId="0" applyNumberFormat="1" applyFont="1" applyFill="1" applyBorder="1"/>
    <xf numFmtId="9" fontId="0" fillId="0" borderId="14" xfId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right"/>
    </xf>
    <xf numFmtId="0" fontId="0" fillId="2" borderId="11" xfId="0" applyFill="1" applyBorder="1"/>
    <xf numFmtId="165" fontId="3" fillId="4" borderId="15" xfId="0" applyNumberFormat="1" applyFont="1" applyFill="1" applyBorder="1"/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9" borderId="14" xfId="0" applyFont="1" applyFill="1" applyBorder="1" applyAlignment="1">
      <alignment horizontal="center"/>
    </xf>
    <xf numFmtId="9" fontId="0" fillId="2" borderId="2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4" fontId="0" fillId="0" borderId="15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1" xfId="0" applyNumberFormat="1" applyBorder="1"/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5" fontId="0" fillId="4" borderId="13" xfId="0" applyNumberFormat="1" applyFill="1" applyBorder="1"/>
    <xf numFmtId="165" fontId="0" fillId="4" borderId="4" xfId="0" applyNumberFormat="1" applyFill="1" applyBorder="1"/>
    <xf numFmtId="44" fontId="0" fillId="0" borderId="11" xfId="0" applyNumberFormat="1" applyBorder="1"/>
    <xf numFmtId="44" fontId="0" fillId="0" borderId="15" xfId="0" applyNumberFormat="1" applyBorder="1"/>
    <xf numFmtId="44" fontId="0" fillId="0" borderId="12" xfId="0" applyNumberFormat="1" applyBorder="1"/>
    <xf numFmtId="165" fontId="3" fillId="0" borderId="0" xfId="0" applyNumberFormat="1" applyFont="1"/>
    <xf numFmtId="0" fontId="3" fillId="0" borderId="5" xfId="0" applyFont="1" applyBorder="1"/>
    <xf numFmtId="0" fontId="0" fillId="10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5" fontId="3" fillId="11" borderId="15" xfId="0" applyNumberFormat="1" applyFont="1" applyFill="1" applyBorder="1"/>
    <xf numFmtId="0" fontId="6" fillId="0" borderId="0" xfId="0" applyFont="1"/>
    <xf numFmtId="0" fontId="12" fillId="0" borderId="0" xfId="0" applyFont="1"/>
    <xf numFmtId="0" fontId="13" fillId="0" borderId="18" xfId="3" applyFont="1" applyBorder="1" applyAlignment="1">
      <alignment horizontal="center"/>
    </xf>
    <xf numFmtId="0" fontId="14" fillId="0" borderId="17" xfId="3" applyFont="1" applyBorder="1"/>
    <xf numFmtId="165" fontId="14" fillId="0" borderId="17" xfId="3" applyNumberFormat="1" applyFont="1" applyBorder="1"/>
    <xf numFmtId="165" fontId="14" fillId="2" borderId="17" xfId="3" applyNumberFormat="1" applyFont="1" applyFill="1" applyBorder="1"/>
    <xf numFmtId="165" fontId="6" fillId="0" borderId="0" xfId="0" applyNumberFormat="1" applyFont="1"/>
    <xf numFmtId="0" fontId="15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2" fillId="3" borderId="12" xfId="0" applyFont="1" applyFill="1" applyBorder="1" applyAlignment="1">
      <alignment horizontal="center" vertical="center"/>
    </xf>
    <xf numFmtId="0" fontId="13" fillId="0" borderId="19" xfId="3" applyFont="1" applyBorder="1" applyAlignment="1">
      <alignment horizontal="center"/>
    </xf>
    <xf numFmtId="10" fontId="6" fillId="4" borderId="7" xfId="1" applyNumberFormat="1" applyFont="1" applyFill="1" applyBorder="1"/>
    <xf numFmtId="10" fontId="6" fillId="4" borderId="8" xfId="1" applyNumberFormat="1" applyFont="1" applyFill="1" applyBorder="1"/>
    <xf numFmtId="165" fontId="12" fillId="3" borderId="3" xfId="0" applyNumberFormat="1" applyFont="1" applyFill="1" applyBorder="1"/>
    <xf numFmtId="2" fontId="12" fillId="3" borderId="7" xfId="1" applyNumberFormat="1" applyFont="1" applyFill="1" applyBorder="1"/>
    <xf numFmtId="0" fontId="6" fillId="0" borderId="11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16" fillId="0" borderId="3" xfId="0" applyFont="1" applyBorder="1"/>
    <xf numFmtId="0" fontId="16" fillId="0" borderId="5" xfId="0" applyFont="1" applyBorder="1"/>
    <xf numFmtId="0" fontId="6" fillId="0" borderId="5" xfId="0" applyFont="1" applyBorder="1"/>
    <xf numFmtId="0" fontId="6" fillId="0" borderId="7" xfId="0" applyFont="1" applyBorder="1"/>
    <xf numFmtId="0" fontId="6" fillId="2" borderId="11" xfId="0" applyFont="1" applyFill="1" applyBorder="1"/>
    <xf numFmtId="0" fontId="6" fillId="2" borderId="15" xfId="0" applyFont="1" applyFill="1" applyBorder="1"/>
    <xf numFmtId="0" fontId="6" fillId="4" borderId="15" xfId="0" applyFont="1" applyFill="1" applyBorder="1"/>
    <xf numFmtId="0" fontId="12" fillId="3" borderId="1" xfId="0" applyFont="1" applyFill="1" applyBorder="1"/>
    <xf numFmtId="0" fontId="6" fillId="0" borderId="7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12" fillId="3" borderId="11" xfId="0" applyNumberFormat="1" applyFont="1" applyFill="1" applyBorder="1"/>
    <xf numFmtId="2" fontId="12" fillId="3" borderId="12" xfId="1" applyNumberFormat="1" applyFont="1" applyFill="1" applyBorder="1"/>
    <xf numFmtId="0" fontId="6" fillId="2" borderId="12" xfId="0" applyFont="1" applyFill="1" applyBorder="1"/>
    <xf numFmtId="0" fontId="6" fillId="2" borderId="11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65" fontId="12" fillId="3" borderId="1" xfId="0" applyNumberFormat="1" applyFont="1" applyFill="1" applyBorder="1"/>
    <xf numFmtId="165" fontId="6" fillId="2" borderId="15" xfId="0" applyNumberFormat="1" applyFont="1" applyFill="1" applyBorder="1"/>
    <xf numFmtId="165" fontId="6" fillId="4" borderId="11" xfId="0" applyNumberFormat="1" applyFont="1" applyFill="1" applyBorder="1"/>
    <xf numFmtId="165" fontId="6" fillId="4" borderId="12" xfId="0" applyNumberFormat="1" applyFont="1" applyFill="1" applyBorder="1"/>
    <xf numFmtId="0" fontId="6" fillId="0" borderId="3" xfId="0" applyFont="1" applyBorder="1"/>
    <xf numFmtId="0" fontId="6" fillId="0" borderId="9" xfId="0" applyFont="1" applyBorder="1"/>
    <xf numFmtId="10" fontId="12" fillId="3" borderId="1" xfId="1" applyNumberFormat="1" applyFont="1" applyFill="1" applyBorder="1"/>
    <xf numFmtId="9" fontId="6" fillId="2" borderId="11" xfId="1" applyFont="1" applyFill="1" applyBorder="1"/>
    <xf numFmtId="9" fontId="6" fillId="2" borderId="15" xfId="1" applyFont="1" applyFill="1" applyBorder="1"/>
    <xf numFmtId="165" fontId="6" fillId="2" borderId="15" xfId="1" applyNumberFormat="1" applyFont="1" applyFill="1" applyBorder="1"/>
    <xf numFmtId="1" fontId="6" fillId="2" borderId="15" xfId="1" applyNumberFormat="1" applyFont="1" applyFill="1" applyBorder="1"/>
    <xf numFmtId="0" fontId="6" fillId="0" borderId="3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15" xfId="0" applyFont="1" applyBorder="1"/>
    <xf numFmtId="0" fontId="12" fillId="0" borderId="9" xfId="0" applyFont="1" applyBorder="1"/>
    <xf numFmtId="0" fontId="6" fillId="2" borderId="1" xfId="0" applyFont="1" applyFill="1" applyBorder="1"/>
    <xf numFmtId="10" fontId="16" fillId="3" borderId="1" xfId="0" applyNumberFormat="1" applyFont="1" applyFill="1" applyBorder="1"/>
    <xf numFmtId="0" fontId="6" fillId="4" borderId="1" xfId="0" applyFont="1" applyFill="1" applyBorder="1"/>
    <xf numFmtId="10" fontId="6" fillId="0" borderId="0" xfId="0" applyNumberFormat="1" applyFont="1"/>
    <xf numFmtId="0" fontId="6" fillId="0" borderId="9" xfId="0" applyFont="1" applyBorder="1" applyAlignment="1">
      <alignment horizontal="right"/>
    </xf>
    <xf numFmtId="44" fontId="6" fillId="2" borderId="11" xfId="1" applyNumberFormat="1" applyFont="1" applyFill="1" applyBorder="1"/>
    <xf numFmtId="169" fontId="6" fillId="0" borderId="0" xfId="0" applyNumberFormat="1" applyFont="1"/>
    <xf numFmtId="0" fontId="6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right"/>
    </xf>
    <xf numFmtId="165" fontId="6" fillId="2" borderId="12" xfId="0" applyNumberFormat="1" applyFont="1" applyFill="1" applyBorder="1"/>
    <xf numFmtId="165" fontId="6" fillId="2" borderId="1" xfId="0" applyNumberFormat="1" applyFont="1" applyFill="1" applyBorder="1"/>
    <xf numFmtId="0" fontId="6" fillId="0" borderId="1" xfId="0" applyFont="1" applyBorder="1" applyAlignment="1">
      <alignment horizontal="center" vertical="center"/>
    </xf>
    <xf numFmtId="44" fontId="6" fillId="0" borderId="2" xfId="0" applyNumberFormat="1" applyFont="1" applyBorder="1"/>
    <xf numFmtId="44" fontId="6" fillId="4" borderId="11" xfId="0" applyNumberFormat="1" applyFont="1" applyFill="1" applyBorder="1"/>
    <xf numFmtId="0" fontId="6" fillId="0" borderId="11" xfId="0" applyFont="1" applyBorder="1"/>
    <xf numFmtId="165" fontId="6" fillId="4" borderId="1" xfId="0" applyNumberFormat="1" applyFont="1" applyFill="1" applyBorder="1"/>
    <xf numFmtId="10" fontId="12" fillId="3" borderId="1" xfId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right"/>
    </xf>
    <xf numFmtId="44" fontId="6" fillId="4" borderId="2" xfId="0" applyNumberFormat="1" applyFont="1" applyFill="1" applyBorder="1"/>
    <xf numFmtId="9" fontId="6" fillId="2" borderId="3" xfId="1" applyFont="1" applyFill="1" applyBorder="1"/>
    <xf numFmtId="9" fontId="6" fillId="2" borderId="5" xfId="1" applyFont="1" applyFill="1" applyBorder="1"/>
    <xf numFmtId="165" fontId="6" fillId="2" borderId="7" xfId="0" applyNumberFormat="1" applyFont="1" applyFill="1" applyBorder="1"/>
    <xf numFmtId="44" fontId="6" fillId="4" borderId="3" xfId="0" applyNumberFormat="1" applyFont="1" applyFill="1" applyBorder="1"/>
    <xf numFmtId="10" fontId="12" fillId="3" borderId="9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44" fontId="6" fillId="4" borderId="1" xfId="2" applyFont="1" applyFill="1" applyBorder="1"/>
    <xf numFmtId="0" fontId="0" fillId="0" borderId="10" xfId="0" applyBorder="1" applyAlignment="1">
      <alignment horizontal="center"/>
    </xf>
    <xf numFmtId="165" fontId="0" fillId="3" borderId="1" xfId="0" applyNumberFormat="1" applyFill="1" applyBorder="1"/>
    <xf numFmtId="1" fontId="0" fillId="2" borderId="1" xfId="0" applyNumberFormat="1" applyFill="1" applyBorder="1"/>
    <xf numFmtId="165" fontId="3" fillId="3" borderId="3" xfId="0" applyNumberFormat="1" applyFont="1" applyFill="1" applyBorder="1"/>
    <xf numFmtId="165" fontId="3" fillId="3" borderId="13" xfId="0" applyNumberFormat="1" applyFont="1" applyFill="1" applyBorder="1"/>
    <xf numFmtId="165" fontId="3" fillId="3" borderId="5" xfId="0" applyNumberFormat="1" applyFont="1" applyFill="1" applyBorder="1"/>
    <xf numFmtId="165" fontId="3" fillId="3" borderId="0" xfId="0" applyNumberFormat="1" applyFont="1" applyFill="1"/>
    <xf numFmtId="165" fontId="3" fillId="3" borderId="7" xfId="0" applyNumberFormat="1" applyFont="1" applyFill="1" applyBorder="1"/>
    <xf numFmtId="165" fontId="0" fillId="4" borderId="3" xfId="0" applyNumberFormat="1" applyFill="1" applyBorder="1"/>
    <xf numFmtId="165" fontId="0" fillId="0" borderId="5" xfId="0" applyNumberFormat="1" applyBorder="1"/>
    <xf numFmtId="165" fontId="0" fillId="0" borderId="7" xfId="0" applyNumberFormat="1" applyBorder="1"/>
    <xf numFmtId="0" fontId="0" fillId="0" borderId="8" xfId="0" applyBorder="1"/>
    <xf numFmtId="0" fontId="6" fillId="0" borderId="1" xfId="0" applyFont="1" applyBorder="1" applyAlignment="1">
      <alignment horizontal="center"/>
    </xf>
    <xf numFmtId="165" fontId="0" fillId="0" borderId="2" xfId="0" applyNumberFormat="1" applyBorder="1"/>
    <xf numFmtId="0" fontId="7" fillId="0" borderId="0" xfId="0" applyFont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right"/>
    </xf>
    <xf numFmtId="44" fontId="3" fillId="3" borderId="10" xfId="2" applyFont="1" applyFill="1" applyBorder="1" applyAlignment="1">
      <alignment horizontal="center" vertical="center"/>
    </xf>
    <xf numFmtId="44" fontId="0" fillId="4" borderId="1" xfId="0" applyNumberFormat="1" applyFill="1" applyBorder="1"/>
    <xf numFmtId="0" fontId="17" fillId="0" borderId="0" xfId="0" applyFont="1"/>
    <xf numFmtId="0" fontId="7" fillId="0" borderId="0" xfId="0" applyFont="1" applyAlignment="1">
      <alignment horizontal="right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3" fillId="8" borderId="9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65" fontId="0" fillId="4" borderId="9" xfId="0" applyNumberFormat="1" applyFill="1" applyBorder="1" applyAlignment="1">
      <alignment horizontal="center" wrapText="1"/>
    </xf>
    <xf numFmtId="165" fontId="0" fillId="4" borderId="10" xfId="0" applyNumberForma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</cellXfs>
  <cellStyles count="4">
    <cellStyle name="Currency" xfId="2" builtinId="4"/>
    <cellStyle name="Normal" xfId="0" builtinId="0"/>
    <cellStyle name="Normal 2" xfId="3" xr:uid="{9E52B14C-EE76-4C86-BA80-0C5D767101EF}"/>
    <cellStyle name="Percent" xfId="1" builtinId="5"/>
  </cellStyles>
  <dxfs count="0"/>
  <tableStyles count="1" defaultTableStyle="TableStyleMedium2" defaultPivotStyle="PivotStyleLight16">
    <tableStyle name="Invisible" pivot="0" table="0" count="0" xr9:uid="{C592A3E3-A395-4444-905C-C96DC21437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5139566929133861"/>
          <c:y val="0.53703703703703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'CH20 Finance Model'!$G$24</c:f>
              <c:strCache>
                <c:ptCount val="1"/>
                <c:pt idx="0">
                  <c:v>Profit (Or Loss)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'CH20 Finance Model'!$F$25:$F$35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'CH20 Finance Model'!$G$25:$G$35</c:f>
              <c:numCache>
                <c:formatCode>_("$"* #,##0.00_);_("$"* \(#,##0.00\);_("$"* "-"??_);_(@_)</c:formatCode>
                <c:ptCount val="11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5</c:v>
                </c:pt>
                <c:pt idx="7">
                  <c:v>15</c:v>
                </c:pt>
                <c:pt idx="8">
                  <c:v>25</c:v>
                </c:pt>
                <c:pt idx="9">
                  <c:v>35</c:v>
                </c:pt>
                <c:pt idx="1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E8-4218-A730-2B2F796CC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348623"/>
        <c:axId val="2096346703"/>
      </c:lineChart>
      <c:catAx>
        <c:axId val="2096348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Stock Price @ Expiration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96346703"/>
        <c:crosses val="autoZero"/>
        <c:auto val="1"/>
        <c:lblAlgn val="ctr"/>
        <c:lblOffset val="100"/>
        <c:noMultiLvlLbl val="0"/>
      </c:catAx>
      <c:valAx>
        <c:axId val="209634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Profit or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9634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53018372703413"/>
          <c:y val="0.14398148148148149"/>
          <c:w val="0.79513648293963257"/>
          <c:h val="0.64233012540099155"/>
        </c:manualLayout>
      </c:layout>
      <c:lineChart>
        <c:grouping val="standard"/>
        <c:varyColors val="0"/>
        <c:ser>
          <c:idx val="0"/>
          <c:order val="0"/>
          <c:tx>
            <c:strRef>
              <c:f>'CH20 Finance Model'!$G$44</c:f>
              <c:strCache>
                <c:ptCount val="1"/>
                <c:pt idx="0">
                  <c:v>Profit (Or Loss)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'CH20 Finance Model'!$F$45:$F$55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'CH20 Finance Model'!$G$45:$G$55</c:f>
              <c:numCache>
                <c:formatCode>_("$"* #,##0.00_);_("$"* \(#,##0.00\);_("$"* "-"??_);_(@_)</c:formatCode>
                <c:ptCount val="11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EA-4943-87DC-8D52BF5C3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108351"/>
        <c:axId val="2041104031"/>
      </c:lineChart>
      <c:catAx>
        <c:axId val="20411083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Stock</a:t>
                </a:r>
                <a:r>
                  <a:rPr lang="en-US" sz="1200" baseline="0"/>
                  <a:t> Price @ Expiration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1104031"/>
        <c:crosses val="autoZero"/>
        <c:auto val="1"/>
        <c:lblAlgn val="ctr"/>
        <c:lblOffset val="100"/>
        <c:noMultiLvlLbl val="0"/>
      </c:catAx>
      <c:valAx>
        <c:axId val="204110403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PROFIT</a:t>
                </a:r>
                <a:r>
                  <a:rPr lang="en-US" sz="1200" baseline="0"/>
                  <a:t> OR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110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23962</xdr:colOff>
      <xdr:row>41</xdr:row>
      <xdr:rowOff>1</xdr:rowOff>
    </xdr:from>
    <xdr:to>
      <xdr:col>10</xdr:col>
      <xdr:colOff>1035323</xdr:colOff>
      <xdr:row>48</xdr:row>
      <xdr:rowOff>186292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B56BBB-2AAB-61BD-D8AE-DE3E2CF47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64" y="8207076"/>
          <a:ext cx="6462776" cy="15281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32</xdr:row>
      <xdr:rowOff>25400</xdr:rowOff>
    </xdr:from>
    <xdr:to>
      <xdr:col>4</xdr:col>
      <xdr:colOff>254001</xdr:colOff>
      <xdr:row>37</xdr:row>
      <xdr:rowOff>64125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5C5DEA-822C-2B14-3AAD-B58E0A00F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5378450"/>
          <a:ext cx="2095500" cy="1042025"/>
        </a:xfrm>
        <a:prstGeom prst="rect">
          <a:avLst/>
        </a:prstGeom>
      </xdr:spPr>
    </xdr:pic>
    <xdr:clientData/>
  </xdr:twoCellAnchor>
  <xdr:twoCellAnchor editAs="oneCell">
    <xdr:from>
      <xdr:col>3</xdr:col>
      <xdr:colOff>621927</xdr:colOff>
      <xdr:row>5</xdr:row>
      <xdr:rowOff>101437</xdr:rowOff>
    </xdr:from>
    <xdr:to>
      <xdr:col>7</xdr:col>
      <xdr:colOff>146538</xdr:colOff>
      <xdr:row>13</xdr:row>
      <xdr:rowOff>161016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8B9C40-3B9B-401E-818B-DAB9CAC4B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6030" y="1110924"/>
          <a:ext cx="3342752" cy="16633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43</xdr:row>
      <xdr:rowOff>6350</xdr:rowOff>
    </xdr:from>
    <xdr:to>
      <xdr:col>4</xdr:col>
      <xdr:colOff>1162193</xdr:colOff>
      <xdr:row>46</xdr:row>
      <xdr:rowOff>152438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AE20CF-3002-3DA4-BF0E-9770F4593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8553450"/>
          <a:ext cx="2787793" cy="7429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13839</xdr:colOff>
      <xdr:row>21</xdr:row>
      <xdr:rowOff>36796</xdr:rowOff>
    </xdr:from>
    <xdr:to>
      <xdr:col>12</xdr:col>
      <xdr:colOff>333781</xdr:colOff>
      <xdr:row>37</xdr:row>
      <xdr:rowOff>65129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DD4103-E2E5-C831-D957-7CA061129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52032</xdr:colOff>
      <xdr:row>37</xdr:row>
      <xdr:rowOff>195030</xdr:rowOff>
    </xdr:from>
    <xdr:to>
      <xdr:col>12</xdr:col>
      <xdr:colOff>385814</xdr:colOff>
      <xdr:row>55</xdr:row>
      <xdr:rowOff>41412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4A5E95-A3D3-40BF-6CA3-45F8864FC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evin robinson" id="{98DAA3BF-1724-4E0A-BB8B-00DDE0C48C6E}" userId="3b1a04007f80a09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3-22T17:34:08.72" personId="{98DAA3BF-1724-4E0A-BB8B-00DDE0C48C6E}" id="{DE51A399-88E4-4AC9-88D7-92CDD290F2BB}">
    <text>Use Scenario Manager</text>
  </threadedComment>
  <threadedComment ref="A3" dT="2024-03-22T14:50:15.76" personId="{98DAA3BF-1724-4E0A-BB8B-00DDE0C48C6E}" id="{2DB363B3-58B6-4981-B972-ED7FA8E834F4}">
    <text xml:space="preserve">Change Me
</text>
  </threadedComment>
  <threadedComment ref="G9" dT="2024-03-22T15:36:42.91" personId="{98DAA3BF-1724-4E0A-BB8B-00DDE0C48C6E}" id="{F60D6935-1608-476B-967D-3099DE34F432}">
    <text xml:space="preserve">In years
</text>
  </threadedComment>
  <threadedComment ref="G33" dT="2024-03-22T17:34:28.90" personId="{98DAA3BF-1724-4E0A-BB8B-00DDE0C48C6E}" id="{FD70934A-28D9-415A-91D3-3DBC7A4B8585}">
    <text>Use Goal Seek</text>
  </threadedComment>
  <threadedComment ref="G51" dT="2024-03-22T17:34:28.90" personId="{98DAA3BF-1724-4E0A-BB8B-00DDE0C48C6E}" id="{8B0E23EF-EA0E-4014-B0FC-8CB826BD3999}">
    <text>Use Goal Seek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3-26T14:06:27.59" personId="{98DAA3BF-1724-4E0A-BB8B-00DDE0C48C6E}" id="{904953A4-6946-409E-9217-45E31E709B98}">
    <text>Should reflect current market values</text>
  </threadedComment>
  <threadedComment ref="A8" dT="2024-03-26T14:46:14.85" personId="{98DAA3BF-1724-4E0A-BB8B-00DDE0C48C6E}" id="{61A74F41-5EE5-41EA-AD26-15EBB7768A89}">
    <text>Ensure to scale I/Y back to annual</text>
  </threadedComment>
  <threadedComment ref="B33" dT="2024-03-26T14:19:36.33" personId="{98DAA3BF-1724-4E0A-BB8B-00DDE0C48C6E}" id="{31EA291B-DAFA-49AC-B415-7F5FF2B61C53}">
    <text>Change Me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2" dT="2024-04-04T18:07:37.06" personId="{98DAA3BF-1724-4E0A-BB8B-00DDE0C48C6E}" id="{7A7C0BC5-191D-4C56-B54F-C71D257E81DF}">
    <text>Debt Ratio=TL/TA</text>
  </threadedComment>
  <threadedComment ref="D3" dT="2024-04-04T18:08:32.99" personId="{98DAA3BF-1724-4E0A-BB8B-00DDE0C48C6E}" id="{F015040F-7B6E-4246-B389-A9DD9A7BE1A3}">
    <text>Interest-Bearing Debt/TA</text>
  </threadedComment>
  <threadedComment ref="A36" dT="2024-04-04T19:13:08.43" personId="{98DAA3BF-1724-4E0A-BB8B-00DDE0C48C6E}" id="{0991ACB0-09E3-4E90-BC32-66C4D477574B}">
    <text>In Equation it says Billion but input as millions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40" dT="2024-04-16T17:40:17.18" personId="{98DAA3BF-1724-4E0A-BB8B-00DDE0C48C6E}" id="{3AC0E59C-278A-476F-A7AA-A887FC463971}">
    <text>Impact Equity (-) &amp; Cash (-) from an entry standpoint with deceases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K23" dT="2024-04-22T20:11:43.53" personId="{98DAA3BF-1724-4E0A-BB8B-00DDE0C48C6E}" id="{88FE7356-045A-4861-81E7-680FF6736028}">
    <text>Total Financing Requirements</text>
  </threadedComment>
  <threadedComment ref="B37" dT="2024-04-22T20:18:11.67" personId="{98DAA3BF-1724-4E0A-BB8B-00DDE0C48C6E}" id="{1B37AFF7-91C8-41F6-8710-A2E76DB9BB70}">
    <text>Times</text>
  </threadedComment>
  <threadedComment ref="B38" dT="2024-04-22T20:18:19.45" personId="{98DAA3BF-1724-4E0A-BB8B-00DDE0C48C6E}" id="{A7C753F9-EF75-4A93-8F2C-E6E145B0CCC6}">
    <text>Days</text>
  </threadedComment>
  <threadedComment ref="B39" dT="2024-04-22T20:18:45.57" personId="{98DAA3BF-1724-4E0A-BB8B-00DDE0C48C6E}" id="{454D5B5A-7CD6-4FA0-83CC-9B870EA8F215}">
    <text>times</text>
  </threadedComment>
  <threadedComment ref="B40" dT="2024-04-22T20:18:49.79" personId="{98DAA3BF-1724-4E0A-BB8B-00DDE0C48C6E}" id="{9242C455-D16A-4D04-8C53-6BABE39412F2}">
    <text>times</text>
  </threadedComment>
  <threadedComment ref="B41" dT="2024-04-22T20:18:53.70" personId="{98DAA3BF-1724-4E0A-BB8B-00DDE0C48C6E}" id="{F7B1D8BC-24BC-4E4D-AE34-CDC3FC3D92F8}">
    <text>times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46" dT="2024-04-28T15:23:09.73" personId="{98DAA3BF-1724-4E0A-BB8B-00DDE0C48C6E}" id="{05D0CF2A-70BF-49E8-A057-B539160B58E7}">
    <text>^Obligate to pay Full Amount^</text>
  </threadedComment>
  <threadedComment ref="A78" dT="2024-04-28T15:23:09.73" personId="{98DAA3BF-1724-4E0A-BB8B-00DDE0C48C6E}" id="{B1AEDA50-0490-4B73-94E7-22193A24CBE4}">
    <text>^Obligate to pay Full Amount^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C38" dT="2024-05-01T17:51:53.01" personId="{98DAA3BF-1724-4E0A-BB8B-00DDE0C48C6E}" id="{8BA8C29B-EA85-4EC4-8810-A74033B01932}">
    <text>Ceiling on Graph</text>
  </threadedComment>
  <threadedComment ref="C39" dT="2024-05-01T17:51:39.76" personId="{98DAA3BF-1724-4E0A-BB8B-00DDE0C48C6E}" id="{80547D31-50CE-4B91-947E-85FB61152DA0}">
    <text>Floor on Graph</text>
  </threadedComment>
  <threadedComment ref="C57" dT="2024-05-01T17:51:39.76" personId="{98DAA3BF-1724-4E0A-BB8B-00DDE0C48C6E}" id="{7A7C3841-DA87-47CD-A6B9-5F7FD3E6E3C3}">
    <text>Floor on Graph</text>
  </threadedComment>
  <threadedComment ref="C58" dT="2024-05-01T17:51:53.01" personId="{98DAA3BF-1724-4E0A-BB8B-00DDE0C48C6E}" id="{EF7CBC64-F9BC-4599-BB9A-615D6E996019}">
    <text>Ceiling on Graph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74394E-E22C-47D9-AA14-9F92CBC6A6BA}">
  <we:reference id="wa200005271" version="2.4.4.0" store="en-US" storeType="OMEX"/>
  <we:alternateReferences>
    <we:reference id="wa200005271" version="2.4.4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0CDA-6AFA-47CC-ABA2-444E1A8C1F5B}">
  <dimension ref="A1:M54"/>
  <sheetViews>
    <sheetView zoomScale="54" workbookViewId="0">
      <selection sqref="A1:D1048576"/>
    </sheetView>
  </sheetViews>
  <sheetFormatPr defaultRowHeight="15.75" x14ac:dyDescent="0.25"/>
  <cols>
    <col min="1" max="1" width="58.75" bestFit="1" customWidth="1"/>
    <col min="2" max="2" width="24.875" bestFit="1" customWidth="1"/>
    <col min="3" max="3" width="25.625" bestFit="1" customWidth="1"/>
    <col min="4" max="4" width="15.625" bestFit="1" customWidth="1"/>
    <col min="6" max="6" width="13.75" customWidth="1"/>
    <col min="7" max="7" width="23.75" bestFit="1" customWidth="1"/>
    <col min="8" max="9" width="13.625" bestFit="1" customWidth="1"/>
    <col min="10" max="10" width="26.875" bestFit="1" customWidth="1"/>
    <col min="11" max="11" width="15.125" bestFit="1" customWidth="1"/>
    <col min="12" max="12" width="12.5" bestFit="1" customWidth="1"/>
    <col min="13" max="13" width="12.875" customWidth="1"/>
  </cols>
  <sheetData>
    <row r="1" spans="1:13" ht="16.5" thickBot="1" x14ac:dyDescent="0.3">
      <c r="A1" s="21" t="s">
        <v>0</v>
      </c>
      <c r="G1" s="21" t="s">
        <v>22</v>
      </c>
    </row>
    <row r="2" spans="1:13" ht="16.5" thickBot="1" x14ac:dyDescent="0.3">
      <c r="A2" s="9" t="s">
        <v>1</v>
      </c>
      <c r="B2" s="9" t="s">
        <v>2</v>
      </c>
      <c r="C2" t="s">
        <v>23</v>
      </c>
      <c r="G2" s="322" t="s">
        <v>24</v>
      </c>
      <c r="H2" s="323"/>
      <c r="J2" s="7" t="s">
        <v>41</v>
      </c>
      <c r="K2" s="9" t="s">
        <v>38</v>
      </c>
      <c r="L2" s="9" t="s">
        <v>39</v>
      </c>
      <c r="M2" s="9" t="s">
        <v>40</v>
      </c>
    </row>
    <row r="3" spans="1:13" x14ac:dyDescent="0.25">
      <c r="A3" s="35">
        <v>0.51</v>
      </c>
      <c r="B3" s="20">
        <v>8500000</v>
      </c>
      <c r="G3" s="16" t="s">
        <v>25</v>
      </c>
      <c r="H3" s="49">
        <v>106.8</v>
      </c>
      <c r="J3" s="50" t="s">
        <v>45</v>
      </c>
      <c r="K3" s="51">
        <f>H16</f>
        <v>960025.2</v>
      </c>
      <c r="L3" s="52">
        <f>$H$16</f>
        <v>960025.2</v>
      </c>
      <c r="M3" s="52">
        <f>$H$16</f>
        <v>960025.2</v>
      </c>
    </row>
    <row r="4" spans="1:13" ht="16.5" thickBot="1" x14ac:dyDescent="0.3">
      <c r="A4" s="36">
        <v>0.49</v>
      </c>
      <c r="B4" s="18">
        <v>1400000</v>
      </c>
      <c r="G4" s="41" t="s">
        <v>35</v>
      </c>
      <c r="H4" s="19">
        <v>82.14</v>
      </c>
      <c r="J4" s="53" t="s">
        <v>62</v>
      </c>
      <c r="K4" s="54">
        <f>H17</f>
        <v>-738356.46</v>
      </c>
      <c r="L4" s="55">
        <f>$H$17</f>
        <v>-738356.46</v>
      </c>
      <c r="M4" s="55">
        <f>$H$17</f>
        <v>-738356.46</v>
      </c>
    </row>
    <row r="5" spans="1:13" ht="16.5" thickBot="1" x14ac:dyDescent="0.3">
      <c r="A5" s="6" t="s">
        <v>3</v>
      </c>
      <c r="B5" s="13">
        <f>SUMPRODUCT(A3:A4,B3:B4)</f>
        <v>5021000</v>
      </c>
      <c r="G5" s="41" t="s">
        <v>27</v>
      </c>
      <c r="H5" s="19">
        <v>-283050</v>
      </c>
      <c r="J5" s="59" t="s">
        <v>63</v>
      </c>
      <c r="K5" s="56">
        <f>$H$5</f>
        <v>-283050</v>
      </c>
      <c r="L5" s="56">
        <f t="shared" ref="L5:M5" si="0">$H$5</f>
        <v>-283050</v>
      </c>
      <c r="M5" s="56">
        <f t="shared" si="0"/>
        <v>-283050</v>
      </c>
    </row>
    <row r="6" spans="1:13" ht="16.5" thickBot="1" x14ac:dyDescent="0.3">
      <c r="A6" s="12" t="s">
        <v>4</v>
      </c>
      <c r="B6" s="2">
        <f>B5/1000000</f>
        <v>5.0209999999999999</v>
      </c>
      <c r="G6" s="41" t="s">
        <v>28</v>
      </c>
      <c r="H6" s="19">
        <v>8989</v>
      </c>
      <c r="J6" s="50" t="s">
        <v>64</v>
      </c>
      <c r="K6" s="51">
        <f>SUM(K3:K5)</f>
        <v>-61381.260000000009</v>
      </c>
      <c r="L6" s="51">
        <f t="shared" ref="L6:M6" si="1">SUM(L3:L5)</f>
        <v>-61381.260000000009</v>
      </c>
      <c r="M6" s="60">
        <f t="shared" si="1"/>
        <v>-61381.260000000009</v>
      </c>
    </row>
    <row r="7" spans="1:13" ht="16.5" thickBot="1" x14ac:dyDescent="0.3">
      <c r="G7" s="41" t="s">
        <v>29</v>
      </c>
      <c r="H7" s="20">
        <v>1120000</v>
      </c>
      <c r="J7" s="59" t="s">
        <v>65</v>
      </c>
      <c r="K7" s="57">
        <f>$H$10</f>
        <v>112000</v>
      </c>
      <c r="L7" s="57">
        <f t="shared" ref="L7:M7" si="2">$H$10</f>
        <v>112000</v>
      </c>
      <c r="M7" s="56">
        <f t="shared" si="2"/>
        <v>112000</v>
      </c>
    </row>
    <row r="8" spans="1:13" ht="16.5" thickBot="1" x14ac:dyDescent="0.3">
      <c r="A8" s="21" t="s">
        <v>5</v>
      </c>
      <c r="G8" s="41" t="s">
        <v>31</v>
      </c>
      <c r="H8" s="20">
        <v>0</v>
      </c>
      <c r="J8" s="53" t="s">
        <v>66</v>
      </c>
      <c r="K8" s="54">
        <f>K6-K7</f>
        <v>-173381.26</v>
      </c>
      <c r="L8" s="54">
        <f t="shared" ref="L8:M8" si="3">L6-L7</f>
        <v>-173381.26</v>
      </c>
      <c r="M8" s="61">
        <f t="shared" si="3"/>
        <v>-173381.26</v>
      </c>
    </row>
    <row r="9" spans="1:13" ht="16.5" thickBot="1" x14ac:dyDescent="0.3">
      <c r="A9" s="14"/>
      <c r="B9" s="9" t="s">
        <v>6</v>
      </c>
      <c r="C9" s="9" t="s">
        <v>8</v>
      </c>
      <c r="D9" s="9" t="s">
        <v>7</v>
      </c>
      <c r="G9" s="41" t="s">
        <v>30</v>
      </c>
      <c r="H9" s="43">
        <v>10</v>
      </c>
      <c r="J9" s="53" t="s">
        <v>67</v>
      </c>
      <c r="K9" s="54">
        <f>K8*$H$13</f>
        <v>-58949.628400000009</v>
      </c>
      <c r="L9" s="54">
        <f t="shared" ref="L9:M9" si="4">L8*$H$13</f>
        <v>-58949.628400000009</v>
      </c>
      <c r="M9" s="61">
        <f t="shared" si="4"/>
        <v>-58949.628400000009</v>
      </c>
    </row>
    <row r="10" spans="1:13" x14ac:dyDescent="0.25">
      <c r="A10" s="16" t="s">
        <v>1</v>
      </c>
      <c r="B10" s="29">
        <v>0.27</v>
      </c>
      <c r="C10" s="29">
        <v>0.54</v>
      </c>
      <c r="D10" s="30">
        <v>0.19</v>
      </c>
      <c r="E10" t="s">
        <v>23</v>
      </c>
      <c r="G10" s="41" t="s">
        <v>32</v>
      </c>
      <c r="H10" s="20">
        <f>(H7/H9)</f>
        <v>112000</v>
      </c>
      <c r="J10" s="53" t="s">
        <v>68</v>
      </c>
      <c r="K10" s="54">
        <f>K8-K9</f>
        <v>-114431.63159999999</v>
      </c>
      <c r="L10" s="54">
        <f t="shared" ref="L10:M10" si="5">L8-L9</f>
        <v>-114431.63159999999</v>
      </c>
      <c r="M10" s="61">
        <f t="shared" si="5"/>
        <v>-114431.63159999999</v>
      </c>
    </row>
    <row r="11" spans="1:13" ht="16.5" thickBot="1" x14ac:dyDescent="0.3">
      <c r="A11" s="17" t="s">
        <v>9</v>
      </c>
      <c r="B11" s="31">
        <v>-52000</v>
      </c>
      <c r="C11" s="31">
        <v>155000</v>
      </c>
      <c r="D11" s="28">
        <v>247000</v>
      </c>
      <c r="G11" s="41"/>
      <c r="H11" s="8"/>
      <c r="J11" s="59" t="s">
        <v>37</v>
      </c>
      <c r="K11" s="58">
        <f>K10+K7</f>
        <v>-2431.6315999999933</v>
      </c>
      <c r="L11" s="58">
        <f t="shared" ref="L11:M11" si="6">L10+L7</f>
        <v>-2431.6315999999933</v>
      </c>
      <c r="M11" s="62">
        <f t="shared" si="6"/>
        <v>-2431.6315999999933</v>
      </c>
    </row>
    <row r="12" spans="1:13" ht="16.5" thickBot="1" x14ac:dyDescent="0.3">
      <c r="A12" t="s">
        <v>10</v>
      </c>
      <c r="B12" s="22">
        <f>SUMPRODUCT(B10:D10,B11:D11)</f>
        <v>116590</v>
      </c>
      <c r="G12" s="41" t="s">
        <v>33</v>
      </c>
      <c r="H12" s="44">
        <v>9.7000000000000003E-2</v>
      </c>
      <c r="J12" s="53" t="s">
        <v>69</v>
      </c>
      <c r="K12" s="42">
        <f>H7</f>
        <v>1120000</v>
      </c>
      <c r="L12" s="54"/>
      <c r="M12" s="61"/>
    </row>
    <row r="13" spans="1:13" ht="16.5" thickBot="1" x14ac:dyDescent="0.3">
      <c r="G13" s="17" t="s">
        <v>34</v>
      </c>
      <c r="H13" s="45">
        <v>0.34</v>
      </c>
      <c r="J13" s="53" t="s">
        <v>70</v>
      </c>
      <c r="K13" s="42">
        <f>H8</f>
        <v>0</v>
      </c>
      <c r="M13" s="4"/>
    </row>
    <row r="14" spans="1:13" ht="16.5" thickBot="1" x14ac:dyDescent="0.3">
      <c r="A14" s="21" t="s">
        <v>11</v>
      </c>
      <c r="J14" s="63" t="s">
        <v>37</v>
      </c>
      <c r="K14" s="64">
        <f>SUM(K12:K13)</f>
        <v>1120000</v>
      </c>
      <c r="L14" s="64">
        <f>$L$11</f>
        <v>-2431.6315999999933</v>
      </c>
      <c r="M14" s="65">
        <f>M13+M11</f>
        <v>-2431.6315999999933</v>
      </c>
    </row>
    <row r="15" spans="1:13" ht="16.5" thickBot="1" x14ac:dyDescent="0.3">
      <c r="A15" s="9" t="s">
        <v>12</v>
      </c>
      <c r="B15" s="9" t="s">
        <v>13</v>
      </c>
      <c r="C15" s="9" t="s">
        <v>14</v>
      </c>
      <c r="G15" s="324" t="s">
        <v>42</v>
      </c>
      <c r="H15" s="325"/>
    </row>
    <row r="16" spans="1:13" x14ac:dyDescent="0.25">
      <c r="A16" s="3" t="s">
        <v>15</v>
      </c>
      <c r="B16" s="32">
        <v>0.13</v>
      </c>
      <c r="C16" s="26">
        <v>-310000</v>
      </c>
      <c r="G16" s="14" t="s">
        <v>43</v>
      </c>
      <c r="H16" s="40">
        <f>H3*H6</f>
        <v>960025.2</v>
      </c>
    </row>
    <row r="17" spans="1:11" ht="16.5" thickBot="1" x14ac:dyDescent="0.3">
      <c r="A17" s="3" t="s">
        <v>16</v>
      </c>
      <c r="B17" s="33">
        <v>0.53</v>
      </c>
      <c r="C17" s="27">
        <v>200000</v>
      </c>
      <c r="G17" s="5" t="s">
        <v>44</v>
      </c>
      <c r="H17" s="15">
        <f>-H4*H6</f>
        <v>-738356.46</v>
      </c>
    </row>
    <row r="18" spans="1:11" ht="16.5" thickBot="1" x14ac:dyDescent="0.3">
      <c r="A18" s="5" t="s">
        <v>17</v>
      </c>
      <c r="B18" s="34">
        <v>0.34</v>
      </c>
      <c r="C18" s="28">
        <v>408000</v>
      </c>
      <c r="J18" s="326" t="s">
        <v>57</v>
      </c>
      <c r="K18" s="327"/>
    </row>
    <row r="19" spans="1:11" ht="16.5" thickBot="1" x14ac:dyDescent="0.3">
      <c r="G19" s="322" t="s">
        <v>59</v>
      </c>
      <c r="H19" s="323"/>
      <c r="I19" s="66" t="s">
        <v>61</v>
      </c>
      <c r="J19" s="71" t="s">
        <v>46</v>
      </c>
      <c r="K19" s="40">
        <f>K14</f>
        <v>1120000</v>
      </c>
    </row>
    <row r="20" spans="1:11" ht="16.5" thickBot="1" x14ac:dyDescent="0.3">
      <c r="A20" t="s">
        <v>18</v>
      </c>
      <c r="B20" s="25">
        <f>SUMPRODUCT(B16:B18,C16:C18)</f>
        <v>204420</v>
      </c>
      <c r="G20" s="14" t="s">
        <v>25</v>
      </c>
      <c r="H20" s="46">
        <v>0.11</v>
      </c>
      <c r="I20" s="67">
        <f>H3*(1+H20)</f>
        <v>118.548</v>
      </c>
      <c r="J20" s="6" t="s">
        <v>47</v>
      </c>
      <c r="K20" s="23">
        <f>$L$14</f>
        <v>-2431.6315999999933</v>
      </c>
    </row>
    <row r="21" spans="1:11" x14ac:dyDescent="0.25">
      <c r="A21" s="321" t="s">
        <v>19</v>
      </c>
      <c r="B21" s="321"/>
      <c r="C21" s="321"/>
      <c r="G21" s="3" t="s">
        <v>26</v>
      </c>
      <c r="H21" s="47">
        <v>-0.11</v>
      </c>
      <c r="I21" s="68">
        <f t="shared" ref="I21:I23" si="7">H4*(1+H21)</f>
        <v>73.104600000000005</v>
      </c>
      <c r="J21" s="6" t="s">
        <v>48</v>
      </c>
      <c r="K21" s="23">
        <f t="shared" ref="K21:K28" si="8">$L$14</f>
        <v>-2431.6315999999933</v>
      </c>
    </row>
    <row r="22" spans="1:11" x14ac:dyDescent="0.25">
      <c r="A22" s="321"/>
      <c r="B22" s="321"/>
      <c r="C22" s="321"/>
      <c r="G22" s="3" t="s">
        <v>27</v>
      </c>
      <c r="H22" s="47">
        <v>-0.11</v>
      </c>
      <c r="I22" s="68">
        <f t="shared" si="7"/>
        <v>-251914.5</v>
      </c>
      <c r="J22" s="6" t="s">
        <v>49</v>
      </c>
      <c r="K22" s="23">
        <f t="shared" si="8"/>
        <v>-2431.6315999999933</v>
      </c>
    </row>
    <row r="23" spans="1:11" ht="16.5" thickBot="1" x14ac:dyDescent="0.3">
      <c r="G23" s="5" t="s">
        <v>58</v>
      </c>
      <c r="H23" s="48">
        <v>0.11</v>
      </c>
      <c r="I23" s="69">
        <f t="shared" si="7"/>
        <v>9977.7900000000009</v>
      </c>
      <c r="J23" s="6" t="s">
        <v>50</v>
      </c>
      <c r="K23" s="23">
        <f t="shared" si="8"/>
        <v>-2431.6315999999933</v>
      </c>
    </row>
    <row r="24" spans="1:11" ht="16.5" thickBot="1" x14ac:dyDescent="0.3">
      <c r="A24" t="s">
        <v>20</v>
      </c>
      <c r="J24" s="6" t="s">
        <v>51</v>
      </c>
      <c r="K24" s="23">
        <f t="shared" si="8"/>
        <v>-2431.6315999999933</v>
      </c>
    </row>
    <row r="25" spans="1:11" ht="16.5" thickBot="1" x14ac:dyDescent="0.3">
      <c r="A25" s="9" t="s">
        <v>12</v>
      </c>
      <c r="B25" s="9" t="s">
        <v>13</v>
      </c>
      <c r="C25" s="9" t="s">
        <v>14</v>
      </c>
      <c r="D25" s="9" t="s">
        <v>21</v>
      </c>
      <c r="G25" s="322" t="s">
        <v>60</v>
      </c>
      <c r="H25" s="323"/>
      <c r="I25" s="66" t="s">
        <v>61</v>
      </c>
      <c r="J25" s="6" t="s">
        <v>52</v>
      </c>
      <c r="K25" s="23">
        <f t="shared" si="8"/>
        <v>-2431.6315999999933</v>
      </c>
    </row>
    <row r="26" spans="1:11" x14ac:dyDescent="0.25">
      <c r="A26" s="3" t="s">
        <v>15</v>
      </c>
      <c r="B26" s="32">
        <v>0.13</v>
      </c>
      <c r="C26" s="26">
        <v>-310000</v>
      </c>
      <c r="D26" s="38">
        <f>C26</f>
        <v>-310000</v>
      </c>
      <c r="G26" s="14" t="s">
        <v>25</v>
      </c>
      <c r="H26" s="46">
        <v>-0.11</v>
      </c>
      <c r="I26" s="67">
        <f>H3*(1+H26)</f>
        <v>95.051999999999992</v>
      </c>
      <c r="J26" s="6" t="s">
        <v>53</v>
      </c>
      <c r="K26" s="23">
        <f t="shared" si="8"/>
        <v>-2431.6315999999933</v>
      </c>
    </row>
    <row r="27" spans="1:11" x14ac:dyDescent="0.25">
      <c r="A27" s="3" t="s">
        <v>16</v>
      </c>
      <c r="B27" s="33">
        <v>0.53</v>
      </c>
      <c r="C27" s="27">
        <v>200000</v>
      </c>
      <c r="D27" s="38">
        <f>B27*C27</f>
        <v>106000</v>
      </c>
      <c r="G27" s="3" t="s">
        <v>26</v>
      </c>
      <c r="H27" s="47">
        <v>0.11</v>
      </c>
      <c r="I27" s="68">
        <f t="shared" ref="I27:I29" si="9">H4*(1+H27)</f>
        <v>91.17540000000001</v>
      </c>
      <c r="J27" s="6" t="s">
        <v>54</v>
      </c>
      <c r="K27" s="23">
        <f t="shared" si="8"/>
        <v>-2431.6315999999933</v>
      </c>
    </row>
    <row r="28" spans="1:11" ht="16.5" thickBot="1" x14ac:dyDescent="0.3">
      <c r="A28" s="5" t="s">
        <v>17</v>
      </c>
      <c r="B28" s="34">
        <v>0.34</v>
      </c>
      <c r="C28" s="28">
        <v>408000</v>
      </c>
      <c r="D28" s="39">
        <f>C28*(1-B27)</f>
        <v>191760</v>
      </c>
      <c r="G28" s="3" t="s">
        <v>27</v>
      </c>
      <c r="H28" s="47">
        <v>0.11</v>
      </c>
      <c r="I28" s="68">
        <f t="shared" si="9"/>
        <v>-314185.5</v>
      </c>
      <c r="J28" s="6" t="s">
        <v>55</v>
      </c>
      <c r="K28" s="23">
        <f t="shared" si="8"/>
        <v>-2431.6315999999933</v>
      </c>
    </row>
    <row r="29" spans="1:11" ht="16.5" thickBot="1" x14ac:dyDescent="0.3">
      <c r="G29" s="5" t="s">
        <v>58</v>
      </c>
      <c r="H29" s="48">
        <v>-0.11</v>
      </c>
      <c r="I29" s="69">
        <f t="shared" si="9"/>
        <v>8000.21</v>
      </c>
      <c r="J29" s="11" t="s">
        <v>56</v>
      </c>
      <c r="K29" s="15">
        <f>$M$14</f>
        <v>-2431.6315999999933</v>
      </c>
    </row>
    <row r="30" spans="1:11" ht="16.5" thickBot="1" x14ac:dyDescent="0.3">
      <c r="A30" t="s">
        <v>21</v>
      </c>
      <c r="B30" s="37">
        <f>(D27+D28)/(-D26+C28)</f>
        <v>0.41470752089136492</v>
      </c>
      <c r="J30" s="1" t="s">
        <v>36</v>
      </c>
      <c r="K30" s="70">
        <f>NPV(H12,K20:K29)-K19</f>
        <v>-1135135.8396839015</v>
      </c>
    </row>
    <row r="31" spans="1:11" x14ac:dyDescent="0.25">
      <c r="B31" t="str">
        <f ca="1">_xlfn.FORMULATEXT(B30)</f>
        <v>=(D27+D28)/(-D26+C28)</v>
      </c>
      <c r="J31" s="1"/>
    </row>
    <row r="32" spans="1:11" x14ac:dyDescent="0.25">
      <c r="J32" s="1"/>
      <c r="K32" s="1"/>
    </row>
    <row r="33" spans="1:11" x14ac:dyDescent="0.25">
      <c r="A33" s="21" t="s">
        <v>22</v>
      </c>
      <c r="G33" s="21" t="s">
        <v>71</v>
      </c>
      <c r="J33" s="1"/>
    </row>
    <row r="34" spans="1:11" ht="16.5" thickBot="1" x14ac:dyDescent="0.3">
      <c r="G34" t="s">
        <v>72</v>
      </c>
    </row>
    <row r="35" spans="1:11" ht="16.5" thickBot="1" x14ac:dyDescent="0.3">
      <c r="G35" s="319" t="s">
        <v>76</v>
      </c>
      <c r="H35" s="320"/>
      <c r="J35" s="319" t="s">
        <v>79</v>
      </c>
      <c r="K35" s="320"/>
    </row>
    <row r="36" spans="1:11" x14ac:dyDescent="0.25">
      <c r="G36" s="3" t="s">
        <v>77</v>
      </c>
      <c r="H36" s="75">
        <v>95000</v>
      </c>
      <c r="J36" s="3" t="s">
        <v>77</v>
      </c>
      <c r="K36" s="75">
        <f>H36</f>
        <v>95000</v>
      </c>
    </row>
    <row r="37" spans="1:11" ht="16.5" thickBot="1" x14ac:dyDescent="0.3">
      <c r="G37" s="3" t="s">
        <v>78</v>
      </c>
      <c r="H37" s="10">
        <v>82000</v>
      </c>
      <c r="J37" s="3" t="s">
        <v>78</v>
      </c>
      <c r="K37" s="10">
        <f>H37</f>
        <v>82000</v>
      </c>
    </row>
    <row r="38" spans="1:11" ht="16.5" thickBot="1" x14ac:dyDescent="0.3">
      <c r="G38" s="3" t="s">
        <v>73</v>
      </c>
      <c r="H38" s="24">
        <f>SUM(H36:H37)</f>
        <v>177000</v>
      </c>
      <c r="J38" s="3" t="s">
        <v>73</v>
      </c>
      <c r="K38" s="24">
        <f>SUM(K36:K37)</f>
        <v>177000</v>
      </c>
    </row>
    <row r="39" spans="1:11" x14ac:dyDescent="0.25">
      <c r="G39" s="3" t="s">
        <v>75</v>
      </c>
      <c r="H39" s="72">
        <v>1080</v>
      </c>
      <c r="J39" s="3" t="s">
        <v>75</v>
      </c>
      <c r="K39" s="72">
        <f>H39</f>
        <v>1080</v>
      </c>
    </row>
    <row r="40" spans="1:11" ht="16.5" thickBot="1" x14ac:dyDescent="0.3">
      <c r="G40" s="3" t="s">
        <v>74</v>
      </c>
      <c r="H40" s="73">
        <v>570</v>
      </c>
      <c r="J40" s="3" t="s">
        <v>74</v>
      </c>
      <c r="K40" s="73">
        <f>H40</f>
        <v>570</v>
      </c>
    </row>
    <row r="41" spans="1:11" ht="16.5" thickBot="1" x14ac:dyDescent="0.3">
      <c r="G41" s="76" t="s">
        <v>76</v>
      </c>
      <c r="H41" s="74">
        <f>H38/(H39-H40)</f>
        <v>347.05882352941177</v>
      </c>
      <c r="J41" s="76" t="s">
        <v>79</v>
      </c>
      <c r="K41" s="74">
        <f>(K38-K36)/(K39-K40)</f>
        <v>160.78431372549019</v>
      </c>
    </row>
    <row r="51" spans="7:7" x14ac:dyDescent="0.25">
      <c r="G51" s="21" t="s">
        <v>80</v>
      </c>
    </row>
    <row r="53" spans="7:7" x14ac:dyDescent="0.25">
      <c r="G53" s="77" t="s">
        <v>81</v>
      </c>
    </row>
    <row r="54" spans="7:7" x14ac:dyDescent="0.25">
      <c r="G54" s="78" t="s">
        <v>82</v>
      </c>
    </row>
  </sheetData>
  <scenarios current="1" show="1">
    <scenario name="Best" locked="1" count="4" user="kevin robinson" comment="Created by kevin robinson on 3/22/2024_x000a_Modified by kevin robinson on 3/22/2024">
      <inputCells r="H3" val="133.2" numFmtId="165"/>
      <inputCells r="H4" val="65.86" numFmtId="165"/>
      <inputCells r="H5" val="-226950" numFmtId="165"/>
      <inputCells r="H6" val="11211" numFmtId="1"/>
    </scenario>
    <scenario name="Worst" locked="1" count="4" user="kevin robinson" comment="Created by kevin robinson on 3/22/2024_x000a_Modified by kevin robinson on 3/22/2024">
      <inputCells r="H3" val="106.8" numFmtId="165"/>
      <inputCells r="H4" val="82.14" numFmtId="165"/>
      <inputCells r="H5" val="-283050" numFmtId="165"/>
      <inputCells r="H6" val="8989" numFmtId="1"/>
    </scenario>
  </scenarios>
  <mergeCells count="8">
    <mergeCell ref="G35:H35"/>
    <mergeCell ref="J35:K35"/>
    <mergeCell ref="A21:C22"/>
    <mergeCell ref="G2:H2"/>
    <mergeCell ref="G15:H15"/>
    <mergeCell ref="G19:H19"/>
    <mergeCell ref="G25:H25"/>
    <mergeCell ref="J18:K18"/>
  </mergeCells>
  <phoneticPr fontId="4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C9FA-7753-4E43-A609-F7ADA7A75A77}">
  <dimension ref="A1:N59"/>
  <sheetViews>
    <sheetView topLeftCell="A6" zoomScale="78" zoomScaleNormal="115" workbookViewId="0">
      <selection activeCell="K31" sqref="K31"/>
    </sheetView>
  </sheetViews>
  <sheetFormatPr defaultRowHeight="15.75" x14ac:dyDescent="0.25"/>
  <cols>
    <col min="1" max="1" width="21.375" customWidth="1"/>
    <col min="2" max="2" width="12.875" bestFit="1" customWidth="1"/>
    <col min="3" max="3" width="13.875" customWidth="1"/>
    <col min="4" max="4" width="15.5" customWidth="1"/>
    <col min="6" max="6" width="10.125" bestFit="1" customWidth="1"/>
    <col min="7" max="7" width="20.25" customWidth="1"/>
    <col min="10" max="10" width="23.75" bestFit="1" customWidth="1"/>
    <col min="13" max="13" width="20" customWidth="1"/>
  </cols>
  <sheetData>
    <row r="1" spans="1:11" ht="16.5" thickBot="1" x14ac:dyDescent="0.3">
      <c r="A1" s="21" t="s">
        <v>83</v>
      </c>
    </row>
    <row r="2" spans="1:11" ht="16.5" thickBot="1" x14ac:dyDescent="0.3">
      <c r="A2" s="79" t="s">
        <v>88</v>
      </c>
      <c r="B2" s="79" t="s">
        <v>89</v>
      </c>
      <c r="C2" s="24" t="s">
        <v>90</v>
      </c>
      <c r="D2" s="3"/>
      <c r="E2" s="9" t="s">
        <v>95</v>
      </c>
      <c r="F2" s="9" t="s">
        <v>98</v>
      </c>
    </row>
    <row r="3" spans="1:11" x14ac:dyDescent="0.25">
      <c r="A3" s="16" t="s">
        <v>91</v>
      </c>
      <c r="B3" s="72">
        <v>2471</v>
      </c>
      <c r="C3" s="20">
        <v>2471</v>
      </c>
      <c r="E3" s="83" t="s">
        <v>96</v>
      </c>
      <c r="F3" s="99">
        <f>SUM($C$3:$C$4)/$C$6</f>
        <v>0.1606709543666219</v>
      </c>
    </row>
    <row r="4" spans="1:11" ht="16.5" thickBot="1" x14ac:dyDescent="0.3">
      <c r="A4" s="41" t="s">
        <v>92</v>
      </c>
      <c r="B4" s="98">
        <v>4349</v>
      </c>
      <c r="C4" s="20">
        <v>4349</v>
      </c>
      <c r="E4" s="84" t="s">
        <v>97</v>
      </c>
      <c r="F4" s="100">
        <f>SUM($C$5)/$C$6</f>
        <v>0.83932904563337807</v>
      </c>
    </row>
    <row r="5" spans="1:11" ht="16.5" thickBot="1" x14ac:dyDescent="0.3">
      <c r="A5" s="17" t="s">
        <v>93</v>
      </c>
      <c r="B5" s="73">
        <v>8121</v>
      </c>
      <c r="C5" s="18">
        <v>35627</v>
      </c>
    </row>
    <row r="6" spans="1:11" ht="16.5" thickBot="1" x14ac:dyDescent="0.3">
      <c r="A6" s="17" t="s">
        <v>94</v>
      </c>
      <c r="B6" s="39">
        <f>SUM(B3:B5)</f>
        <v>14941</v>
      </c>
      <c r="C6" s="15">
        <f>SUM(C3:C5)</f>
        <v>42447</v>
      </c>
    </row>
    <row r="8" spans="1:11" x14ac:dyDescent="0.25">
      <c r="A8" s="21" t="s">
        <v>120</v>
      </c>
    </row>
    <row r="9" spans="1:11" ht="16.5" thickBot="1" x14ac:dyDescent="0.3">
      <c r="A9" s="21" t="s">
        <v>119</v>
      </c>
      <c r="D9" s="21" t="s">
        <v>118</v>
      </c>
      <c r="G9" s="21" t="s">
        <v>128</v>
      </c>
      <c r="J9" s="21" t="s">
        <v>129</v>
      </c>
    </row>
    <row r="10" spans="1:11" x14ac:dyDescent="0.25">
      <c r="A10" s="14" t="s">
        <v>106</v>
      </c>
      <c r="B10" s="72">
        <v>1000</v>
      </c>
      <c r="D10" s="16" t="s">
        <v>121</v>
      </c>
      <c r="E10" s="91">
        <v>1.84</v>
      </c>
      <c r="G10" s="14" t="s">
        <v>124</v>
      </c>
      <c r="H10" s="87">
        <v>125</v>
      </c>
      <c r="J10" t="s">
        <v>130</v>
      </c>
      <c r="K10" s="103">
        <v>0.115</v>
      </c>
    </row>
    <row r="11" spans="1:11" ht="16.5" thickBot="1" x14ac:dyDescent="0.3">
      <c r="A11" s="3" t="s">
        <v>113</v>
      </c>
      <c r="B11" s="94">
        <v>0.113</v>
      </c>
      <c r="D11" s="41" t="s">
        <v>122</v>
      </c>
      <c r="E11" s="94">
        <v>6.6000000000000003E-2</v>
      </c>
      <c r="G11" s="3" t="s">
        <v>125</v>
      </c>
      <c r="H11" s="102">
        <v>100</v>
      </c>
      <c r="J11" t="s">
        <v>131</v>
      </c>
      <c r="K11" s="48">
        <v>0.34</v>
      </c>
    </row>
    <row r="12" spans="1:11" ht="16.5" thickBot="1" x14ac:dyDescent="0.3">
      <c r="A12" s="3" t="s">
        <v>108</v>
      </c>
      <c r="B12" s="75">
        <v>10</v>
      </c>
      <c r="D12" s="41" t="s">
        <v>103</v>
      </c>
      <c r="E12" s="92">
        <f>E10*(1+E11)</f>
        <v>1.9614400000000003</v>
      </c>
      <c r="G12" s="5" t="s">
        <v>126</v>
      </c>
      <c r="H12" s="86">
        <v>9.4E-2</v>
      </c>
      <c r="J12" t="s">
        <v>132</v>
      </c>
      <c r="K12" s="93">
        <f>K10*(1-K11)</f>
        <v>7.5899999999999995E-2</v>
      </c>
    </row>
    <row r="13" spans="1:11" ht="16.5" thickBot="1" x14ac:dyDescent="0.3">
      <c r="A13" s="3" t="s">
        <v>114</v>
      </c>
      <c r="B13" s="98">
        <v>1125</v>
      </c>
      <c r="D13" s="17" t="s">
        <v>123</v>
      </c>
      <c r="E13" s="92">
        <v>27.49</v>
      </c>
      <c r="G13" s="5" t="s">
        <v>127</v>
      </c>
      <c r="H13" s="93">
        <f>(H12*H11)/H10</f>
        <v>7.5200000000000003E-2</v>
      </c>
    </row>
    <row r="14" spans="1:11" ht="16.5" thickBot="1" x14ac:dyDescent="0.3">
      <c r="A14" s="3" t="s">
        <v>115</v>
      </c>
      <c r="B14" s="48">
        <v>0.34</v>
      </c>
      <c r="D14" s="11" t="s">
        <v>102</v>
      </c>
      <c r="E14" s="93">
        <f>(E12/E13)+E11</f>
        <v>0.13735103674063298</v>
      </c>
      <c r="G14" s="139" t="s">
        <v>220</v>
      </c>
    </row>
    <row r="15" spans="1:11" ht="16.5" thickBot="1" x14ac:dyDescent="0.3">
      <c r="A15" s="3" t="s">
        <v>116</v>
      </c>
      <c r="B15" s="101">
        <f>RATE(B12*2,(B11*B10/2),-B13,B10,0)</f>
        <v>4.6744661408530293E-2</v>
      </c>
    </row>
    <row r="16" spans="1:11" ht="16.5" thickBot="1" x14ac:dyDescent="0.3">
      <c r="A16" s="17" t="s">
        <v>117</v>
      </c>
      <c r="B16" s="101">
        <f>B15*2</f>
        <v>9.3489322817060586E-2</v>
      </c>
    </row>
    <row r="17" spans="1:14" ht="16.5" thickBot="1" x14ac:dyDescent="0.3">
      <c r="A17" s="5" t="s">
        <v>111</v>
      </c>
      <c r="B17" s="93">
        <f>B16*(1-B14)</f>
        <v>6.1702953059259977E-2</v>
      </c>
    </row>
    <row r="18" spans="1:14" x14ac:dyDescent="0.25">
      <c r="A18" s="139" t="s">
        <v>221</v>
      </c>
    </row>
    <row r="19" spans="1:14" x14ac:dyDescent="0.25">
      <c r="A19" s="21" t="s">
        <v>133</v>
      </c>
    </row>
    <row r="20" spans="1:14" ht="16.5" thickBot="1" x14ac:dyDescent="0.3">
      <c r="A20" s="21" t="s">
        <v>119</v>
      </c>
      <c r="D20" s="21" t="s">
        <v>134</v>
      </c>
      <c r="G20" s="21" t="s">
        <v>135</v>
      </c>
      <c r="J20" s="21" t="s">
        <v>139</v>
      </c>
      <c r="M20" s="21" t="s">
        <v>140</v>
      </c>
    </row>
    <row r="21" spans="1:14" ht="15.6" customHeight="1" x14ac:dyDescent="0.25">
      <c r="A21" s="14" t="s">
        <v>106</v>
      </c>
      <c r="B21" s="72">
        <v>1000</v>
      </c>
      <c r="D21" s="328" t="s">
        <v>136</v>
      </c>
      <c r="E21" s="328"/>
      <c r="F21" s="328"/>
      <c r="G21" s="14" t="s">
        <v>126</v>
      </c>
      <c r="H21" s="91">
        <v>1.75</v>
      </c>
      <c r="J21" s="14" t="s">
        <v>124</v>
      </c>
      <c r="K21" s="87">
        <v>152.47999999999999</v>
      </c>
      <c r="M21" t="s">
        <v>130</v>
      </c>
      <c r="N21" s="103">
        <v>0.13700000000000001</v>
      </c>
    </row>
    <row r="22" spans="1:14" ht="16.5" thickBot="1" x14ac:dyDescent="0.3">
      <c r="A22" s="3" t="s">
        <v>113</v>
      </c>
      <c r="B22" s="94">
        <v>0.126</v>
      </c>
      <c r="D22" s="328"/>
      <c r="E22" s="328"/>
      <c r="F22" s="328"/>
      <c r="G22" s="3" t="s">
        <v>122</v>
      </c>
      <c r="H22" s="94">
        <v>7.4999999999999997E-2</v>
      </c>
      <c r="J22" s="3" t="s">
        <v>125</v>
      </c>
      <c r="K22" s="102">
        <v>121</v>
      </c>
      <c r="M22" t="s">
        <v>131</v>
      </c>
      <c r="N22" s="48">
        <v>0.34</v>
      </c>
    </row>
    <row r="23" spans="1:14" ht="16.5" thickBot="1" x14ac:dyDescent="0.3">
      <c r="A23" s="3" t="s">
        <v>108</v>
      </c>
      <c r="B23" s="75">
        <v>10</v>
      </c>
      <c r="D23" s="328"/>
      <c r="E23" s="328"/>
      <c r="F23" s="328"/>
      <c r="G23" s="3" t="s">
        <v>103</v>
      </c>
      <c r="H23" s="104">
        <f>H21*(1+H22)</f>
        <v>1.8812499999999999</v>
      </c>
      <c r="J23" s="5" t="s">
        <v>126</v>
      </c>
      <c r="K23" s="86">
        <v>0.107</v>
      </c>
      <c r="M23" t="s">
        <v>132</v>
      </c>
      <c r="N23" s="93">
        <f>N21*(1-N22)</f>
        <v>9.042E-2</v>
      </c>
    </row>
    <row r="24" spans="1:14" ht="16.5" thickBot="1" x14ac:dyDescent="0.3">
      <c r="A24" s="3" t="s">
        <v>114</v>
      </c>
      <c r="B24" s="98">
        <v>1123</v>
      </c>
      <c r="D24" s="328"/>
      <c r="E24" s="328"/>
      <c r="F24" s="328"/>
      <c r="G24" s="5" t="s">
        <v>137</v>
      </c>
      <c r="H24" s="92">
        <v>15</v>
      </c>
      <c r="J24" s="5" t="s">
        <v>127</v>
      </c>
      <c r="K24" s="93">
        <f>(K23*K22)/K21</f>
        <v>8.4909496327387202E-2</v>
      </c>
    </row>
    <row r="25" spans="1:14" ht="16.5" thickBot="1" x14ac:dyDescent="0.3">
      <c r="A25" s="3" t="s">
        <v>115</v>
      </c>
      <c r="B25" s="48">
        <v>0.34</v>
      </c>
      <c r="D25" s="328"/>
      <c r="E25" s="328"/>
      <c r="F25" s="328"/>
      <c r="G25" s="11" t="s">
        <v>138</v>
      </c>
      <c r="H25" s="105">
        <v>28.67</v>
      </c>
      <c r="J25" s="139" t="s">
        <v>223</v>
      </c>
    </row>
    <row r="26" spans="1:14" ht="16.5" thickBot="1" x14ac:dyDescent="0.3">
      <c r="A26" s="3" t="s">
        <v>116</v>
      </c>
      <c r="B26" s="101">
        <f>RATE(B23*2,(B22*B21/2),-B24,B21,0)</f>
        <v>5.2887114704864908E-2</v>
      </c>
      <c r="D26" s="328"/>
      <c r="E26" s="328"/>
      <c r="F26" s="328"/>
      <c r="G26" s="11" t="s">
        <v>102</v>
      </c>
      <c r="H26" s="89">
        <f>(H23/H25)+H22</f>
        <v>0.14061737007324729</v>
      </c>
    </row>
    <row r="27" spans="1:14" ht="16.5" thickBot="1" x14ac:dyDescent="0.3">
      <c r="A27" s="17" t="s">
        <v>117</v>
      </c>
      <c r="B27" s="101">
        <f>B26*2</f>
        <v>0.10577422940972982</v>
      </c>
      <c r="D27" s="328"/>
      <c r="E27" s="328"/>
      <c r="F27" s="328"/>
      <c r="G27" s="140" t="s">
        <v>222</v>
      </c>
    </row>
    <row r="28" spans="1:14" ht="16.5" thickBot="1" x14ac:dyDescent="0.3">
      <c r="A28" s="5" t="s">
        <v>111</v>
      </c>
      <c r="B28" s="93">
        <f>B27*(1-B25)</f>
        <v>6.9810991410421672E-2</v>
      </c>
      <c r="D28" s="328"/>
      <c r="E28" s="328"/>
      <c r="F28" s="328"/>
    </row>
    <row r="29" spans="1:14" x14ac:dyDescent="0.25">
      <c r="D29" s="328"/>
      <c r="E29" s="328"/>
      <c r="F29" s="328"/>
      <c r="J29" s="82"/>
      <c r="K29" s="81"/>
      <c r="L29" s="82"/>
    </row>
    <row r="30" spans="1:14" x14ac:dyDescent="0.25">
      <c r="J30" s="82"/>
      <c r="K30" s="81"/>
    </row>
    <row r="32" spans="1:14" ht="16.5" thickBot="1" x14ac:dyDescent="0.3">
      <c r="A32" s="21" t="s">
        <v>84</v>
      </c>
    </row>
    <row r="33" spans="1:3" x14ac:dyDescent="0.25">
      <c r="A33" s="14" t="s">
        <v>99</v>
      </c>
      <c r="B33" s="88">
        <v>27.28</v>
      </c>
    </row>
    <row r="34" spans="1:3" x14ac:dyDescent="0.25">
      <c r="A34" s="3" t="s">
        <v>100</v>
      </c>
      <c r="B34" s="85">
        <v>1.34</v>
      </c>
    </row>
    <row r="35" spans="1:3" ht="16.5" thickBot="1" x14ac:dyDescent="0.3">
      <c r="A35" s="5" t="s">
        <v>101</v>
      </c>
      <c r="B35" s="86">
        <v>7.0999999999999994E-2</v>
      </c>
    </row>
    <row r="36" spans="1:3" ht="16.5" thickBot="1" x14ac:dyDescent="0.3">
      <c r="A36" s="5" t="s">
        <v>103</v>
      </c>
      <c r="B36" s="90">
        <f>B34*(1+B35)</f>
        <v>1.4351400000000001</v>
      </c>
    </row>
    <row r="37" spans="1:3" ht="16.5" thickBot="1" x14ac:dyDescent="0.3">
      <c r="A37" s="11" t="s">
        <v>102</v>
      </c>
      <c r="B37" s="89">
        <f>(B36/B33)+B35</f>
        <v>0.12360777126099706</v>
      </c>
    </row>
    <row r="39" spans="1:3" ht="16.5" thickBot="1" x14ac:dyDescent="0.3">
      <c r="A39" s="21" t="s">
        <v>85</v>
      </c>
    </row>
    <row r="40" spans="1:3" x14ac:dyDescent="0.25">
      <c r="A40" t="s">
        <v>106</v>
      </c>
      <c r="B40" s="72">
        <v>1000</v>
      </c>
    </row>
    <row r="41" spans="1:3" x14ac:dyDescent="0.25">
      <c r="A41" t="s">
        <v>107</v>
      </c>
      <c r="B41" s="94">
        <v>8.5000000000000006E-2</v>
      </c>
    </row>
    <row r="42" spans="1:3" x14ac:dyDescent="0.25">
      <c r="A42" t="s">
        <v>108</v>
      </c>
      <c r="B42" s="75">
        <v>15</v>
      </c>
    </row>
    <row r="43" spans="1:3" x14ac:dyDescent="0.25">
      <c r="A43" t="s">
        <v>109</v>
      </c>
      <c r="B43" s="95">
        <v>946</v>
      </c>
    </row>
    <row r="44" spans="1:3" ht="16.5" thickBot="1" x14ac:dyDescent="0.3">
      <c r="A44" t="s">
        <v>110</v>
      </c>
      <c r="B44" s="96">
        <v>0.33</v>
      </c>
    </row>
    <row r="45" spans="1:3" ht="16.5" thickBot="1" x14ac:dyDescent="0.3">
      <c r="A45" t="s">
        <v>112</v>
      </c>
      <c r="B45" s="97">
        <f>RATE(B42,B41*B40,-B43,B40,0)</f>
        <v>9.1769307713321313E-2</v>
      </c>
      <c r="C45" s="21" t="str">
        <f ca="1">_xlfn.FORMULATEXT(B45)</f>
        <v>=RATE(B42,B41*B40,-B43,B40,0)</v>
      </c>
    </row>
    <row r="46" spans="1:3" ht="16.5" thickBot="1" x14ac:dyDescent="0.3">
      <c r="A46" t="s">
        <v>111</v>
      </c>
      <c r="B46" s="93">
        <f>B45*(1-B44)</f>
        <v>6.1485436167925275E-2</v>
      </c>
      <c r="C46" s="21" t="str">
        <f ca="1">_xlfn.FORMULATEXT(B46)</f>
        <v>=B45*(1-B44)</v>
      </c>
    </row>
    <row r="47" spans="1:3" x14ac:dyDescent="0.25">
      <c r="C47" s="21"/>
    </row>
    <row r="48" spans="1:3" ht="16.5" thickBot="1" x14ac:dyDescent="0.3">
      <c r="A48" s="21" t="s">
        <v>86</v>
      </c>
    </row>
    <row r="49" spans="1:8" x14ac:dyDescent="0.25">
      <c r="A49" t="s">
        <v>104</v>
      </c>
      <c r="B49" s="91">
        <v>36.25</v>
      </c>
    </row>
    <row r="50" spans="1:8" ht="16.5" thickBot="1" x14ac:dyDescent="0.3">
      <c r="A50" t="s">
        <v>100</v>
      </c>
      <c r="B50" s="92">
        <v>2.44</v>
      </c>
    </row>
    <row r="51" spans="1:8" ht="16.5" thickBot="1" x14ac:dyDescent="0.3">
      <c r="A51" t="s">
        <v>105</v>
      </c>
      <c r="B51" s="93">
        <f>B50/B49</f>
        <v>6.7310344827586202E-2</v>
      </c>
    </row>
    <row r="53" spans="1:8" ht="16.5" thickBot="1" x14ac:dyDescent="0.3">
      <c r="A53" s="21" t="s">
        <v>87</v>
      </c>
      <c r="D53" s="21" t="s">
        <v>146</v>
      </c>
      <c r="G53" s="21" t="s">
        <v>147</v>
      </c>
    </row>
    <row r="54" spans="1:8" ht="16.5" thickBot="1" x14ac:dyDescent="0.3">
      <c r="A54" t="s">
        <v>141</v>
      </c>
      <c r="B54" s="87">
        <v>466000</v>
      </c>
      <c r="D54" s="74">
        <f>B54/B59</f>
        <v>-408.25511907369292</v>
      </c>
      <c r="G54" t="s">
        <v>148</v>
      </c>
      <c r="H54" s="80">
        <v>0.34</v>
      </c>
    </row>
    <row r="55" spans="1:8" ht="16.5" thickBot="1" x14ac:dyDescent="0.3">
      <c r="A55" t="s">
        <v>125</v>
      </c>
      <c r="B55" s="95">
        <v>1000</v>
      </c>
      <c r="G55" t="s">
        <v>132</v>
      </c>
      <c r="H55" s="93">
        <f>B58*(1-H54)</f>
        <v>5.4119999999999994E-2</v>
      </c>
    </row>
    <row r="56" spans="1:8" x14ac:dyDescent="0.25">
      <c r="A56" t="s">
        <v>144</v>
      </c>
      <c r="B56" s="94">
        <v>0.10299999999999999</v>
      </c>
    </row>
    <row r="57" spans="1:8" x14ac:dyDescent="0.25">
      <c r="A57" t="s">
        <v>142</v>
      </c>
      <c r="B57" s="75">
        <v>10</v>
      </c>
    </row>
    <row r="58" spans="1:8" ht="16.5" thickBot="1" x14ac:dyDescent="0.3">
      <c r="A58" t="s">
        <v>143</v>
      </c>
      <c r="B58" s="86">
        <v>8.2000000000000003E-2</v>
      </c>
    </row>
    <row r="59" spans="1:8" ht="16.5" thickBot="1" x14ac:dyDescent="0.3">
      <c r="A59" t="s">
        <v>145</v>
      </c>
      <c r="B59" s="106">
        <f>PV(B58/2,B57*2,(B55*B56/2),B55,0)</f>
        <v>-1141.443127663229</v>
      </c>
    </row>
  </sheetData>
  <mergeCells count="1">
    <mergeCell ref="D21:F29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F482-60B8-4E7D-A227-285E64DB6954}">
  <dimension ref="A1:N73"/>
  <sheetViews>
    <sheetView topLeftCell="C1" zoomScale="63" workbookViewId="0">
      <selection activeCell="J33" sqref="J33"/>
    </sheetView>
  </sheetViews>
  <sheetFormatPr defaultRowHeight="15.75" x14ac:dyDescent="0.25"/>
  <cols>
    <col min="1" max="1" width="21.125" customWidth="1"/>
    <col min="2" max="2" width="16" bestFit="1" customWidth="1"/>
    <col min="3" max="3" width="19.5" customWidth="1"/>
    <col min="4" max="4" width="22.5" customWidth="1"/>
    <col min="5" max="5" width="25.875" customWidth="1"/>
    <col min="6" max="6" width="26.75" customWidth="1"/>
    <col min="7" max="7" width="20.75" customWidth="1"/>
    <col min="8" max="8" width="12.5" bestFit="1" customWidth="1"/>
    <col min="10" max="10" width="17.125" customWidth="1"/>
    <col min="11" max="11" width="12.5" bestFit="1" customWidth="1"/>
    <col min="13" max="14" width="20.875" customWidth="1"/>
  </cols>
  <sheetData>
    <row r="1" spans="1:12" ht="16.5" thickBot="1" x14ac:dyDescent="0.3">
      <c r="A1" s="21" t="s">
        <v>149</v>
      </c>
      <c r="D1" t="s">
        <v>155</v>
      </c>
      <c r="F1" t="s">
        <v>158</v>
      </c>
      <c r="I1" t="s">
        <v>167</v>
      </c>
    </row>
    <row r="2" spans="1:12" ht="15.95" customHeight="1" thickBot="1" x14ac:dyDescent="0.3">
      <c r="A2" s="14" t="s">
        <v>150</v>
      </c>
      <c r="B2" s="72">
        <v>489000</v>
      </c>
      <c r="D2" t="s">
        <v>154</v>
      </c>
      <c r="E2" s="114" cm="1">
        <f t="array" ref="E2">SUM(B4:B5/B7)</f>
        <v>0.75668979187314167</v>
      </c>
      <c r="F2" t="s">
        <v>157</v>
      </c>
      <c r="G2" s="93">
        <f>(E4/(E4+B10))</f>
        <v>0.33354755784061696</v>
      </c>
      <c r="I2" s="330" t="s">
        <v>168</v>
      </c>
      <c r="J2" s="331"/>
      <c r="K2" s="331"/>
      <c r="L2" s="332"/>
    </row>
    <row r="3" spans="1:12" ht="16.5" thickBot="1" x14ac:dyDescent="0.3">
      <c r="A3" s="3" t="s">
        <v>91</v>
      </c>
      <c r="B3" s="73">
        <v>274000</v>
      </c>
      <c r="D3" t="s">
        <v>160</v>
      </c>
      <c r="E3" s="89">
        <f>(B3+B5)/B7</f>
        <v>0.51437066402378595</v>
      </c>
      <c r="I3" s="333"/>
      <c r="J3" s="334"/>
      <c r="K3" s="334"/>
      <c r="L3" s="335"/>
    </row>
    <row r="4" spans="1:12" ht="16.5" thickBot="1" x14ac:dyDescent="0.3">
      <c r="A4" s="3" t="s">
        <v>151</v>
      </c>
      <c r="B4" s="108">
        <f>SUM(B2:B3)</f>
        <v>763000</v>
      </c>
      <c r="D4" t="s">
        <v>165</v>
      </c>
      <c r="E4" s="113">
        <f>(B3+B5)</f>
        <v>1038000</v>
      </c>
      <c r="I4" s="333"/>
      <c r="J4" s="334"/>
      <c r="K4" s="334"/>
      <c r="L4" s="335"/>
    </row>
    <row r="5" spans="1:12" ht="16.5" thickBot="1" x14ac:dyDescent="0.3">
      <c r="A5" s="3" t="s">
        <v>92</v>
      </c>
      <c r="B5" s="98">
        <v>764000</v>
      </c>
      <c r="D5" s="111" t="s">
        <v>163</v>
      </c>
      <c r="F5" s="111" t="s">
        <v>163</v>
      </c>
      <c r="I5" s="336"/>
      <c r="J5" s="337"/>
      <c r="K5" s="337"/>
      <c r="L5" s="338"/>
    </row>
    <row r="6" spans="1:12" ht="16.5" thickBot="1" x14ac:dyDescent="0.3">
      <c r="A6" s="5" t="s">
        <v>153</v>
      </c>
      <c r="B6" s="73">
        <v>491000</v>
      </c>
      <c r="D6" s="139" t="s">
        <v>159</v>
      </c>
      <c r="F6" s="329" t="s">
        <v>166</v>
      </c>
      <c r="G6" s="329"/>
      <c r="H6" s="329"/>
    </row>
    <row r="7" spans="1:12" ht="16.5" thickBot="1" x14ac:dyDescent="0.3">
      <c r="A7" s="5" t="s">
        <v>152</v>
      </c>
      <c r="B7" s="39">
        <f>SUM(B4:B6)</f>
        <v>2018000</v>
      </c>
      <c r="D7" s="139" t="s">
        <v>161</v>
      </c>
      <c r="F7" s="329"/>
      <c r="G7" s="329"/>
      <c r="H7" s="329"/>
    </row>
    <row r="8" spans="1:12" ht="15.6" customHeight="1" thickBot="1" x14ac:dyDescent="0.3">
      <c r="D8" s="142" t="s">
        <v>162</v>
      </c>
      <c r="E8" s="110"/>
      <c r="F8" s="329"/>
      <c r="G8" s="329"/>
      <c r="H8" s="329"/>
    </row>
    <row r="9" spans="1:12" ht="16.5" thickBot="1" x14ac:dyDescent="0.3">
      <c r="A9" t="s">
        <v>164</v>
      </c>
      <c r="B9" s="112">
        <v>0</v>
      </c>
      <c r="D9" s="110"/>
      <c r="E9" s="110"/>
    </row>
    <row r="10" spans="1:12" ht="16.5" thickBot="1" x14ac:dyDescent="0.3">
      <c r="A10" t="s">
        <v>170</v>
      </c>
      <c r="B10" s="112">
        <v>2074000</v>
      </c>
    </row>
    <row r="13" spans="1:12" ht="16.5" thickBot="1" x14ac:dyDescent="0.3">
      <c r="A13" s="21" t="s">
        <v>171</v>
      </c>
      <c r="D13" t="s">
        <v>155</v>
      </c>
      <c r="F13" t="s">
        <v>156</v>
      </c>
    </row>
    <row r="14" spans="1:12" ht="16.5" thickBot="1" x14ac:dyDescent="0.3">
      <c r="A14" s="14" t="s">
        <v>150</v>
      </c>
      <c r="B14" s="72">
        <v>118000</v>
      </c>
      <c r="D14" t="s">
        <v>154</v>
      </c>
      <c r="E14" s="114">
        <f>SUM(B16:B17)/B19</f>
        <v>0.63482750528045062</v>
      </c>
      <c r="F14" t="s">
        <v>173</v>
      </c>
      <c r="G14" s="22">
        <f>B21-(B19-G16)*G15</f>
        <v>1924500</v>
      </c>
    </row>
    <row r="15" spans="1:12" ht="16.5" thickBot="1" x14ac:dyDescent="0.3">
      <c r="A15" s="3" t="s">
        <v>91</v>
      </c>
      <c r="B15" s="73">
        <v>392000</v>
      </c>
      <c r="D15" t="s">
        <v>160</v>
      </c>
      <c r="E15" s="89">
        <f>(B15+B17)/B19</f>
        <v>0.60713447547524058</v>
      </c>
      <c r="F15" t="s">
        <v>172</v>
      </c>
      <c r="G15" s="115">
        <v>0.5</v>
      </c>
    </row>
    <row r="16" spans="1:12" ht="16.5" thickBot="1" x14ac:dyDescent="0.3">
      <c r="A16" s="3" t="s">
        <v>151</v>
      </c>
      <c r="B16" s="108">
        <f>SUM(B14:B15)</f>
        <v>510000</v>
      </c>
      <c r="D16" t="s">
        <v>165</v>
      </c>
      <c r="E16" s="113">
        <f>B17+B15</f>
        <v>2587000</v>
      </c>
      <c r="F16" t="s">
        <v>175</v>
      </c>
      <c r="G16" s="112">
        <v>2700000</v>
      </c>
    </row>
    <row r="17" spans="1:8" x14ac:dyDescent="0.25">
      <c r="A17" s="3" t="s">
        <v>92</v>
      </c>
      <c r="B17" s="98">
        <v>2195000</v>
      </c>
    </row>
    <row r="18" spans="1:8" ht="16.5" thickBot="1" x14ac:dyDescent="0.3">
      <c r="A18" s="5" t="s">
        <v>153</v>
      </c>
      <c r="B18" s="73">
        <v>1556000</v>
      </c>
      <c r="F18" s="21" t="s">
        <v>176</v>
      </c>
    </row>
    <row r="19" spans="1:8" ht="15.95" customHeight="1" thickBot="1" x14ac:dyDescent="0.3">
      <c r="A19" s="5" t="s">
        <v>152</v>
      </c>
      <c r="B19" s="116">
        <f>SUM(B16:B18)</f>
        <v>4261000</v>
      </c>
      <c r="F19" s="329" t="s">
        <v>177</v>
      </c>
      <c r="G19" s="329"/>
      <c r="H19" s="329"/>
    </row>
    <row r="20" spans="1:8" ht="16.5" thickBot="1" x14ac:dyDescent="0.3">
      <c r="F20" s="329"/>
      <c r="G20" s="329"/>
      <c r="H20" s="329"/>
    </row>
    <row r="21" spans="1:8" ht="16.5" thickBot="1" x14ac:dyDescent="0.3">
      <c r="A21" t="s">
        <v>174</v>
      </c>
      <c r="B21" s="113">
        <f>B16+B17</f>
        <v>2705000</v>
      </c>
      <c r="F21" s="329"/>
      <c r="G21" s="329"/>
      <c r="H21" s="329"/>
    </row>
    <row r="23" spans="1:8" x14ac:dyDescent="0.25">
      <c r="A23" s="21" t="s">
        <v>178</v>
      </c>
    </row>
    <row r="24" spans="1:8" x14ac:dyDescent="0.25">
      <c r="A24" t="s">
        <v>179</v>
      </c>
    </row>
    <row r="25" spans="1:8" ht="16.5" thickBot="1" x14ac:dyDescent="0.3">
      <c r="A25" s="109" t="s">
        <v>180</v>
      </c>
      <c r="D25" t="s">
        <v>155</v>
      </c>
      <c r="F25" t="s">
        <v>156</v>
      </c>
    </row>
    <row r="26" spans="1:8" ht="16.5" thickBot="1" x14ac:dyDescent="0.3">
      <c r="A26" s="1" t="s">
        <v>150</v>
      </c>
      <c r="B26" s="87">
        <v>4137000</v>
      </c>
      <c r="D26" t="s">
        <v>154</v>
      </c>
      <c r="E26" s="114">
        <f>(B29+B32)/B34</f>
        <v>0.46509386941352382</v>
      </c>
      <c r="F26" t="s">
        <v>157</v>
      </c>
      <c r="G26" s="93">
        <f>E28/(E28+B36)</f>
        <v>0.15702867889045605</v>
      </c>
    </row>
    <row r="27" spans="1:8" ht="16.5" thickBot="1" x14ac:dyDescent="0.3">
      <c r="A27" s="1" t="s">
        <v>181</v>
      </c>
      <c r="B27" s="102">
        <v>1104000</v>
      </c>
      <c r="D27" t="s">
        <v>160</v>
      </c>
      <c r="E27" s="89">
        <f>(B27+B30)/B34</f>
        <v>0.22196378135902975</v>
      </c>
    </row>
    <row r="28" spans="1:8" ht="16.5" thickBot="1" x14ac:dyDescent="0.3">
      <c r="A28" s="1" t="s">
        <v>183</v>
      </c>
      <c r="B28" s="118">
        <v>2510000</v>
      </c>
      <c r="D28" t="s">
        <v>165</v>
      </c>
      <c r="E28" s="113">
        <f>B27+B30</f>
        <v>6680000</v>
      </c>
    </row>
    <row r="29" spans="1:8" x14ac:dyDescent="0.25">
      <c r="A29" s="1" t="s">
        <v>182</v>
      </c>
      <c r="B29" s="117">
        <f>SUM(B26:B28)</f>
        <v>7751000</v>
      </c>
    </row>
    <row r="30" spans="1:8" x14ac:dyDescent="0.25">
      <c r="A30" s="1" t="s">
        <v>92</v>
      </c>
      <c r="B30" s="102">
        <v>5576000</v>
      </c>
    </row>
    <row r="31" spans="1:8" ht="16.5" thickBot="1" x14ac:dyDescent="0.3">
      <c r="A31" s="1" t="s">
        <v>184</v>
      </c>
      <c r="B31" s="118">
        <v>670000</v>
      </c>
    </row>
    <row r="32" spans="1:8" x14ac:dyDescent="0.25">
      <c r="A32" s="1" t="s">
        <v>185</v>
      </c>
      <c r="B32" s="117">
        <f>SUM(B30:B31)</f>
        <v>6246000</v>
      </c>
    </row>
    <row r="33" spans="1:10" ht="16.5" thickBot="1" x14ac:dyDescent="0.3">
      <c r="A33" s="1" t="s">
        <v>186</v>
      </c>
      <c r="B33" s="118">
        <v>16098000</v>
      </c>
    </row>
    <row r="34" spans="1:10" ht="16.5" thickBot="1" x14ac:dyDescent="0.3">
      <c r="A34" s="1" t="s">
        <v>3</v>
      </c>
      <c r="B34" s="116">
        <f>B33+B32+B29</f>
        <v>30095000</v>
      </c>
    </row>
    <row r="35" spans="1:10" ht="16.5" thickBot="1" x14ac:dyDescent="0.3"/>
    <row r="36" spans="1:10" ht="16.5" thickBot="1" x14ac:dyDescent="0.3">
      <c r="A36" t="s">
        <v>169</v>
      </c>
      <c r="B36" s="112">
        <v>35860000</v>
      </c>
    </row>
    <row r="38" spans="1:10" ht="16.5" thickBot="1" x14ac:dyDescent="0.3">
      <c r="A38" s="21" t="s">
        <v>197</v>
      </c>
      <c r="D38" t="s">
        <v>193</v>
      </c>
      <c r="F38" t="s">
        <v>194</v>
      </c>
    </row>
    <row r="39" spans="1:10" ht="16.5" thickBot="1" x14ac:dyDescent="0.3">
      <c r="A39" s="1" t="s">
        <v>187</v>
      </c>
      <c r="B39" s="72">
        <v>535000</v>
      </c>
      <c r="D39" s="1" t="s">
        <v>187</v>
      </c>
      <c r="E39" s="72">
        <f>B39</f>
        <v>535000</v>
      </c>
      <c r="F39" s="1" t="s">
        <v>195</v>
      </c>
      <c r="G39" s="22">
        <f>B40*B42</f>
        <v>89760</v>
      </c>
    </row>
    <row r="40" spans="1:10" x14ac:dyDescent="0.25">
      <c r="A40" s="1" t="s">
        <v>188</v>
      </c>
      <c r="B40" s="98">
        <v>264000</v>
      </c>
      <c r="D40" s="1" t="s">
        <v>188</v>
      </c>
      <c r="E40" s="98"/>
    </row>
    <row r="41" spans="1:10" x14ac:dyDescent="0.25">
      <c r="A41" s="1" t="s">
        <v>190</v>
      </c>
      <c r="B41" s="119">
        <f>B39-B40</f>
        <v>271000</v>
      </c>
      <c r="D41" s="1" t="s">
        <v>190</v>
      </c>
      <c r="E41" s="119">
        <f>E39-E40</f>
        <v>535000</v>
      </c>
      <c r="F41" s="111"/>
      <c r="G41" s="141" t="s">
        <v>196</v>
      </c>
    </row>
    <row r="42" spans="1:10" x14ac:dyDescent="0.25">
      <c r="A42" s="1" t="s">
        <v>148</v>
      </c>
      <c r="B42" s="47">
        <v>0.34</v>
      </c>
      <c r="D42" s="1" t="s">
        <v>148</v>
      </c>
      <c r="E42" s="47">
        <f>B42</f>
        <v>0.34</v>
      </c>
    </row>
    <row r="43" spans="1:10" ht="16.5" thickBot="1" x14ac:dyDescent="0.3">
      <c r="A43" s="1" t="s">
        <v>191</v>
      </c>
      <c r="B43" s="116">
        <f>B41*B42</f>
        <v>92140</v>
      </c>
      <c r="D43" s="1" t="s">
        <v>191</v>
      </c>
      <c r="E43" s="116">
        <f>E41*E42</f>
        <v>181900</v>
      </c>
    </row>
    <row r="44" spans="1:10" ht="16.5" thickBot="1" x14ac:dyDescent="0.3">
      <c r="A44" s="1" t="s">
        <v>192</v>
      </c>
      <c r="B44" s="120">
        <f>B41-B43</f>
        <v>178860</v>
      </c>
      <c r="D44" s="1" t="s">
        <v>68</v>
      </c>
      <c r="E44" s="120">
        <f>E41-E43</f>
        <v>353100</v>
      </c>
    </row>
    <row r="46" spans="1:10" ht="16.5" thickBot="1" x14ac:dyDescent="0.3">
      <c r="A46" s="21" t="s">
        <v>203</v>
      </c>
    </row>
    <row r="47" spans="1:10" ht="16.5" thickBot="1" x14ac:dyDescent="0.3">
      <c r="B47" s="341" t="s">
        <v>199</v>
      </c>
      <c r="C47" s="342"/>
      <c r="D47" s="343"/>
      <c r="E47" s="130" t="s">
        <v>201</v>
      </c>
      <c r="J47" t="s">
        <v>202</v>
      </c>
    </row>
    <row r="48" spans="1:10" ht="16.5" thickBot="1" x14ac:dyDescent="0.3">
      <c r="A48" t="s">
        <v>198</v>
      </c>
      <c r="B48" s="129">
        <v>2016</v>
      </c>
      <c r="C48" s="129">
        <v>2015</v>
      </c>
      <c r="D48" s="129">
        <v>2014</v>
      </c>
      <c r="F48" s="129">
        <v>2016</v>
      </c>
      <c r="G48" s="129">
        <v>2015</v>
      </c>
      <c r="H48" s="129">
        <v>2014</v>
      </c>
    </row>
    <row r="49" spans="1:14" ht="16.5" thickBot="1" x14ac:dyDescent="0.3">
      <c r="A49" s="1" t="s">
        <v>66</v>
      </c>
      <c r="B49" s="121">
        <v>11774000</v>
      </c>
      <c r="C49" s="122">
        <v>10469000</v>
      </c>
      <c r="D49" s="122">
        <v>9166000</v>
      </c>
      <c r="E49" s="1"/>
      <c r="F49" s="131">
        <f>B49/B50</f>
        <v>12.811751904243744</v>
      </c>
      <c r="G49" s="131">
        <f t="shared" ref="G49:H49" si="0">C49/C50</f>
        <v>12.613253012048192</v>
      </c>
      <c r="H49" s="131">
        <f t="shared" si="0"/>
        <v>12.891701828410689</v>
      </c>
    </row>
    <row r="50" spans="1:14" x14ac:dyDescent="0.25">
      <c r="A50" s="1" t="s">
        <v>188</v>
      </c>
      <c r="B50" s="123">
        <v>919000</v>
      </c>
      <c r="C50" s="124">
        <v>830000</v>
      </c>
      <c r="D50" s="124">
        <v>711000</v>
      </c>
    </row>
    <row r="51" spans="1:14" x14ac:dyDescent="0.25">
      <c r="A51" t="s">
        <v>190</v>
      </c>
      <c r="B51" s="125">
        <f>B49-B50</f>
        <v>10855000</v>
      </c>
      <c r="C51" s="107">
        <f>C49-C50</f>
        <v>9639000</v>
      </c>
      <c r="D51" s="107">
        <f>D49-D50</f>
        <v>8455000</v>
      </c>
    </row>
    <row r="52" spans="1:14" x14ac:dyDescent="0.25">
      <c r="A52" s="1" t="s">
        <v>200</v>
      </c>
      <c r="B52" s="126">
        <v>4012000</v>
      </c>
      <c r="C52" s="20">
        <v>3631000</v>
      </c>
      <c r="D52" s="20">
        <v>3082000</v>
      </c>
    </row>
    <row r="53" spans="1:14" ht="16.5" thickBot="1" x14ac:dyDescent="0.3">
      <c r="A53" s="1" t="s">
        <v>189</v>
      </c>
      <c r="B53" s="127">
        <f>B51-B52</f>
        <v>6843000</v>
      </c>
      <c r="C53" s="128">
        <f>C51-C52</f>
        <v>6008000</v>
      </c>
      <c r="D53" s="128">
        <f>D51-D52</f>
        <v>5373000</v>
      </c>
    </row>
    <row r="56" spans="1:14" x14ac:dyDescent="0.25">
      <c r="A56" s="21" t="s">
        <v>204</v>
      </c>
    </row>
    <row r="57" spans="1:14" ht="16.5" thickBot="1" x14ac:dyDescent="0.3">
      <c r="A57" t="s">
        <v>205</v>
      </c>
      <c r="B57" t="s">
        <v>209</v>
      </c>
      <c r="D57" t="s">
        <v>210</v>
      </c>
      <c r="G57" t="s">
        <v>211</v>
      </c>
      <c r="J57" t="s">
        <v>215</v>
      </c>
      <c r="M57" t="s">
        <v>218</v>
      </c>
    </row>
    <row r="58" spans="1:14" x14ac:dyDescent="0.25">
      <c r="A58" s="14" t="s">
        <v>206</v>
      </c>
      <c r="B58" s="72">
        <v>45802000</v>
      </c>
      <c r="D58" s="14" t="s">
        <v>206</v>
      </c>
      <c r="E58" s="72">
        <f>B58*(1+$B$70)</f>
        <v>57252500</v>
      </c>
      <c r="G58" s="14" t="s">
        <v>206</v>
      </c>
      <c r="H58" s="72">
        <f>B58*(1-$B$71)</f>
        <v>34351500</v>
      </c>
      <c r="J58" s="14" t="s">
        <v>206</v>
      </c>
      <c r="K58" s="72">
        <f>B58*(1+K70)</f>
        <v>57252500</v>
      </c>
      <c r="M58" s="14" t="s">
        <v>206</v>
      </c>
      <c r="N58" s="72">
        <f>B58*(1-K70)</f>
        <v>34351500</v>
      </c>
    </row>
    <row r="59" spans="1:14" ht="16.5" thickBot="1" x14ac:dyDescent="0.3">
      <c r="A59" s="3" t="s">
        <v>26</v>
      </c>
      <c r="B59" s="73">
        <v>22747000</v>
      </c>
      <c r="D59" s="3" t="s">
        <v>26</v>
      </c>
      <c r="E59" s="73">
        <f>B59*(1+$B$70)</f>
        <v>28433750</v>
      </c>
      <c r="G59" s="3" t="s">
        <v>26</v>
      </c>
      <c r="H59" s="73">
        <f>B59*(1-$B$70)</f>
        <v>17060250</v>
      </c>
      <c r="J59" s="3" t="s">
        <v>26</v>
      </c>
      <c r="K59" s="73">
        <f>B59*(1+K70)</f>
        <v>28433750</v>
      </c>
      <c r="M59" s="3" t="s">
        <v>26</v>
      </c>
      <c r="N59" s="73">
        <f>B59*(1-K70)</f>
        <v>17060250</v>
      </c>
    </row>
    <row r="60" spans="1:14" x14ac:dyDescent="0.25">
      <c r="A60" s="3" t="s">
        <v>207</v>
      </c>
      <c r="B60" s="108">
        <f>B58-B59</f>
        <v>23055000</v>
      </c>
      <c r="D60" s="3" t="s">
        <v>207</v>
      </c>
      <c r="E60" s="108">
        <f>E58-E59</f>
        <v>28818750</v>
      </c>
      <c r="G60" s="3" t="s">
        <v>207</v>
      </c>
      <c r="H60" s="108">
        <f>H58-H59</f>
        <v>17291250</v>
      </c>
      <c r="J60" s="3" t="s">
        <v>207</v>
      </c>
      <c r="K60" s="108">
        <f>K58-K59</f>
        <v>28818750</v>
      </c>
      <c r="M60" s="3" t="s">
        <v>207</v>
      </c>
      <c r="N60" s="108">
        <f>N58-N59</f>
        <v>17291250</v>
      </c>
    </row>
    <row r="61" spans="1:14" ht="16.5" thickBot="1" x14ac:dyDescent="0.3">
      <c r="A61" s="3" t="s">
        <v>27</v>
      </c>
      <c r="B61" s="73">
        <v>9162000</v>
      </c>
      <c r="D61" s="3" t="s">
        <v>27</v>
      </c>
      <c r="E61" s="73">
        <f>B61</f>
        <v>9162000</v>
      </c>
      <c r="G61" s="3" t="s">
        <v>27</v>
      </c>
      <c r="H61" s="73">
        <f>B61</f>
        <v>9162000</v>
      </c>
      <c r="J61" s="3" t="s">
        <v>27</v>
      </c>
      <c r="K61" s="73">
        <f>B61</f>
        <v>9162000</v>
      </c>
      <c r="M61" s="3" t="s">
        <v>27</v>
      </c>
      <c r="N61" s="73">
        <f>B61</f>
        <v>9162000</v>
      </c>
    </row>
    <row r="62" spans="1:14" x14ac:dyDescent="0.25">
      <c r="A62" s="3" t="s">
        <v>187</v>
      </c>
      <c r="B62" s="108">
        <f>B60-B61</f>
        <v>13893000</v>
      </c>
      <c r="D62" s="3" t="s">
        <v>187</v>
      </c>
      <c r="E62" s="108">
        <f>E60-E61</f>
        <v>19656750</v>
      </c>
      <c r="G62" s="3" t="s">
        <v>187</v>
      </c>
      <c r="H62" s="108">
        <f>H60-H61</f>
        <v>8129250</v>
      </c>
      <c r="J62" s="3" t="s">
        <v>187</v>
      </c>
      <c r="K62" s="108">
        <f>K60-K61</f>
        <v>19656750</v>
      </c>
      <c r="M62" s="3" t="s">
        <v>187</v>
      </c>
      <c r="N62" s="108">
        <f>N60-N61</f>
        <v>8129250</v>
      </c>
    </row>
    <row r="63" spans="1:14" ht="16.5" thickBot="1" x14ac:dyDescent="0.3">
      <c r="A63" s="3" t="s">
        <v>188</v>
      </c>
      <c r="B63" s="73">
        <v>1392000</v>
      </c>
      <c r="D63" s="3" t="s">
        <v>188</v>
      </c>
      <c r="E63" s="73">
        <f>B63</f>
        <v>1392000</v>
      </c>
      <c r="G63" s="3" t="s">
        <v>188</v>
      </c>
      <c r="H63" s="73">
        <f>B63</f>
        <v>1392000</v>
      </c>
      <c r="J63" s="3" t="s">
        <v>188</v>
      </c>
      <c r="K63" s="73">
        <f>B63*(1-K71)</f>
        <v>696000</v>
      </c>
      <c r="M63" s="3" t="s">
        <v>188</v>
      </c>
      <c r="N63" s="73">
        <f>B63*(1-K71)</f>
        <v>696000</v>
      </c>
    </row>
    <row r="64" spans="1:14" x14ac:dyDescent="0.25">
      <c r="A64" s="3" t="s">
        <v>208</v>
      </c>
      <c r="B64" s="108">
        <f>B62-B63</f>
        <v>12501000</v>
      </c>
      <c r="D64" s="3" t="s">
        <v>208</v>
      </c>
      <c r="E64" s="108">
        <f>E62-E63</f>
        <v>18264750</v>
      </c>
      <c r="G64" s="3" t="s">
        <v>208</v>
      </c>
      <c r="H64" s="108">
        <f>H62-H63</f>
        <v>6737250</v>
      </c>
      <c r="J64" s="3" t="s">
        <v>208</v>
      </c>
      <c r="K64" s="108">
        <f>K62-K63</f>
        <v>18960750</v>
      </c>
      <c r="M64" s="3" t="s">
        <v>208</v>
      </c>
      <c r="N64" s="108">
        <f>N62-N63</f>
        <v>7433250</v>
      </c>
    </row>
    <row r="65" spans="1:14" x14ac:dyDescent="0.25">
      <c r="A65" s="3" t="s">
        <v>148</v>
      </c>
      <c r="B65" s="47">
        <v>0.5</v>
      </c>
      <c r="D65" s="3" t="s">
        <v>148</v>
      </c>
      <c r="E65" s="47">
        <f>B65</f>
        <v>0.5</v>
      </c>
      <c r="G65" s="3" t="s">
        <v>148</v>
      </c>
      <c r="H65" s="47">
        <f>B65</f>
        <v>0.5</v>
      </c>
      <c r="J65" s="3" t="s">
        <v>148</v>
      </c>
      <c r="K65" s="47">
        <f>B65</f>
        <v>0.5</v>
      </c>
      <c r="M65" s="3" t="s">
        <v>148</v>
      </c>
      <c r="N65" s="47">
        <f>E65</f>
        <v>0.5</v>
      </c>
    </row>
    <row r="66" spans="1:14" ht="16.5" thickBot="1" x14ac:dyDescent="0.3">
      <c r="A66" s="3" t="s">
        <v>191</v>
      </c>
      <c r="B66" s="116">
        <f>B64*B65</f>
        <v>6250500</v>
      </c>
      <c r="D66" s="3" t="s">
        <v>191</v>
      </c>
      <c r="E66" s="116">
        <f>E64*E65</f>
        <v>9132375</v>
      </c>
      <c r="G66" s="3" t="s">
        <v>191</v>
      </c>
      <c r="H66" s="116">
        <f>H64*H65</f>
        <v>3368625</v>
      </c>
      <c r="J66" s="3" t="s">
        <v>191</v>
      </c>
      <c r="K66" s="116">
        <f>K64*K65</f>
        <v>9480375</v>
      </c>
      <c r="M66" s="3" t="s">
        <v>191</v>
      </c>
      <c r="N66" s="116">
        <f>N64*N65</f>
        <v>3716625</v>
      </c>
    </row>
    <row r="67" spans="1:14" ht="16.5" thickBot="1" x14ac:dyDescent="0.3">
      <c r="A67" s="5" t="s">
        <v>189</v>
      </c>
      <c r="B67" s="132">
        <f>B64-B66</f>
        <v>6250500</v>
      </c>
      <c r="D67" s="5" t="s">
        <v>189</v>
      </c>
      <c r="E67" s="132">
        <f>E64-E66</f>
        <v>9132375</v>
      </c>
      <c r="G67" s="5" t="s">
        <v>189</v>
      </c>
      <c r="H67" s="132">
        <f>H64-H66</f>
        <v>3368625</v>
      </c>
      <c r="J67" s="5" t="s">
        <v>189</v>
      </c>
      <c r="K67" s="132">
        <f>K64-K66</f>
        <v>9480375</v>
      </c>
      <c r="M67" s="5" t="s">
        <v>189</v>
      </c>
      <c r="N67" s="132">
        <f>N64-N66</f>
        <v>3716625</v>
      </c>
    </row>
    <row r="68" spans="1:14" ht="16.5" thickBot="1" x14ac:dyDescent="0.3"/>
    <row r="69" spans="1:14" ht="16.5" thickBot="1" x14ac:dyDescent="0.3">
      <c r="A69" s="344" t="s">
        <v>212</v>
      </c>
      <c r="B69" s="345"/>
      <c r="C69" s="134" t="s">
        <v>187</v>
      </c>
      <c r="D69" s="133" t="s">
        <v>189</v>
      </c>
      <c r="J69" s="324" t="s">
        <v>219</v>
      </c>
      <c r="K69" s="325"/>
    </row>
    <row r="70" spans="1:14" ht="16.5" thickBot="1" x14ac:dyDescent="0.3">
      <c r="A70" s="6" t="s">
        <v>213</v>
      </c>
      <c r="B70" s="135">
        <v>0.25</v>
      </c>
      <c r="C70" s="136">
        <f>(E62-B62)/B62</f>
        <v>0.41486719930900451</v>
      </c>
      <c r="D70" s="136">
        <f>(E67-B67)/B67</f>
        <v>0.46106311495080393</v>
      </c>
      <c r="J70" s="14" t="s">
        <v>212</v>
      </c>
      <c r="K70" s="46">
        <v>0.25</v>
      </c>
    </row>
    <row r="71" spans="1:14" ht="16.5" thickBot="1" x14ac:dyDescent="0.3">
      <c r="A71" s="11" t="s">
        <v>214</v>
      </c>
      <c r="B71" s="36">
        <v>0.25</v>
      </c>
      <c r="C71" s="137">
        <f>(H62-B62)/B62</f>
        <v>-0.41486719930900451</v>
      </c>
      <c r="D71" s="138">
        <f>(H67-B67)/B67</f>
        <v>-0.46106311495080393</v>
      </c>
      <c r="J71" s="5" t="s">
        <v>188</v>
      </c>
      <c r="K71" s="48">
        <v>0.5</v>
      </c>
    </row>
    <row r="72" spans="1:14" ht="16.5" thickBot="1" x14ac:dyDescent="0.3">
      <c r="A72" s="339" t="s">
        <v>216</v>
      </c>
      <c r="B72" s="340"/>
      <c r="C72" s="137">
        <f>(K62-B62)/B62</f>
        <v>0.41486719930900451</v>
      </c>
      <c r="D72" s="137">
        <f>(K67-B67)/B67</f>
        <v>0.51673866090712739</v>
      </c>
      <c r="J72" s="1"/>
      <c r="K72" s="82"/>
    </row>
    <row r="73" spans="1:14" ht="16.5" thickBot="1" x14ac:dyDescent="0.3">
      <c r="A73" s="339" t="s">
        <v>217</v>
      </c>
      <c r="B73" s="340"/>
      <c r="C73" s="137">
        <f>(N62-B62)/B62</f>
        <v>-0.41486719930900451</v>
      </c>
      <c r="D73" s="137">
        <f>(N67-B67)/B67</f>
        <v>-0.40538756899448042</v>
      </c>
    </row>
  </sheetData>
  <mergeCells count="8">
    <mergeCell ref="F6:H8"/>
    <mergeCell ref="I2:L5"/>
    <mergeCell ref="F19:H21"/>
    <mergeCell ref="A73:B73"/>
    <mergeCell ref="B47:D47"/>
    <mergeCell ref="A69:B69"/>
    <mergeCell ref="J69:K69"/>
    <mergeCell ref="A72:B7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0803-A6B2-4B05-AC0E-8C5425B2C1A3}">
  <dimension ref="A1:O77"/>
  <sheetViews>
    <sheetView tabSelected="1" zoomScale="85" workbookViewId="0">
      <selection activeCell="E70" sqref="E70"/>
    </sheetView>
  </sheetViews>
  <sheetFormatPr defaultRowHeight="15.75" x14ac:dyDescent="0.25"/>
  <cols>
    <col min="1" max="1" width="28.625" customWidth="1"/>
    <col min="2" max="2" width="21" customWidth="1"/>
    <col min="3" max="3" width="22.875" customWidth="1"/>
    <col min="4" max="4" width="29.875" customWidth="1"/>
    <col min="5" max="5" width="19.5" bestFit="1" customWidth="1"/>
    <col min="6" max="6" width="20.25" bestFit="1" customWidth="1"/>
    <col min="7" max="8" width="17" customWidth="1"/>
    <col min="9" max="9" width="13.25" customWidth="1"/>
  </cols>
  <sheetData>
    <row r="1" spans="1:15" ht="16.5" thickBot="1" x14ac:dyDescent="0.3">
      <c r="A1" s="21" t="s">
        <v>224</v>
      </c>
    </row>
    <row r="2" spans="1:15" ht="16.5" thickBot="1" x14ac:dyDescent="0.3">
      <c r="A2" s="7" t="s">
        <v>225</v>
      </c>
      <c r="B2" s="9" t="s">
        <v>229</v>
      </c>
      <c r="C2" s="143" t="s">
        <v>230</v>
      </c>
    </row>
    <row r="3" spans="1:15" x14ac:dyDescent="0.25">
      <c r="A3" s="83" t="s">
        <v>226</v>
      </c>
      <c r="B3" s="33">
        <v>0.52</v>
      </c>
      <c r="C3" s="145">
        <v>2.4900000000000002</v>
      </c>
    </row>
    <row r="4" spans="1:15" x14ac:dyDescent="0.25">
      <c r="A4" s="83" t="s">
        <v>227</v>
      </c>
      <c r="B4" s="33">
        <v>1.27</v>
      </c>
      <c r="C4" s="146">
        <v>0.438</v>
      </c>
    </row>
    <row r="5" spans="1:15" ht="16.5" thickBot="1" x14ac:dyDescent="0.3">
      <c r="A5" s="84" t="s">
        <v>228</v>
      </c>
      <c r="B5" s="34">
        <v>0.3</v>
      </c>
      <c r="C5" s="147">
        <v>3.41</v>
      </c>
    </row>
    <row r="6" spans="1:15" ht="16.5" thickBot="1" x14ac:dyDescent="0.3"/>
    <row r="7" spans="1:15" ht="16.5" thickBot="1" x14ac:dyDescent="0.3">
      <c r="A7" s="1" t="s">
        <v>231</v>
      </c>
      <c r="B7" s="152">
        <f>B3*C3</f>
        <v>1.2948000000000002</v>
      </c>
    </row>
    <row r="8" spans="1:15" ht="16.5" thickBot="1" x14ac:dyDescent="0.3">
      <c r="A8" s="1" t="s">
        <v>232</v>
      </c>
      <c r="B8" s="152">
        <f t="shared" ref="B8:B9" si="0">B4*C4</f>
        <v>0.55625999999999998</v>
      </c>
    </row>
    <row r="9" spans="1:15" x14ac:dyDescent="0.25">
      <c r="A9" s="1" t="s">
        <v>233</v>
      </c>
      <c r="B9" s="152">
        <f t="shared" si="0"/>
        <v>1.0229999999999999</v>
      </c>
    </row>
    <row r="11" spans="1:15" x14ac:dyDescent="0.25">
      <c r="A11" s="139" t="s">
        <v>234</v>
      </c>
    </row>
    <row r="13" spans="1:15" ht="15.95" customHeight="1" thickBot="1" x14ac:dyDescent="0.3">
      <c r="A13" s="21" t="s">
        <v>235</v>
      </c>
      <c r="D13" s="346" t="s">
        <v>240</v>
      </c>
      <c r="E13" s="346"/>
      <c r="F13" s="346"/>
      <c r="G13" s="346"/>
      <c r="H13" s="346"/>
      <c r="I13" s="346"/>
      <c r="J13" s="346"/>
      <c r="K13" s="346"/>
      <c r="L13" s="346"/>
    </row>
    <row r="14" spans="1:15" x14ac:dyDescent="0.25">
      <c r="A14" t="s">
        <v>236</v>
      </c>
      <c r="B14" s="88">
        <v>119.64</v>
      </c>
      <c r="D14" s="346"/>
      <c r="E14" s="346"/>
      <c r="F14" s="346"/>
      <c r="G14" s="346"/>
      <c r="H14" s="346"/>
      <c r="I14" s="346"/>
      <c r="J14" s="346"/>
      <c r="K14" s="346"/>
      <c r="L14" s="346"/>
    </row>
    <row r="15" spans="1:15" ht="16.5" thickBot="1" x14ac:dyDescent="0.3">
      <c r="A15" t="s">
        <v>237</v>
      </c>
      <c r="B15" s="144">
        <v>40.159999999999997</v>
      </c>
      <c r="D15" s="346"/>
      <c r="E15" s="346"/>
      <c r="F15" s="346"/>
      <c r="G15" s="346"/>
      <c r="H15" s="346"/>
      <c r="I15" s="346"/>
      <c r="J15" s="346"/>
      <c r="K15" s="346"/>
      <c r="L15" s="346"/>
    </row>
    <row r="16" spans="1:15" ht="15.6" customHeight="1" x14ac:dyDescent="0.25">
      <c r="A16" s="1" t="s">
        <v>239</v>
      </c>
      <c r="B16" s="152">
        <f>B14-B15</f>
        <v>79.48</v>
      </c>
      <c r="D16" s="347" t="s">
        <v>241</v>
      </c>
      <c r="E16" s="347"/>
      <c r="F16" s="347"/>
      <c r="G16" s="347"/>
      <c r="H16" s="347"/>
      <c r="I16" s="347"/>
      <c r="J16" s="347"/>
      <c r="K16" s="347"/>
      <c r="L16" s="347"/>
      <c r="M16" s="347"/>
      <c r="N16" s="347"/>
      <c r="O16" s="347"/>
    </row>
    <row r="17" spans="1:15" x14ac:dyDescent="0.25">
      <c r="D17" s="347"/>
      <c r="E17" s="347"/>
      <c r="F17" s="347"/>
      <c r="G17" s="347"/>
      <c r="H17" s="347"/>
      <c r="I17" s="347"/>
      <c r="J17" s="347"/>
      <c r="K17" s="347"/>
      <c r="L17" s="347"/>
      <c r="M17" s="347"/>
      <c r="N17" s="347"/>
      <c r="O17" s="347"/>
    </row>
    <row r="18" spans="1:15" x14ac:dyDescent="0.25">
      <c r="A18" t="s">
        <v>238</v>
      </c>
      <c r="E18" s="149"/>
    </row>
    <row r="20" spans="1:15" ht="16.5" thickBot="1" x14ac:dyDescent="0.3">
      <c r="A20" s="21" t="s">
        <v>242</v>
      </c>
      <c r="B20" t="s">
        <v>247</v>
      </c>
    </row>
    <row r="21" spans="1:15" x14ac:dyDescent="0.25">
      <c r="A21" s="16" t="s">
        <v>243</v>
      </c>
      <c r="B21" s="151">
        <v>3</v>
      </c>
    </row>
    <row r="22" spans="1:15" x14ac:dyDescent="0.25">
      <c r="A22" s="41" t="s">
        <v>244</v>
      </c>
      <c r="B22" s="19">
        <v>152.91</v>
      </c>
    </row>
    <row r="23" spans="1:15" x14ac:dyDescent="0.25">
      <c r="A23" s="41" t="s">
        <v>245</v>
      </c>
      <c r="B23" s="20">
        <v>53</v>
      </c>
    </row>
    <row r="24" spans="1:15" x14ac:dyDescent="0.25">
      <c r="A24" s="41" t="s">
        <v>246</v>
      </c>
      <c r="B24" s="20">
        <v>103</v>
      </c>
    </row>
    <row r="25" spans="1:15" ht="16.5" thickBot="1" x14ac:dyDescent="0.3">
      <c r="A25" s="41" t="s">
        <v>248</v>
      </c>
      <c r="B25" s="20">
        <f>B23</f>
        <v>53</v>
      </c>
    </row>
    <row r="26" spans="1:15" ht="16.5" thickBot="1" x14ac:dyDescent="0.3">
      <c r="A26" s="12" t="s">
        <v>249</v>
      </c>
      <c r="B26" s="315">
        <f>(B22/B25)-1</f>
        <v>1.8850943396226416</v>
      </c>
    </row>
    <row r="27" spans="1:15" x14ac:dyDescent="0.25">
      <c r="A27" s="148"/>
    </row>
    <row r="28" spans="1:15" x14ac:dyDescent="0.25">
      <c r="A28" s="139" t="s">
        <v>534</v>
      </c>
    </row>
    <row r="30" spans="1:15" ht="16.5" thickBot="1" x14ac:dyDescent="0.3">
      <c r="A30" s="21" t="s">
        <v>250</v>
      </c>
      <c r="D30" s="150"/>
    </row>
    <row r="31" spans="1:15" x14ac:dyDescent="0.25">
      <c r="A31" s="16" t="s">
        <v>243</v>
      </c>
      <c r="B31" s="151">
        <v>3</v>
      </c>
      <c r="D31" s="150"/>
    </row>
    <row r="32" spans="1:15" x14ac:dyDescent="0.25">
      <c r="A32" s="41" t="s">
        <v>244</v>
      </c>
      <c r="B32" s="19">
        <v>225</v>
      </c>
      <c r="D32" s="150"/>
    </row>
    <row r="33" spans="1:9" x14ac:dyDescent="0.25">
      <c r="A33" s="41" t="s">
        <v>245</v>
      </c>
      <c r="B33" s="20">
        <v>45</v>
      </c>
      <c r="D33" s="150"/>
    </row>
    <row r="34" spans="1:9" x14ac:dyDescent="0.25">
      <c r="A34" s="41" t="s">
        <v>246</v>
      </c>
      <c r="B34" s="20">
        <v>95</v>
      </c>
    </row>
    <row r="35" spans="1:9" ht="16.5" thickBot="1" x14ac:dyDescent="0.3">
      <c r="A35" s="41" t="s">
        <v>248</v>
      </c>
      <c r="B35" s="20">
        <f>B33</f>
        <v>45</v>
      </c>
    </row>
    <row r="36" spans="1:9" ht="16.5" thickBot="1" x14ac:dyDescent="0.3">
      <c r="A36" s="12" t="s">
        <v>249</v>
      </c>
      <c r="B36" s="153">
        <f>B32/B35</f>
        <v>5</v>
      </c>
    </row>
    <row r="38" spans="1:9" x14ac:dyDescent="0.25">
      <c r="A38" s="139" t="s">
        <v>251</v>
      </c>
    </row>
    <row r="39" spans="1:9" ht="16.5" thickBot="1" x14ac:dyDescent="0.3"/>
    <row r="40" spans="1:9" ht="16.5" thickBot="1" x14ac:dyDescent="0.3">
      <c r="A40" s="21" t="s">
        <v>252</v>
      </c>
      <c r="B40" s="348" t="s">
        <v>262</v>
      </c>
      <c r="C40" s="349"/>
      <c r="D40" s="350"/>
      <c r="F40" s="21" t="s">
        <v>252</v>
      </c>
      <c r="G40" s="348" t="s">
        <v>266</v>
      </c>
      <c r="H40" s="349"/>
      <c r="I40" s="350"/>
    </row>
    <row r="41" spans="1:9" x14ac:dyDescent="0.25">
      <c r="A41" s="14" t="s">
        <v>253</v>
      </c>
      <c r="B41" s="72">
        <v>18800</v>
      </c>
      <c r="C41" s="154" t="s">
        <v>150</v>
      </c>
      <c r="D41" s="72">
        <v>21300</v>
      </c>
      <c r="F41" s="14" t="s">
        <v>253</v>
      </c>
      <c r="G41" s="156">
        <f>B41-B50</f>
        <v>10385</v>
      </c>
      <c r="H41" s="154" t="s">
        <v>150</v>
      </c>
      <c r="I41" s="156">
        <f>D41</f>
        <v>21300</v>
      </c>
    </row>
    <row r="42" spans="1:9" x14ac:dyDescent="0.25">
      <c r="A42" s="3" t="s">
        <v>254</v>
      </c>
      <c r="B42" s="98">
        <v>21800</v>
      </c>
      <c r="C42" t="s">
        <v>259</v>
      </c>
      <c r="D42" s="98">
        <v>5200</v>
      </c>
      <c r="F42" s="3" t="s">
        <v>254</v>
      </c>
      <c r="G42" s="157">
        <f>B42</f>
        <v>21800</v>
      </c>
      <c r="H42" t="s">
        <v>259</v>
      </c>
      <c r="I42" s="157">
        <f>D42</f>
        <v>5200</v>
      </c>
    </row>
    <row r="43" spans="1:9" x14ac:dyDescent="0.25">
      <c r="A43" s="3" t="s">
        <v>255</v>
      </c>
      <c r="B43" s="98">
        <v>30100</v>
      </c>
      <c r="C43" t="s">
        <v>260</v>
      </c>
      <c r="D43" s="108">
        <f>SUM(D41:D42)</f>
        <v>26500</v>
      </c>
      <c r="F43" s="3" t="s">
        <v>255</v>
      </c>
      <c r="G43" s="157">
        <f>B43</f>
        <v>30100</v>
      </c>
      <c r="H43" t="s">
        <v>260</v>
      </c>
      <c r="I43" s="157">
        <f>SUM(I41:I42)</f>
        <v>26500</v>
      </c>
    </row>
    <row r="44" spans="1:9" x14ac:dyDescent="0.25">
      <c r="A44" s="3" t="s">
        <v>256</v>
      </c>
      <c r="B44" s="108">
        <f>SUM(B41:B43)</f>
        <v>70700</v>
      </c>
      <c r="C44" t="s">
        <v>92</v>
      </c>
      <c r="D44" s="98">
        <v>33500</v>
      </c>
      <c r="F44" s="3" t="s">
        <v>256</v>
      </c>
      <c r="G44" s="157">
        <f>SUM(G41:G43)</f>
        <v>62285</v>
      </c>
      <c r="H44" t="s">
        <v>92</v>
      </c>
      <c r="I44" s="157">
        <f>D44</f>
        <v>33500</v>
      </c>
    </row>
    <row r="45" spans="1:9" x14ac:dyDescent="0.25">
      <c r="A45" s="3" t="s">
        <v>257</v>
      </c>
      <c r="B45" s="98">
        <v>131000</v>
      </c>
      <c r="C45" t="s">
        <v>261</v>
      </c>
      <c r="D45" s="98">
        <v>141700</v>
      </c>
      <c r="F45" s="3" t="s">
        <v>257</v>
      </c>
      <c r="G45" s="157">
        <f>B45</f>
        <v>131000</v>
      </c>
      <c r="H45" t="s">
        <v>261</v>
      </c>
      <c r="I45" s="157">
        <f>D45-B50</f>
        <v>133285</v>
      </c>
    </row>
    <row r="46" spans="1:9" ht="16.5" thickBot="1" x14ac:dyDescent="0.3">
      <c r="A46" s="5" t="s">
        <v>258</v>
      </c>
      <c r="B46" s="116">
        <f>SUM(B44:B45)</f>
        <v>201700</v>
      </c>
      <c r="C46" s="155" t="s">
        <v>3</v>
      </c>
      <c r="D46" s="116">
        <f>SUM(D43:D45)</f>
        <v>201700</v>
      </c>
      <c r="F46" s="5" t="s">
        <v>258</v>
      </c>
      <c r="G46" s="120">
        <f>SUM(G44:G45)</f>
        <v>193285</v>
      </c>
      <c r="H46" s="155" t="s">
        <v>3</v>
      </c>
      <c r="I46" s="120">
        <f>SUM(I43:I45)</f>
        <v>193285</v>
      </c>
    </row>
    <row r="47" spans="1:9" ht="16.5" thickBot="1" x14ac:dyDescent="0.3">
      <c r="I47" s="21"/>
    </row>
    <row r="48" spans="1:9" x14ac:dyDescent="0.25">
      <c r="A48" s="16" t="s">
        <v>263</v>
      </c>
      <c r="B48" s="91">
        <v>1.53</v>
      </c>
    </row>
    <row r="49" spans="1:6" ht="16.5" thickBot="1" x14ac:dyDescent="0.3">
      <c r="A49" s="17" t="s">
        <v>264</v>
      </c>
      <c r="B49" s="10">
        <v>5500</v>
      </c>
    </row>
    <row r="50" spans="1:6" ht="16.5" thickBot="1" x14ac:dyDescent="0.3">
      <c r="A50" s="1" t="s">
        <v>265</v>
      </c>
      <c r="B50" s="106">
        <f>B48*B49</f>
        <v>8415</v>
      </c>
    </row>
    <row r="52" spans="1:6" ht="16.5" thickBot="1" x14ac:dyDescent="0.3">
      <c r="A52" s="21" t="s">
        <v>267</v>
      </c>
    </row>
    <row r="53" spans="1:6" ht="16.5" thickBot="1" x14ac:dyDescent="0.3">
      <c r="A53" s="14" t="s">
        <v>268</v>
      </c>
      <c r="B53" s="72">
        <v>1180000</v>
      </c>
      <c r="D53" t="s">
        <v>276</v>
      </c>
      <c r="E53" s="159">
        <f>E54*E55</f>
        <v>25850</v>
      </c>
    </row>
    <row r="54" spans="1:6" x14ac:dyDescent="0.25">
      <c r="A54" s="3" t="s">
        <v>269</v>
      </c>
      <c r="B54" s="75">
        <v>540000</v>
      </c>
      <c r="D54" t="s">
        <v>277</v>
      </c>
      <c r="E54" s="91">
        <f>B59</f>
        <v>11.75</v>
      </c>
      <c r="F54" t="s">
        <v>281</v>
      </c>
    </row>
    <row r="55" spans="1:6" ht="16.5" thickBot="1" x14ac:dyDescent="0.3">
      <c r="A55" s="3" t="s">
        <v>270</v>
      </c>
      <c r="B55" s="95">
        <v>11.75</v>
      </c>
      <c r="D55" t="s">
        <v>278</v>
      </c>
      <c r="E55" s="10">
        <f>B58</f>
        <v>2200</v>
      </c>
      <c r="F55" t="s">
        <v>281</v>
      </c>
    </row>
    <row r="56" spans="1:6" ht="16.5" thickBot="1" x14ac:dyDescent="0.3">
      <c r="A56" s="3" t="s">
        <v>271</v>
      </c>
      <c r="B56" s="75">
        <v>11000</v>
      </c>
    </row>
    <row r="57" spans="1:6" ht="16.5" thickBot="1" x14ac:dyDescent="0.3">
      <c r="A57" s="3" t="s">
        <v>272</v>
      </c>
      <c r="B57" s="95">
        <v>7.99</v>
      </c>
      <c r="D57" t="s">
        <v>279</v>
      </c>
      <c r="E57" s="159">
        <f>E58*E59*E60</f>
        <v>1240.8</v>
      </c>
    </row>
    <row r="58" spans="1:6" x14ac:dyDescent="0.25">
      <c r="A58" s="3" t="s">
        <v>273</v>
      </c>
      <c r="B58" s="75">
        <v>2200</v>
      </c>
      <c r="D58" t="s">
        <v>280</v>
      </c>
      <c r="E58" s="91">
        <f>B55-B57</f>
        <v>3.76</v>
      </c>
      <c r="F58" s="78" t="s">
        <v>284</v>
      </c>
    </row>
    <row r="59" spans="1:6" x14ac:dyDescent="0.25">
      <c r="A59" s="3" t="s">
        <v>274</v>
      </c>
      <c r="B59" s="95">
        <v>11.75</v>
      </c>
      <c r="D59" t="s">
        <v>278</v>
      </c>
      <c r="E59" s="75">
        <f>B58</f>
        <v>2200</v>
      </c>
      <c r="F59" t="s">
        <v>281</v>
      </c>
    </row>
    <row r="60" spans="1:6" ht="16.5" thickBot="1" x14ac:dyDescent="0.3">
      <c r="A60" s="3" t="s">
        <v>148</v>
      </c>
      <c r="B60" s="47">
        <v>0.15</v>
      </c>
      <c r="D60" t="s">
        <v>148</v>
      </c>
      <c r="E60" s="158">
        <f>B60</f>
        <v>0.15</v>
      </c>
    </row>
    <row r="61" spans="1:6" ht="16.5" thickBot="1" x14ac:dyDescent="0.3">
      <c r="A61" s="12" t="s">
        <v>275</v>
      </c>
      <c r="B61" s="106">
        <f>E53-E57</f>
        <v>24609.200000000001</v>
      </c>
    </row>
    <row r="62" spans="1:6" x14ac:dyDescent="0.25">
      <c r="A62" s="21"/>
      <c r="B62" s="21"/>
    </row>
    <row r="63" spans="1:6" x14ac:dyDescent="0.25">
      <c r="A63" s="139" t="s">
        <v>283</v>
      </c>
      <c r="B63" s="317"/>
    </row>
    <row r="64" spans="1:6" x14ac:dyDescent="0.25">
      <c r="A64" s="139" t="s">
        <v>282</v>
      </c>
      <c r="B64" s="317"/>
    </row>
    <row r="65" spans="1:7" x14ac:dyDescent="0.25">
      <c r="A65" s="139" t="s">
        <v>285</v>
      </c>
      <c r="B65" s="317"/>
    </row>
    <row r="66" spans="1:7" x14ac:dyDescent="0.25">
      <c r="A66" s="318" t="s">
        <v>286</v>
      </c>
      <c r="B66" s="139" t="str">
        <f>F58</f>
        <v>Current Share Price-Original Purchase Price</v>
      </c>
    </row>
    <row r="68" spans="1:7" ht="16.5" thickBot="1" x14ac:dyDescent="0.3">
      <c r="A68" s="21" t="s">
        <v>287</v>
      </c>
      <c r="D68" t="s">
        <v>294</v>
      </c>
    </row>
    <row r="69" spans="1:7" ht="16.5" thickBot="1" x14ac:dyDescent="0.3">
      <c r="A69" t="s">
        <v>288</v>
      </c>
      <c r="B69" s="87">
        <v>220000</v>
      </c>
      <c r="D69" t="s">
        <v>288</v>
      </c>
      <c r="E69" s="87">
        <v>620000</v>
      </c>
      <c r="F69" t="s">
        <v>297</v>
      </c>
      <c r="G69" s="22">
        <f>E76</f>
        <v>400000</v>
      </c>
    </row>
    <row r="70" spans="1:7" x14ac:dyDescent="0.25">
      <c r="A70" t="s">
        <v>289</v>
      </c>
      <c r="B70" s="102">
        <v>1380000</v>
      </c>
      <c r="D70" t="s">
        <v>289</v>
      </c>
      <c r="E70" s="102">
        <f>B70</f>
        <v>1380000</v>
      </c>
    </row>
    <row r="71" spans="1:7" ht="16.5" thickBot="1" x14ac:dyDescent="0.3">
      <c r="A71" t="s">
        <v>290</v>
      </c>
      <c r="B71" s="86">
        <v>0.10199999999999999</v>
      </c>
      <c r="D71" t="s">
        <v>290</v>
      </c>
      <c r="E71" s="86">
        <f>B71</f>
        <v>0.10199999999999999</v>
      </c>
    </row>
    <row r="72" spans="1:7" ht="16.5" thickBot="1" x14ac:dyDescent="0.3"/>
    <row r="73" spans="1:7" ht="16.5" thickBot="1" x14ac:dyDescent="0.3">
      <c r="A73" t="s">
        <v>291</v>
      </c>
      <c r="B73" s="22">
        <f>B74+(B75/(1+B71))</f>
        <v>1472268.6025408348</v>
      </c>
      <c r="C73" s="160" t="str">
        <f ca="1">_xlfn.FORMULATEXT(B73)</f>
        <v>=B74+(B75/(1+B71))</v>
      </c>
      <c r="D73" t="s">
        <v>291</v>
      </c>
      <c r="E73" s="22">
        <f>E74+(E75-E77)/(1+E71)</f>
        <v>1472268.6025408348</v>
      </c>
      <c r="F73" s="139" t="str">
        <f ca="1">_xlfn.FORMULATEXT(E73)</f>
        <v>=E74+(E75-E77)/(1+E71)</v>
      </c>
    </row>
    <row r="74" spans="1:7" x14ac:dyDescent="0.25">
      <c r="A74" t="s">
        <v>292</v>
      </c>
      <c r="B74" s="72">
        <f>B69</f>
        <v>220000</v>
      </c>
      <c r="D74" t="s">
        <v>292</v>
      </c>
      <c r="E74" s="72">
        <f>E69</f>
        <v>620000</v>
      </c>
    </row>
    <row r="75" spans="1:7" ht="16.5" thickBot="1" x14ac:dyDescent="0.3">
      <c r="A75" t="s">
        <v>293</v>
      </c>
      <c r="B75" s="73">
        <f>B70</f>
        <v>1380000</v>
      </c>
      <c r="D75" t="s">
        <v>293</v>
      </c>
      <c r="E75" s="73">
        <f>E70</f>
        <v>1380000</v>
      </c>
    </row>
    <row r="76" spans="1:7" ht="16.5" thickBot="1" x14ac:dyDescent="0.3">
      <c r="D76" t="s">
        <v>295</v>
      </c>
      <c r="E76" s="72">
        <v>400000</v>
      </c>
    </row>
    <row r="77" spans="1:7" ht="16.5" thickBot="1" x14ac:dyDescent="0.3">
      <c r="D77" t="s">
        <v>296</v>
      </c>
      <c r="E77" s="316">
        <f>E76*(1+B71)</f>
        <v>440800.00000000006</v>
      </c>
      <c r="F77" s="139" t="str">
        <f ca="1">_xlfn.FORMULATEXT(E77)</f>
        <v>=E76*(1+B71)</v>
      </c>
    </row>
  </sheetData>
  <mergeCells count="4">
    <mergeCell ref="D13:L15"/>
    <mergeCell ref="D16:O17"/>
    <mergeCell ref="B40:D40"/>
    <mergeCell ref="G40:I4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21DA-634A-42DB-BAC3-91B672DD5969}">
  <dimension ref="A1:N87"/>
  <sheetViews>
    <sheetView topLeftCell="A67" zoomScale="65" zoomScaleNormal="40" workbookViewId="0">
      <selection activeCell="F8" sqref="F8"/>
    </sheetView>
  </sheetViews>
  <sheetFormatPr defaultRowHeight="15.75" x14ac:dyDescent="0.25"/>
  <cols>
    <col min="1" max="1" width="34" customWidth="1"/>
    <col min="2" max="2" width="30.875" customWidth="1"/>
    <col min="3" max="3" width="14" customWidth="1"/>
    <col min="4" max="4" width="27.5" customWidth="1"/>
    <col min="5" max="5" width="14.5" bestFit="1" customWidth="1"/>
    <col min="6" max="6" width="22.625" bestFit="1" customWidth="1"/>
    <col min="7" max="7" width="19.125" customWidth="1"/>
    <col min="8" max="8" width="25.25" bestFit="1" customWidth="1"/>
    <col min="9" max="9" width="16.25" customWidth="1"/>
    <col min="10" max="11" width="15" customWidth="1"/>
    <col min="12" max="12" width="13.125" bestFit="1" customWidth="1"/>
    <col min="13" max="13" width="16.625" customWidth="1"/>
    <col min="14" max="14" width="24.125" bestFit="1" customWidth="1"/>
  </cols>
  <sheetData>
    <row r="1" spans="1:12" ht="16.5" thickBot="1" x14ac:dyDescent="0.3">
      <c r="A1" s="21" t="s">
        <v>298</v>
      </c>
      <c r="E1" s="322" t="s">
        <v>311</v>
      </c>
      <c r="F1" s="323"/>
      <c r="H1" s="109" t="s">
        <v>319</v>
      </c>
      <c r="K1" t="s">
        <v>318</v>
      </c>
    </row>
    <row r="2" spans="1:12" ht="16.5" thickBot="1" x14ac:dyDescent="0.3">
      <c r="A2" s="9" t="s">
        <v>262</v>
      </c>
      <c r="B2" s="9" t="s">
        <v>314</v>
      </c>
      <c r="C2" s="143" t="s">
        <v>303</v>
      </c>
      <c r="E2" s="9" t="s">
        <v>206</v>
      </c>
      <c r="F2" s="98">
        <v>11990000</v>
      </c>
      <c r="H2" s="9" t="s">
        <v>262</v>
      </c>
      <c r="I2" s="9" t="s">
        <v>315</v>
      </c>
    </row>
    <row r="3" spans="1:12" ht="16.5" thickBot="1" x14ac:dyDescent="0.3">
      <c r="A3" s="41" t="s">
        <v>256</v>
      </c>
      <c r="B3" s="98">
        <v>3200000</v>
      </c>
      <c r="C3" s="166">
        <f>B3/$F$2</f>
        <v>0.26688907422852376</v>
      </c>
      <c r="E3" s="84" t="s">
        <v>313</v>
      </c>
      <c r="F3" s="73">
        <v>1150000</v>
      </c>
      <c r="H3" s="41" t="s">
        <v>256</v>
      </c>
      <c r="I3" s="157">
        <f>C3*$F$5</f>
        <v>3885904.9207673059</v>
      </c>
      <c r="K3" s="16" t="s">
        <v>258</v>
      </c>
      <c r="L3" s="22">
        <f>I5</f>
        <v>11657714.762301918</v>
      </c>
    </row>
    <row r="4" spans="1:12" ht="16.5" thickBot="1" x14ac:dyDescent="0.3">
      <c r="A4" s="41" t="s">
        <v>304</v>
      </c>
      <c r="B4" s="98">
        <v>6400000</v>
      </c>
      <c r="C4" s="166">
        <f>B4/$F$2</f>
        <v>0.53377814845704752</v>
      </c>
      <c r="E4" s="322" t="s">
        <v>312</v>
      </c>
      <c r="F4" s="323"/>
      <c r="H4" s="41" t="s">
        <v>304</v>
      </c>
      <c r="I4" s="157">
        <f>C4*$F$5</f>
        <v>7771809.8415346118</v>
      </c>
      <c r="K4" s="41" t="s">
        <v>322</v>
      </c>
      <c r="L4" s="167">
        <f>I9</f>
        <v>5178732.2768974146</v>
      </c>
    </row>
    <row r="5" spans="1:12" ht="16.5" thickBot="1" x14ac:dyDescent="0.3">
      <c r="A5" s="164" t="s">
        <v>3</v>
      </c>
      <c r="B5" s="108">
        <f>SUM(B3:B4)</f>
        <v>9600000</v>
      </c>
      <c r="C5" s="166">
        <f>SUM(C3:C4)</f>
        <v>0.80066722268557133</v>
      </c>
      <c r="E5" s="9" t="s">
        <v>206</v>
      </c>
      <c r="F5" s="98">
        <v>14560000</v>
      </c>
      <c r="H5" s="164" t="s">
        <v>3</v>
      </c>
      <c r="I5" s="157">
        <f>SUM(I3:I4)</f>
        <v>11657714.762301918</v>
      </c>
      <c r="K5" s="17" t="s">
        <v>323</v>
      </c>
      <c r="L5" s="116">
        <f>I13</f>
        <v>7180000</v>
      </c>
    </row>
    <row r="6" spans="1:12" ht="16.5" thickBot="1" x14ac:dyDescent="0.3">
      <c r="A6" s="41" t="s">
        <v>305</v>
      </c>
      <c r="B6" s="41"/>
      <c r="C6" s="4"/>
      <c r="E6" s="84" t="s">
        <v>313</v>
      </c>
      <c r="F6" s="73">
        <v>2180000</v>
      </c>
      <c r="H6" s="41" t="s">
        <v>305</v>
      </c>
      <c r="I6" s="41"/>
      <c r="K6" s="11" t="s">
        <v>324</v>
      </c>
      <c r="L6" s="22">
        <f>L3-L4-L5</f>
        <v>-701017.51459549647</v>
      </c>
    </row>
    <row r="7" spans="1:12" ht="16.5" thickBot="1" x14ac:dyDescent="0.3">
      <c r="A7" s="41" t="s">
        <v>150</v>
      </c>
      <c r="B7" s="98">
        <v>2700000</v>
      </c>
      <c r="C7" s="166">
        <f t="shared" ref="C7:C8" si="0">B7/$F$2</f>
        <v>0.22518765638031693</v>
      </c>
      <c r="H7" s="41" t="s">
        <v>150</v>
      </c>
      <c r="I7" s="157">
        <f>C7*$F$5</f>
        <v>3278732.2768974146</v>
      </c>
    </row>
    <row r="8" spans="1:12" ht="16.5" thickBot="1" x14ac:dyDescent="0.3">
      <c r="A8" s="41" t="s">
        <v>92</v>
      </c>
      <c r="B8" s="98">
        <v>1900000</v>
      </c>
      <c r="C8" s="166">
        <f t="shared" si="0"/>
        <v>0.15846538782318598</v>
      </c>
      <c r="E8" s="9" t="s">
        <v>316</v>
      </c>
      <c r="F8" s="22">
        <f>B12+F6</f>
        <v>3880000</v>
      </c>
      <c r="H8" s="41" t="s">
        <v>92</v>
      </c>
      <c r="I8" s="157">
        <f>B8</f>
        <v>1900000</v>
      </c>
      <c r="K8" s="139" t="s">
        <v>321</v>
      </c>
    </row>
    <row r="9" spans="1:12" x14ac:dyDescent="0.25">
      <c r="A9" s="41" t="s">
        <v>306</v>
      </c>
      <c r="B9" s="108">
        <f>SUM(B7:B8)</f>
        <v>4600000</v>
      </c>
      <c r="C9" s="166">
        <f>SUM(C7:C8)</f>
        <v>0.38365304420350288</v>
      </c>
      <c r="H9" s="41" t="s">
        <v>306</v>
      </c>
      <c r="I9" s="157">
        <f>I7+I8</f>
        <v>5178732.2768974146</v>
      </c>
    </row>
    <row r="10" spans="1:12" x14ac:dyDescent="0.25">
      <c r="A10" s="41" t="s">
        <v>307</v>
      </c>
      <c r="B10" s="98">
        <v>1200000</v>
      </c>
      <c r="C10" s="166">
        <f t="shared" ref="C10:C14" si="1">B10/$F$2</f>
        <v>0.10008340283569642</v>
      </c>
      <c r="H10" s="41" t="s">
        <v>307</v>
      </c>
      <c r="I10" s="157">
        <f>B10</f>
        <v>1200000</v>
      </c>
    </row>
    <row r="11" spans="1:12" x14ac:dyDescent="0.25">
      <c r="A11" s="41" t="s">
        <v>308</v>
      </c>
      <c r="B11" s="98">
        <v>2100000</v>
      </c>
      <c r="C11" s="166">
        <f t="shared" si="1"/>
        <v>0.17514595496246874</v>
      </c>
      <c r="H11" s="41" t="s">
        <v>308</v>
      </c>
      <c r="I11" s="157">
        <f>B11</f>
        <v>2100000</v>
      </c>
    </row>
    <row r="12" spans="1:12" x14ac:dyDescent="0.25">
      <c r="A12" s="41" t="s">
        <v>309</v>
      </c>
      <c r="B12" s="98">
        <v>1700000</v>
      </c>
      <c r="C12" s="166">
        <f t="shared" si="1"/>
        <v>0.14178482068390325</v>
      </c>
      <c r="H12" s="41" t="s">
        <v>309</v>
      </c>
      <c r="I12" s="157">
        <f>F8</f>
        <v>3880000</v>
      </c>
    </row>
    <row r="13" spans="1:12" x14ac:dyDescent="0.25">
      <c r="A13" s="41" t="s">
        <v>310</v>
      </c>
      <c r="B13" s="108">
        <f>SUM(B10:B12)</f>
        <v>5000000</v>
      </c>
      <c r="C13" s="166">
        <f>SUM(C10:C12)</f>
        <v>0.4170141784820684</v>
      </c>
      <c r="F13" s="161"/>
      <c r="H13" s="41" t="s">
        <v>310</v>
      </c>
      <c r="I13" s="157">
        <f>SUM(I10:I12)</f>
        <v>7180000</v>
      </c>
    </row>
    <row r="14" spans="1:12" ht="16.5" thickBot="1" x14ac:dyDescent="0.3">
      <c r="A14" s="165" t="s">
        <v>152</v>
      </c>
      <c r="B14" s="116">
        <f>B9+B13</f>
        <v>9600000</v>
      </c>
      <c r="C14" s="166">
        <f t="shared" si="1"/>
        <v>0.80066722268557133</v>
      </c>
      <c r="H14" s="165" t="s">
        <v>152</v>
      </c>
      <c r="I14" s="120">
        <f>I9+I13</f>
        <v>12358732.276897416</v>
      </c>
    </row>
    <row r="15" spans="1:12" ht="15.6" customHeight="1" x14ac:dyDescent="0.25">
      <c r="A15" s="139"/>
      <c r="H15" s="360" t="s">
        <v>317</v>
      </c>
      <c r="I15" s="361"/>
      <c r="K15" s="139"/>
    </row>
    <row r="16" spans="1:12" x14ac:dyDescent="0.25">
      <c r="A16" s="139" t="s">
        <v>320</v>
      </c>
      <c r="H16" s="362"/>
      <c r="I16" s="363"/>
    </row>
    <row r="17" spans="1:14" x14ac:dyDescent="0.25">
      <c r="A17" s="21"/>
      <c r="H17" s="362"/>
      <c r="I17" s="363"/>
    </row>
    <row r="18" spans="1:14" x14ac:dyDescent="0.25">
      <c r="H18" s="362"/>
      <c r="I18" s="363"/>
    </row>
    <row r="19" spans="1:14" x14ac:dyDescent="0.25">
      <c r="H19" s="362"/>
      <c r="I19" s="363"/>
    </row>
    <row r="20" spans="1:14" ht="16.5" thickBot="1" x14ac:dyDescent="0.3">
      <c r="H20" s="364"/>
      <c r="I20" s="365"/>
    </row>
    <row r="21" spans="1:14" ht="16.5" thickBot="1" x14ac:dyDescent="0.3"/>
    <row r="22" spans="1:14" ht="16.5" thickBot="1" x14ac:dyDescent="0.3">
      <c r="A22" s="21" t="s">
        <v>299</v>
      </c>
      <c r="C22" s="175" t="s">
        <v>331</v>
      </c>
      <c r="D22" s="354" t="s">
        <v>325</v>
      </c>
      <c r="E22" s="370"/>
      <c r="G22" s="322" t="s">
        <v>338</v>
      </c>
      <c r="H22" s="323"/>
      <c r="I22" s="9" t="s">
        <v>331</v>
      </c>
      <c r="K22" t="s">
        <v>339</v>
      </c>
      <c r="N22" t="s">
        <v>342</v>
      </c>
    </row>
    <row r="23" spans="1:14" ht="15.95" customHeight="1" thickBot="1" x14ac:dyDescent="0.3">
      <c r="A23" s="16" t="s">
        <v>256</v>
      </c>
      <c r="B23" s="169">
        <v>5100000</v>
      </c>
      <c r="C23" s="181">
        <f>B23/$E$27</f>
        <v>0.33333333333333331</v>
      </c>
      <c r="D23" s="184" t="s">
        <v>334</v>
      </c>
      <c r="E23" s="183">
        <v>476000</v>
      </c>
      <c r="G23" s="16" t="s">
        <v>256</v>
      </c>
      <c r="H23" s="190">
        <f>$E$24*C23</f>
        <v>6700000</v>
      </c>
      <c r="I23" s="186">
        <f>H23/$E$24</f>
        <v>0.33333333333333331</v>
      </c>
      <c r="K23" s="16" t="s">
        <v>258</v>
      </c>
      <c r="L23" s="190">
        <f>H25</f>
        <v>11900000</v>
      </c>
      <c r="N23" t="s">
        <v>343</v>
      </c>
    </row>
    <row r="24" spans="1:14" x14ac:dyDescent="0.25">
      <c r="A24" s="173" t="s">
        <v>304</v>
      </c>
      <c r="B24" s="20">
        <v>5100000</v>
      </c>
      <c r="C24" s="182">
        <f>B24/$E$27</f>
        <v>0.33333333333333331</v>
      </c>
      <c r="D24" s="41" t="s">
        <v>206</v>
      </c>
      <c r="E24" s="20">
        <v>20100000</v>
      </c>
      <c r="G24" s="173" t="s">
        <v>304</v>
      </c>
      <c r="H24" s="190">
        <f>B24+E25</f>
        <v>5200000</v>
      </c>
      <c r="I24" s="187">
        <f t="shared" ref="I24:I33" si="2">H24/$E$24</f>
        <v>0.25870646766169153</v>
      </c>
      <c r="K24" s="41" t="s">
        <v>340</v>
      </c>
      <c r="L24" s="167">
        <f>H29</f>
        <v>4201960.7843137253</v>
      </c>
    </row>
    <row r="25" spans="1:14" ht="16.5" thickBot="1" x14ac:dyDescent="0.3">
      <c r="A25" s="173" t="s">
        <v>152</v>
      </c>
      <c r="B25" s="107">
        <f>SUM(B23:B24)</f>
        <v>10200000</v>
      </c>
      <c r="C25" s="182">
        <f>SUM(C23:C24)</f>
        <v>0.66666666666666663</v>
      </c>
      <c r="D25" s="17" t="s">
        <v>332</v>
      </c>
      <c r="E25" s="18">
        <v>100000</v>
      </c>
      <c r="G25" s="174" t="s">
        <v>152</v>
      </c>
      <c r="H25" s="168">
        <f>SUM(H23:H24)</f>
        <v>11900000</v>
      </c>
      <c r="I25" s="187">
        <f t="shared" si="2"/>
        <v>0.59203980099502485</v>
      </c>
      <c r="K25" s="41" t="s">
        <v>341</v>
      </c>
      <c r="L25" s="116">
        <f>H32</f>
        <v>6948600</v>
      </c>
    </row>
    <row r="26" spans="1:14" ht="16.5" thickBot="1" x14ac:dyDescent="0.3">
      <c r="A26" s="173" t="s">
        <v>327</v>
      </c>
      <c r="B26" s="171">
        <v>4.5999999999999999E-2</v>
      </c>
      <c r="C26" s="176"/>
      <c r="D26" s="366" t="s">
        <v>326</v>
      </c>
      <c r="E26" s="367"/>
      <c r="G26" s="170"/>
      <c r="H26" s="179"/>
      <c r="I26" s="187"/>
      <c r="K26" s="165" t="s">
        <v>324</v>
      </c>
      <c r="L26" s="168">
        <f>L23-L24-L25</f>
        <v>749439.21568627469</v>
      </c>
    </row>
    <row r="27" spans="1:14" ht="16.5" thickBot="1" x14ac:dyDescent="0.3">
      <c r="A27" s="173" t="s">
        <v>150</v>
      </c>
      <c r="B27" s="20">
        <v>1600000</v>
      </c>
      <c r="C27" s="176">
        <f t="shared" ref="C27:C28" si="3">B27/$E$27</f>
        <v>0.10457516339869281</v>
      </c>
      <c r="D27" s="16" t="s">
        <v>206</v>
      </c>
      <c r="E27" s="20">
        <v>15300000</v>
      </c>
      <c r="G27" s="180" t="s">
        <v>150</v>
      </c>
      <c r="H27" s="190">
        <f>$E$24*C27</f>
        <v>2101960.7843137258</v>
      </c>
      <c r="I27" s="187">
        <f t="shared" si="2"/>
        <v>0.10457516339869283</v>
      </c>
    </row>
    <row r="28" spans="1:14" ht="16.5" thickBot="1" x14ac:dyDescent="0.3">
      <c r="A28" s="173" t="s">
        <v>92</v>
      </c>
      <c r="B28" s="20">
        <v>2100000</v>
      </c>
      <c r="C28" s="176">
        <f t="shared" si="3"/>
        <v>0.13725490196078433</v>
      </c>
      <c r="D28" s="17" t="s">
        <v>68</v>
      </c>
      <c r="E28" s="178">
        <f>E27*B26</f>
        <v>703800</v>
      </c>
      <c r="G28" s="173" t="s">
        <v>92</v>
      </c>
      <c r="H28" s="190">
        <f>B28</f>
        <v>2100000</v>
      </c>
      <c r="I28" s="187">
        <f t="shared" si="2"/>
        <v>0.1044776119402985</v>
      </c>
      <c r="L28" s="42"/>
    </row>
    <row r="29" spans="1:14" ht="16.5" thickBot="1" x14ac:dyDescent="0.3">
      <c r="A29" s="173" t="s">
        <v>328</v>
      </c>
      <c r="B29" s="107">
        <f>SUM(B27:B28)</f>
        <v>3700000</v>
      </c>
      <c r="C29" s="176">
        <f>SUM(C27:C28)</f>
        <v>0.24183006535947715</v>
      </c>
      <c r="D29" s="322" t="s">
        <v>333</v>
      </c>
      <c r="E29" s="323"/>
      <c r="G29" s="173" t="s">
        <v>328</v>
      </c>
      <c r="H29" s="191">
        <f>SUM(H27:H28)</f>
        <v>4201960.7843137253</v>
      </c>
      <c r="I29" s="187">
        <f t="shared" si="2"/>
        <v>0.2090527753389913</v>
      </c>
    </row>
    <row r="30" spans="1:14" ht="16.5" thickBot="1" x14ac:dyDescent="0.3">
      <c r="A30" s="173" t="s">
        <v>329</v>
      </c>
      <c r="B30" s="20">
        <v>3900000</v>
      </c>
      <c r="C30" s="176">
        <f>B30/$E$27</f>
        <v>0.25490196078431371</v>
      </c>
      <c r="D30" s="368">
        <f>B30+E31-E23</f>
        <v>4348600</v>
      </c>
      <c r="E30" s="369"/>
      <c r="G30" s="173" t="s">
        <v>336</v>
      </c>
      <c r="H30" s="191">
        <f>D30</f>
        <v>4348600</v>
      </c>
      <c r="I30" s="187">
        <f t="shared" si="2"/>
        <v>0.21634825870646765</v>
      </c>
    </row>
    <row r="31" spans="1:14" ht="16.5" thickBot="1" x14ac:dyDescent="0.3">
      <c r="A31" s="173" t="s">
        <v>97</v>
      </c>
      <c r="B31" s="107">
        <f>B33-B30</f>
        <v>2600000</v>
      </c>
      <c r="C31" s="176">
        <f>B31/$E$27</f>
        <v>0.16993464052287582</v>
      </c>
      <c r="D31" s="9" t="s">
        <v>337</v>
      </c>
      <c r="E31" s="185">
        <f>B26*E24</f>
        <v>924600</v>
      </c>
      <c r="G31" s="173" t="s">
        <v>308</v>
      </c>
      <c r="H31" s="191">
        <f>B31</f>
        <v>2600000</v>
      </c>
      <c r="I31" s="187">
        <f t="shared" si="2"/>
        <v>0.12935323383084577</v>
      </c>
    </row>
    <row r="32" spans="1:14" ht="16.5" thickBot="1" x14ac:dyDescent="0.3">
      <c r="A32" s="173"/>
      <c r="B32" s="107"/>
      <c r="C32" s="176"/>
      <c r="G32" s="174" t="s">
        <v>330</v>
      </c>
      <c r="H32" s="191">
        <f>SUM(H30:H31)</f>
        <v>6948600</v>
      </c>
      <c r="I32" s="187">
        <f t="shared" si="2"/>
        <v>0.34570149253731342</v>
      </c>
    </row>
    <row r="33" spans="1:10" ht="16.5" thickBot="1" x14ac:dyDescent="0.3">
      <c r="A33" s="174" t="s">
        <v>330</v>
      </c>
      <c r="B33" s="18">
        <v>6500000</v>
      </c>
      <c r="C33" s="177">
        <f>SUM(C30:C31)</f>
        <v>0.42483660130718953</v>
      </c>
      <c r="G33" s="188" t="s">
        <v>335</v>
      </c>
      <c r="H33" s="168">
        <f>H32+H29</f>
        <v>11150560.784313725</v>
      </c>
      <c r="I33" s="189">
        <f t="shared" si="2"/>
        <v>0.55475426787630477</v>
      </c>
    </row>
    <row r="34" spans="1:10" ht="16.5" thickBot="1" x14ac:dyDescent="0.3">
      <c r="A34" s="21"/>
      <c r="H34" s="42"/>
    </row>
    <row r="35" spans="1:10" ht="16.5" thickBot="1" x14ac:dyDescent="0.3">
      <c r="A35" s="21" t="s">
        <v>300</v>
      </c>
      <c r="G35" s="322" t="s">
        <v>359</v>
      </c>
      <c r="H35" s="359"/>
      <c r="I35" s="359"/>
      <c r="J35" s="323"/>
    </row>
    <row r="36" spans="1:10" ht="16.5" thickBot="1" x14ac:dyDescent="0.3">
      <c r="A36" s="357" t="s">
        <v>344</v>
      </c>
      <c r="B36" s="358"/>
      <c r="D36" s="14" t="s">
        <v>350</v>
      </c>
      <c r="E36" s="156">
        <f>B43</f>
        <v>2820000</v>
      </c>
      <c r="G36" s="14" t="s">
        <v>360</v>
      </c>
      <c r="H36" s="156">
        <f>H40-H39-H38-H37</f>
        <v>466347.95117438119</v>
      </c>
      <c r="I36" s="154" t="s">
        <v>260</v>
      </c>
      <c r="J36" s="156">
        <f>E41</f>
        <v>663139.32980599639</v>
      </c>
    </row>
    <row r="37" spans="1:10" x14ac:dyDescent="0.25">
      <c r="A37" s="192" t="s">
        <v>345</v>
      </c>
      <c r="B37" s="199">
        <v>1.8</v>
      </c>
      <c r="D37" s="3" t="s">
        <v>352</v>
      </c>
      <c r="E37" s="157">
        <f>B42/B37</f>
        <v>2088888.8888888888</v>
      </c>
      <c r="G37" s="3" t="s">
        <v>254</v>
      </c>
      <c r="H37" s="157">
        <f>E39</f>
        <v>96832.876712328769</v>
      </c>
      <c r="I37" t="s">
        <v>92</v>
      </c>
      <c r="J37" s="157">
        <f>J38-J36</f>
        <v>464860.67019400361</v>
      </c>
    </row>
    <row r="38" spans="1:10" x14ac:dyDescent="0.25">
      <c r="A38" s="3" t="s">
        <v>346</v>
      </c>
      <c r="B38" s="75">
        <v>9.4</v>
      </c>
      <c r="D38" s="3" t="s">
        <v>304</v>
      </c>
      <c r="E38" s="193">
        <f>B42/B39</f>
        <v>696296.29629629629</v>
      </c>
      <c r="G38" s="3" t="s">
        <v>361</v>
      </c>
      <c r="H38" s="157">
        <f>E40</f>
        <v>829411.76470588241</v>
      </c>
      <c r="I38" t="s">
        <v>306</v>
      </c>
      <c r="J38" s="157">
        <f>E42</f>
        <v>1128000</v>
      </c>
    </row>
    <row r="39" spans="1:10" ht="16.5" thickBot="1" x14ac:dyDescent="0.3">
      <c r="A39" s="170" t="s">
        <v>347</v>
      </c>
      <c r="B39" s="75">
        <v>5.4</v>
      </c>
      <c r="D39" s="3" t="s">
        <v>254</v>
      </c>
      <c r="E39" s="157">
        <f>(B42/365)*B38</f>
        <v>96832.876712328769</v>
      </c>
      <c r="G39" s="3" t="s">
        <v>304</v>
      </c>
      <c r="H39" s="157">
        <f>E38</f>
        <v>696296.29629629629</v>
      </c>
      <c r="I39" t="s">
        <v>97</v>
      </c>
      <c r="J39" s="157">
        <f>J40-J38</f>
        <v>960888.88888888876</v>
      </c>
    </row>
    <row r="40" spans="1:10" ht="16.5" thickBot="1" x14ac:dyDescent="0.3">
      <c r="A40" s="170" t="s">
        <v>348</v>
      </c>
      <c r="B40" s="75">
        <v>3.4</v>
      </c>
      <c r="D40" s="3" t="s">
        <v>255</v>
      </c>
      <c r="E40" s="157">
        <f>(B43/B40)</f>
        <v>829411.76470588241</v>
      </c>
      <c r="G40" s="12" t="s">
        <v>3</v>
      </c>
      <c r="H40" s="120">
        <f>E37</f>
        <v>2088888.8888888888</v>
      </c>
      <c r="I40" s="12" t="s">
        <v>3</v>
      </c>
      <c r="J40" s="120">
        <f>H40</f>
        <v>2088888.8888888888</v>
      </c>
    </row>
    <row r="41" spans="1:10" x14ac:dyDescent="0.25">
      <c r="A41" s="170" t="s">
        <v>349</v>
      </c>
      <c r="B41" s="75">
        <v>2.1</v>
      </c>
      <c r="D41" s="3" t="s">
        <v>260</v>
      </c>
      <c r="E41" s="193">
        <f>(E37-E38)/B41</f>
        <v>663139.32980599639</v>
      </c>
    </row>
    <row r="42" spans="1:10" ht="16.5" thickBot="1" x14ac:dyDescent="0.3">
      <c r="A42" s="170" t="s">
        <v>206</v>
      </c>
      <c r="B42" s="98">
        <v>3760000</v>
      </c>
      <c r="D42" s="5" t="s">
        <v>340</v>
      </c>
      <c r="E42" s="120">
        <f>E37*B45</f>
        <v>1128000</v>
      </c>
    </row>
    <row r="43" spans="1:10" x14ac:dyDescent="0.25">
      <c r="A43" s="170" t="s">
        <v>350</v>
      </c>
      <c r="B43" s="200">
        <f>B42*B44</f>
        <v>2820000</v>
      </c>
    </row>
    <row r="44" spans="1:10" x14ac:dyDescent="0.25">
      <c r="A44" s="170" t="s">
        <v>351</v>
      </c>
      <c r="B44" s="47">
        <v>0.75</v>
      </c>
    </row>
    <row r="45" spans="1:10" ht="16.5" thickBot="1" x14ac:dyDescent="0.3">
      <c r="A45" s="172" t="s">
        <v>154</v>
      </c>
      <c r="B45" s="48">
        <v>0.54</v>
      </c>
    </row>
    <row r="46" spans="1:10" x14ac:dyDescent="0.25">
      <c r="A46" s="140" t="s">
        <v>353</v>
      </c>
    </row>
    <row r="47" spans="1:10" x14ac:dyDescent="0.25">
      <c r="A47" s="140" t="s">
        <v>354</v>
      </c>
    </row>
    <row r="48" spans="1:10" x14ac:dyDescent="0.25">
      <c r="A48" s="140" t="s">
        <v>355</v>
      </c>
    </row>
    <row r="49" spans="1:11" x14ac:dyDescent="0.25">
      <c r="A49" s="140" t="s">
        <v>358</v>
      </c>
    </row>
    <row r="50" spans="1:11" x14ac:dyDescent="0.25">
      <c r="A50" s="140" t="s">
        <v>356</v>
      </c>
    </row>
    <row r="51" spans="1:11" x14ac:dyDescent="0.25">
      <c r="A51" s="140" t="s">
        <v>159</v>
      </c>
    </row>
    <row r="52" spans="1:11" x14ac:dyDescent="0.25">
      <c r="A52" s="140" t="s">
        <v>357</v>
      </c>
    </row>
    <row r="54" spans="1:11" ht="16.5" thickBot="1" x14ac:dyDescent="0.3">
      <c r="A54" s="21" t="s">
        <v>301</v>
      </c>
    </row>
    <row r="55" spans="1:11" ht="16.5" thickBot="1" x14ac:dyDescent="0.3">
      <c r="A55" s="197" t="s">
        <v>364</v>
      </c>
      <c r="B55" s="195">
        <v>0.1</v>
      </c>
      <c r="C55" s="195">
        <v>0.2</v>
      </c>
      <c r="D55" s="196">
        <v>0.4</v>
      </c>
      <c r="F55" t="s">
        <v>365</v>
      </c>
    </row>
    <row r="56" spans="1:11" ht="15.6" customHeight="1" x14ac:dyDescent="0.25">
      <c r="A56" s="198" t="s">
        <v>258</v>
      </c>
      <c r="B56" s="162">
        <v>32910000</v>
      </c>
      <c r="C56" s="162">
        <v>36010000</v>
      </c>
      <c r="D56" s="20">
        <v>41990000</v>
      </c>
      <c r="F56" s="321" t="s">
        <v>366</v>
      </c>
      <c r="G56" s="321"/>
      <c r="H56" s="321"/>
      <c r="I56" s="321"/>
      <c r="J56" s="321"/>
      <c r="K56" s="321"/>
    </row>
    <row r="57" spans="1:11" x14ac:dyDescent="0.25">
      <c r="A57" s="164" t="s">
        <v>362</v>
      </c>
      <c r="B57" s="162">
        <v>12520000</v>
      </c>
      <c r="C57" s="162">
        <v>12920000</v>
      </c>
      <c r="D57" s="20">
        <v>13840000</v>
      </c>
      <c r="F57" s="321"/>
      <c r="G57" s="321"/>
      <c r="H57" s="321"/>
      <c r="I57" s="321"/>
      <c r="J57" s="321"/>
      <c r="K57" s="321"/>
    </row>
    <row r="58" spans="1:11" x14ac:dyDescent="0.25">
      <c r="A58" s="164" t="s">
        <v>310</v>
      </c>
      <c r="B58" s="162">
        <v>18440000</v>
      </c>
      <c r="C58" s="162">
        <v>18590000</v>
      </c>
      <c r="D58" s="20">
        <v>18710000</v>
      </c>
      <c r="F58" s="321"/>
      <c r="G58" s="321"/>
      <c r="H58" s="321"/>
      <c r="I58" s="321"/>
      <c r="J58" s="321"/>
      <c r="K58" s="321"/>
    </row>
    <row r="59" spans="1:11" x14ac:dyDescent="0.25">
      <c r="A59" s="164" t="s">
        <v>363</v>
      </c>
      <c r="B59" s="163">
        <f>SUM(B57:B58)</f>
        <v>30960000</v>
      </c>
      <c r="C59" s="163">
        <f t="shared" ref="C59:D59" si="4">SUM(C57:C58)</f>
        <v>31510000</v>
      </c>
      <c r="D59" s="107">
        <f t="shared" si="4"/>
        <v>32550000</v>
      </c>
      <c r="F59" s="321"/>
      <c r="G59" s="321"/>
      <c r="H59" s="321"/>
      <c r="I59" s="321"/>
      <c r="J59" s="321"/>
      <c r="K59" s="321"/>
    </row>
    <row r="60" spans="1:11" ht="16.5" thickBot="1" x14ac:dyDescent="0.3">
      <c r="A60" s="165" t="s">
        <v>324</v>
      </c>
      <c r="B60" s="194">
        <f>B56-B59</f>
        <v>1950000</v>
      </c>
      <c r="C60" s="194">
        <f t="shared" ref="C60:D60" si="5">C56-C59</f>
        <v>4500000</v>
      </c>
      <c r="D60" s="168">
        <f t="shared" si="5"/>
        <v>9440000</v>
      </c>
      <c r="F60" s="321"/>
      <c r="G60" s="321"/>
      <c r="H60" s="321"/>
      <c r="I60" s="321"/>
      <c r="J60" s="321"/>
      <c r="K60" s="321"/>
    </row>
    <row r="61" spans="1:11" x14ac:dyDescent="0.25">
      <c r="F61" s="321"/>
      <c r="G61" s="321"/>
      <c r="H61" s="321"/>
      <c r="I61" s="321"/>
      <c r="J61" s="321"/>
      <c r="K61" s="321"/>
    </row>
    <row r="62" spans="1:11" x14ac:dyDescent="0.25">
      <c r="F62" s="321"/>
      <c r="G62" s="321"/>
      <c r="H62" s="321"/>
      <c r="I62" s="321"/>
      <c r="J62" s="321"/>
      <c r="K62" s="321"/>
    </row>
    <row r="63" spans="1:11" x14ac:dyDescent="0.25">
      <c r="F63" s="321"/>
      <c r="G63" s="321"/>
      <c r="H63" s="321"/>
      <c r="I63" s="321"/>
      <c r="J63" s="321"/>
      <c r="K63" s="321"/>
    </row>
    <row r="64" spans="1:11" ht="16.5" thickBot="1" x14ac:dyDescent="0.3">
      <c r="A64" s="21"/>
    </row>
    <row r="65" spans="1:14" ht="16.5" thickBot="1" x14ac:dyDescent="0.3">
      <c r="A65" s="21" t="s">
        <v>302</v>
      </c>
      <c r="B65" s="24" t="s">
        <v>415</v>
      </c>
      <c r="D65" s="66" t="s">
        <v>375</v>
      </c>
      <c r="E65" s="205" t="s">
        <v>376</v>
      </c>
      <c r="F65" s="205" t="s">
        <v>377</v>
      </c>
      <c r="G65" s="219" t="s">
        <v>378</v>
      </c>
      <c r="H65" s="219" t="s">
        <v>403</v>
      </c>
      <c r="I65" s="219" t="s">
        <v>369</v>
      </c>
      <c r="J65" s="219" t="s">
        <v>370</v>
      </c>
      <c r="K65" s="219" t="s">
        <v>404</v>
      </c>
      <c r="L65" s="219" t="s">
        <v>372</v>
      </c>
      <c r="M65" s="205" t="s">
        <v>373</v>
      </c>
      <c r="N65" s="205" t="s">
        <v>374</v>
      </c>
    </row>
    <row r="66" spans="1:14" ht="16.5" thickBot="1" x14ac:dyDescent="0.3">
      <c r="A66" s="184" t="s">
        <v>367</v>
      </c>
      <c r="B66" s="169">
        <v>90900</v>
      </c>
      <c r="D66" s="71" t="s">
        <v>206</v>
      </c>
      <c r="E66" s="72">
        <v>219800</v>
      </c>
      <c r="F66" s="72">
        <v>175200</v>
      </c>
      <c r="G66" s="167">
        <f>B66</f>
        <v>90900</v>
      </c>
      <c r="H66" s="212">
        <f>$B67</f>
        <v>119300</v>
      </c>
      <c r="I66" s="212">
        <f>B68</f>
        <v>135900</v>
      </c>
      <c r="J66" s="212">
        <f>B69</f>
        <v>241000</v>
      </c>
      <c r="K66" s="212">
        <f>B70</f>
        <v>300600</v>
      </c>
      <c r="L66" s="212">
        <f>B71</f>
        <v>270900</v>
      </c>
      <c r="M66" s="212">
        <f>B72</f>
        <v>226000</v>
      </c>
      <c r="N66" s="213">
        <f>B73</f>
        <v>149200</v>
      </c>
    </row>
    <row r="67" spans="1:14" ht="16.5" thickBot="1" x14ac:dyDescent="0.3">
      <c r="A67" s="201" t="s">
        <v>368</v>
      </c>
      <c r="B67" s="20">
        <v>119300</v>
      </c>
      <c r="C67" s="203" t="s">
        <v>380</v>
      </c>
      <c r="D67" s="319" t="s">
        <v>419</v>
      </c>
      <c r="E67" s="356"/>
      <c r="F67" s="356"/>
      <c r="G67" s="356"/>
      <c r="H67" s="356"/>
      <c r="I67" s="356"/>
      <c r="J67" s="356"/>
      <c r="K67" s="356"/>
      <c r="L67" s="356"/>
      <c r="M67" s="356"/>
      <c r="N67" s="320"/>
    </row>
    <row r="68" spans="1:14" x14ac:dyDescent="0.25">
      <c r="A68" s="201" t="s">
        <v>369</v>
      </c>
      <c r="B68" s="20">
        <v>135900</v>
      </c>
      <c r="C68" s="29">
        <v>0.1</v>
      </c>
      <c r="D68" s="3" t="s">
        <v>379</v>
      </c>
      <c r="E68" s="38"/>
      <c r="F68" s="38"/>
      <c r="G68" s="38">
        <f>$C$68*G66</f>
        <v>9090</v>
      </c>
      <c r="H68" s="38">
        <f t="shared" ref="H68:M68" si="6">$C$68*H66</f>
        <v>11930</v>
      </c>
      <c r="I68" s="38">
        <f t="shared" si="6"/>
        <v>13590</v>
      </c>
      <c r="J68" s="38">
        <f t="shared" si="6"/>
        <v>24100</v>
      </c>
      <c r="K68" s="38">
        <f t="shared" si="6"/>
        <v>30060</v>
      </c>
      <c r="L68" s="38">
        <f t="shared" si="6"/>
        <v>27090</v>
      </c>
      <c r="M68" s="38">
        <f t="shared" si="6"/>
        <v>22600</v>
      </c>
      <c r="N68" s="214"/>
    </row>
    <row r="69" spans="1:14" x14ac:dyDescent="0.25">
      <c r="A69" s="201" t="s">
        <v>370</v>
      </c>
      <c r="B69" s="20">
        <v>241000</v>
      </c>
      <c r="C69" s="29">
        <v>0.6</v>
      </c>
      <c r="D69" s="3" t="s">
        <v>382</v>
      </c>
      <c r="E69" s="38"/>
      <c r="F69" s="38"/>
      <c r="G69" s="38">
        <f>$C$69*F66</f>
        <v>105120</v>
      </c>
      <c r="H69" s="38">
        <f t="shared" ref="H69:L69" si="7">$C$69*G66</f>
        <v>54540</v>
      </c>
      <c r="I69" s="38">
        <f t="shared" si="7"/>
        <v>71580</v>
      </c>
      <c r="J69" s="38">
        <f t="shared" si="7"/>
        <v>81540</v>
      </c>
      <c r="K69" s="38">
        <f t="shared" si="7"/>
        <v>144600</v>
      </c>
      <c r="L69" s="38">
        <f t="shared" si="7"/>
        <v>180360</v>
      </c>
      <c r="M69" s="38">
        <f t="shared" ref="M69" si="8">$C$69*L66</f>
        <v>162540</v>
      </c>
      <c r="N69" s="215"/>
    </row>
    <row r="70" spans="1:14" ht="16.5" thickBot="1" x14ac:dyDescent="0.3">
      <c r="A70" s="201" t="s">
        <v>371</v>
      </c>
      <c r="B70" s="20">
        <v>300600</v>
      </c>
      <c r="C70" s="204">
        <v>0.3</v>
      </c>
      <c r="D70" s="3" t="s">
        <v>381</v>
      </c>
      <c r="E70" s="38"/>
      <c r="F70" s="38"/>
      <c r="G70" s="38">
        <f>$C$70*E66</f>
        <v>65940</v>
      </c>
      <c r="H70" s="38">
        <f t="shared" ref="H70:M70" si="9">$C$70*F66</f>
        <v>52560</v>
      </c>
      <c r="I70" s="38">
        <f t="shared" si="9"/>
        <v>27270</v>
      </c>
      <c r="J70" s="38">
        <f t="shared" si="9"/>
        <v>35790</v>
      </c>
      <c r="K70" s="38">
        <f t="shared" si="9"/>
        <v>40770</v>
      </c>
      <c r="L70" s="38">
        <f t="shared" si="9"/>
        <v>72300</v>
      </c>
      <c r="M70" s="38">
        <f t="shared" si="9"/>
        <v>90180</v>
      </c>
      <c r="N70" s="215"/>
    </row>
    <row r="71" spans="1:14" ht="16.5" thickBot="1" x14ac:dyDescent="0.3">
      <c r="A71" s="201" t="s">
        <v>372</v>
      </c>
      <c r="B71" s="20">
        <v>270900</v>
      </c>
      <c r="D71" s="3" t="s">
        <v>383</v>
      </c>
      <c r="E71" s="207"/>
      <c r="F71" s="207"/>
      <c r="G71" s="207">
        <f t="shared" ref="G71" si="10">SUM(G68:G70)</f>
        <v>180150</v>
      </c>
      <c r="H71" s="39">
        <f>SUM(H68:H70)</f>
        <v>119030</v>
      </c>
      <c r="I71" s="39">
        <f t="shared" ref="I71:M71" si="11">SUM(I68:I70)</f>
        <v>112440</v>
      </c>
      <c r="J71" s="39">
        <f t="shared" si="11"/>
        <v>141430</v>
      </c>
      <c r="K71" s="39">
        <f t="shared" si="11"/>
        <v>215430</v>
      </c>
      <c r="L71" s="39">
        <f t="shared" si="11"/>
        <v>279750</v>
      </c>
      <c r="M71" s="39">
        <f t="shared" si="11"/>
        <v>275320</v>
      </c>
      <c r="N71" s="216"/>
    </row>
    <row r="72" spans="1:14" ht="16.5" thickBot="1" x14ac:dyDescent="0.3">
      <c r="A72" s="201" t="s">
        <v>373</v>
      </c>
      <c r="B72" s="20">
        <v>226000</v>
      </c>
      <c r="D72" s="319" t="s">
        <v>420</v>
      </c>
      <c r="E72" s="356"/>
      <c r="F72" s="356"/>
      <c r="G72" s="356"/>
      <c r="H72" s="356"/>
      <c r="I72" s="356"/>
      <c r="J72" s="356"/>
      <c r="K72" s="356"/>
      <c r="L72" s="356"/>
      <c r="M72" s="356"/>
      <c r="N72" s="320"/>
    </row>
    <row r="73" spans="1:14" ht="16.5" thickBot="1" x14ac:dyDescent="0.3">
      <c r="A73" s="202" t="s">
        <v>374</v>
      </c>
      <c r="B73" s="20">
        <v>149200</v>
      </c>
      <c r="D73" s="3" t="s">
        <v>384</v>
      </c>
      <c r="E73" s="41"/>
      <c r="F73" s="41"/>
      <c r="G73" s="38">
        <f>H66*$C$81</f>
        <v>71580</v>
      </c>
      <c r="H73" s="38">
        <f t="shared" ref="H73:L73" si="12">I66*$C$81</f>
        <v>81540</v>
      </c>
      <c r="I73" s="38">
        <f t="shared" si="12"/>
        <v>144600</v>
      </c>
      <c r="J73" s="38">
        <f t="shared" si="12"/>
        <v>180360</v>
      </c>
      <c r="K73" s="38">
        <f t="shared" si="12"/>
        <v>162540</v>
      </c>
      <c r="L73" s="38">
        <f t="shared" si="12"/>
        <v>135600</v>
      </c>
      <c r="M73" s="38">
        <f t="shared" ref="M73" si="13">N66*$C$81</f>
        <v>89520</v>
      </c>
      <c r="N73" s="214"/>
    </row>
    <row r="74" spans="1:14" ht="16.5" thickBot="1" x14ac:dyDescent="0.3">
      <c r="B74" s="354" t="s">
        <v>398</v>
      </c>
      <c r="C74" s="323"/>
      <c r="D74" s="3" t="s">
        <v>385</v>
      </c>
      <c r="E74" s="38"/>
      <c r="F74" s="38"/>
      <c r="G74" s="38">
        <f t="shared" ref="G74:M74" si="14">$C$75</f>
        <v>9400</v>
      </c>
      <c r="H74" s="38">
        <f t="shared" si="14"/>
        <v>9400</v>
      </c>
      <c r="I74" s="38">
        <f t="shared" si="14"/>
        <v>9400</v>
      </c>
      <c r="J74" s="38">
        <f t="shared" si="14"/>
        <v>9400</v>
      </c>
      <c r="K74" s="38">
        <f t="shared" si="14"/>
        <v>9400</v>
      </c>
      <c r="L74" s="38">
        <f t="shared" si="14"/>
        <v>9400</v>
      </c>
      <c r="M74" s="38">
        <f t="shared" si="14"/>
        <v>9400</v>
      </c>
      <c r="N74" s="215"/>
    </row>
    <row r="75" spans="1:14" x14ac:dyDescent="0.25">
      <c r="B75" s="16" t="s">
        <v>385</v>
      </c>
      <c r="C75" s="162">
        <v>9400</v>
      </c>
      <c r="D75" s="3" t="s">
        <v>386</v>
      </c>
      <c r="E75" s="38"/>
      <c r="F75" s="38"/>
      <c r="G75" s="38">
        <f t="shared" ref="G75:M75" si="15">$C$76</f>
        <v>19100</v>
      </c>
      <c r="H75" s="38">
        <f t="shared" si="15"/>
        <v>19100</v>
      </c>
      <c r="I75" s="38">
        <f t="shared" si="15"/>
        <v>19100</v>
      </c>
      <c r="J75" s="38">
        <f t="shared" si="15"/>
        <v>19100</v>
      </c>
      <c r="K75" s="38">
        <f t="shared" si="15"/>
        <v>19100</v>
      </c>
      <c r="L75" s="38">
        <f t="shared" si="15"/>
        <v>19100</v>
      </c>
      <c r="M75" s="38">
        <f t="shared" si="15"/>
        <v>19100</v>
      </c>
      <c r="N75" s="215"/>
    </row>
    <row r="76" spans="1:14" x14ac:dyDescent="0.25">
      <c r="B76" s="41" t="s">
        <v>399</v>
      </c>
      <c r="C76" s="162">
        <v>19100</v>
      </c>
      <c r="D76" s="3" t="s">
        <v>387</v>
      </c>
      <c r="E76" s="41"/>
      <c r="F76" s="41"/>
      <c r="G76" s="38">
        <v>0</v>
      </c>
      <c r="H76" s="38">
        <v>0</v>
      </c>
      <c r="I76" s="38">
        <f>C79</f>
        <v>22300</v>
      </c>
      <c r="J76" s="215">
        <v>0</v>
      </c>
      <c r="K76" s="215">
        <v>0</v>
      </c>
      <c r="L76" s="38">
        <f>C79</f>
        <v>22300</v>
      </c>
      <c r="M76" s="38">
        <v>0</v>
      </c>
      <c r="N76" s="215"/>
    </row>
    <row r="77" spans="1:14" ht="16.5" thickBot="1" x14ac:dyDescent="0.3">
      <c r="B77" s="174" t="s">
        <v>417</v>
      </c>
      <c r="C77" s="162">
        <v>15000</v>
      </c>
      <c r="D77" s="3" t="s">
        <v>388</v>
      </c>
      <c r="E77" s="206"/>
      <c r="F77" s="206"/>
      <c r="G77" s="207">
        <f t="shared" ref="G77:L77" si="16">SUM(G73:G76)</f>
        <v>100080</v>
      </c>
      <c r="H77" s="207">
        <f t="shared" si="16"/>
        <v>110040</v>
      </c>
      <c r="I77" s="207">
        <f t="shared" si="16"/>
        <v>195400</v>
      </c>
      <c r="J77" s="207">
        <f t="shared" si="16"/>
        <v>208860</v>
      </c>
      <c r="K77" s="207">
        <f t="shared" si="16"/>
        <v>191040</v>
      </c>
      <c r="L77" s="207">
        <f t="shared" si="16"/>
        <v>186400</v>
      </c>
      <c r="M77" s="207">
        <f t="shared" ref="M77" si="17">SUM(M73:M76)</f>
        <v>118020</v>
      </c>
      <c r="N77" s="216"/>
    </row>
    <row r="78" spans="1:14" ht="16.5" thickBot="1" x14ac:dyDescent="0.3">
      <c r="B78" s="355" t="s">
        <v>400</v>
      </c>
      <c r="C78" s="340"/>
      <c r="D78" s="319" t="s">
        <v>389</v>
      </c>
      <c r="E78" s="356"/>
      <c r="F78" s="356"/>
      <c r="G78" s="356"/>
      <c r="H78" s="356"/>
      <c r="I78" s="356"/>
      <c r="J78" s="356"/>
      <c r="K78" s="356"/>
      <c r="L78" s="356"/>
      <c r="M78" s="356"/>
      <c r="N78" s="320"/>
    </row>
    <row r="79" spans="1:14" x14ac:dyDescent="0.25">
      <c r="B79" s="209" t="s">
        <v>387</v>
      </c>
      <c r="C79" s="72">
        <v>22300</v>
      </c>
      <c r="D79" s="3" t="s">
        <v>390</v>
      </c>
      <c r="E79" s="41"/>
      <c r="F79" s="41"/>
      <c r="G79" s="38">
        <f>G71-G77</f>
        <v>80070</v>
      </c>
      <c r="H79" s="38">
        <f>(H71-H77)</f>
        <v>8990</v>
      </c>
      <c r="I79" s="38">
        <f t="shared" ref="I79:L79" si="18">(I71-I77)</f>
        <v>-82960</v>
      </c>
      <c r="J79" s="38">
        <f t="shared" si="18"/>
        <v>-67430</v>
      </c>
      <c r="K79" s="38">
        <f t="shared" si="18"/>
        <v>24390</v>
      </c>
      <c r="L79" s="38">
        <f t="shared" si="18"/>
        <v>93350</v>
      </c>
      <c r="M79" s="38">
        <f t="shared" ref="M79" si="19">(M71-M77)</f>
        <v>157300</v>
      </c>
      <c r="N79" s="208"/>
    </row>
    <row r="80" spans="1:14" x14ac:dyDescent="0.25">
      <c r="B80" s="210" t="s">
        <v>401</v>
      </c>
      <c r="C80" s="94">
        <v>0.1</v>
      </c>
      <c r="D80" s="3" t="s">
        <v>391</v>
      </c>
      <c r="E80" s="41"/>
      <c r="F80" s="41"/>
      <c r="G80" s="38">
        <f>C83</f>
        <v>21800</v>
      </c>
      <c r="H80" s="38">
        <f>G86</f>
        <v>101870</v>
      </c>
      <c r="I80" s="38">
        <f t="shared" ref="I80:L80" si="20">H86</f>
        <v>110860</v>
      </c>
      <c r="J80" s="38">
        <f t="shared" si="20"/>
        <v>27900</v>
      </c>
      <c r="K80" s="38">
        <f t="shared" si="20"/>
        <v>15000</v>
      </c>
      <c r="L80" s="38">
        <f t="shared" si="20"/>
        <v>15000</v>
      </c>
      <c r="M80" s="38">
        <f t="shared" ref="M80" si="21">L86</f>
        <v>15000</v>
      </c>
      <c r="N80" s="38"/>
    </row>
    <row r="81" spans="2:14" ht="16.5" thickBot="1" x14ac:dyDescent="0.3">
      <c r="B81" s="211" t="s">
        <v>402</v>
      </c>
      <c r="C81" s="48">
        <v>0.6</v>
      </c>
      <c r="D81" s="3" t="s">
        <v>392</v>
      </c>
      <c r="E81" s="41"/>
      <c r="F81" s="41"/>
      <c r="G81" s="38">
        <v>0</v>
      </c>
      <c r="H81" s="38">
        <f>(-$C$80/12)*G85</f>
        <v>0</v>
      </c>
      <c r="I81" s="38">
        <f t="shared" ref="I81:M81" si="22">(-$C$80/12)*H85</f>
        <v>0</v>
      </c>
      <c r="J81" s="38">
        <f t="shared" si="22"/>
        <v>0</v>
      </c>
      <c r="K81" s="38">
        <f t="shared" si="22"/>
        <v>-454.41666666666669</v>
      </c>
      <c r="L81" s="38">
        <f t="shared" si="22"/>
        <v>-7.5736111111111013</v>
      </c>
      <c r="M81" s="38">
        <f t="shared" si="22"/>
        <v>-207.16303240740757</v>
      </c>
      <c r="N81" s="38"/>
    </row>
    <row r="82" spans="2:14" ht="16.5" thickBot="1" x14ac:dyDescent="0.3">
      <c r="D82" s="3" t="s">
        <v>418</v>
      </c>
      <c r="E82" s="41"/>
      <c r="F82" s="41"/>
      <c r="G82" s="38">
        <v>0</v>
      </c>
      <c r="H82" s="38">
        <v>0</v>
      </c>
      <c r="I82" s="38">
        <v>0</v>
      </c>
      <c r="J82" s="38">
        <v>0</v>
      </c>
      <c r="K82" s="221">
        <f>K81-K79</f>
        <v>-24844.416666666668</v>
      </c>
      <c r="L82" s="221">
        <f>L81-L79+K82</f>
        <v>-118201.99027777779</v>
      </c>
      <c r="M82" s="221">
        <f>M81-M79+L82</f>
        <v>-275709.15331018518</v>
      </c>
      <c r="N82" s="38"/>
    </row>
    <row r="83" spans="2:14" ht="16.5" thickBot="1" x14ac:dyDescent="0.3">
      <c r="B83" s="220" t="s">
        <v>416</v>
      </c>
      <c r="C83" s="112">
        <v>21800</v>
      </c>
      <c r="D83" s="3" t="s">
        <v>393</v>
      </c>
      <c r="E83" s="206">
        <f>E80-E81-E82</f>
        <v>0</v>
      </c>
      <c r="F83" s="206">
        <f>F80-F81-F82</f>
        <v>0</v>
      </c>
      <c r="G83" s="207">
        <f>SUM(G79:G82)</f>
        <v>101870</v>
      </c>
      <c r="H83" s="207">
        <f>SUM(H79:H82)</f>
        <v>110860</v>
      </c>
      <c r="I83" s="207">
        <f>SUM(I79:I82)</f>
        <v>27900</v>
      </c>
      <c r="J83" s="207">
        <f t="shared" ref="J83:M83" si="23">SUM(J79:J82)</f>
        <v>-39530</v>
      </c>
      <c r="K83" s="207">
        <f t="shared" si="23"/>
        <v>14091.166666666668</v>
      </c>
      <c r="L83" s="207">
        <f t="shared" si="23"/>
        <v>-9859.563888888908</v>
      </c>
      <c r="M83" s="207">
        <f t="shared" si="23"/>
        <v>-103616.31634259259</v>
      </c>
      <c r="N83" s="39"/>
    </row>
    <row r="84" spans="2:14" ht="16.5" thickBot="1" x14ac:dyDescent="0.3">
      <c r="D84" s="351" t="s">
        <v>394</v>
      </c>
      <c r="E84" s="352"/>
      <c r="F84" s="352"/>
      <c r="G84" s="352"/>
      <c r="H84" s="352"/>
      <c r="I84" s="352"/>
      <c r="J84" s="352"/>
      <c r="K84" s="352"/>
      <c r="L84" s="352"/>
      <c r="M84" s="352"/>
      <c r="N84" s="353"/>
    </row>
    <row r="85" spans="2:14" x14ac:dyDescent="0.25">
      <c r="D85" s="3" t="s">
        <v>395</v>
      </c>
      <c r="E85" s="38"/>
      <c r="F85" s="38">
        <v>0</v>
      </c>
      <c r="G85" s="38">
        <f>IF(G83&lt;$C$77,$C$77-G83,IF(F87=0,0,$C$77-G83))</f>
        <v>0</v>
      </c>
      <c r="H85" s="38">
        <f t="shared" ref="H85:L85" si="24">IF(H83&lt;$C$77,$C$77-H83,IF(G87=0,0,$C$77-H83))</f>
        <v>0</v>
      </c>
      <c r="I85" s="38">
        <f t="shared" si="24"/>
        <v>0</v>
      </c>
      <c r="J85" s="38">
        <f t="shared" si="24"/>
        <v>54530</v>
      </c>
      <c r="K85" s="38">
        <f>IF(K83&lt;$C$77,$C$77-K83,IF(J87=0,0,$C$77-K83))</f>
        <v>908.83333333333212</v>
      </c>
      <c r="L85" s="38">
        <f t="shared" si="24"/>
        <v>24859.563888888908</v>
      </c>
      <c r="M85" s="38">
        <f t="shared" ref="M85" si="25">IF(M83&lt;$C$77,$C$77-M83,IF(L87=0,0,$C$77-M83))</f>
        <v>118616.31634259259</v>
      </c>
      <c r="N85" s="208"/>
    </row>
    <row r="86" spans="2:14" x14ac:dyDescent="0.25">
      <c r="D86" s="3" t="s">
        <v>396</v>
      </c>
      <c r="E86" s="38"/>
      <c r="F86" s="38">
        <f>C83</f>
        <v>21800</v>
      </c>
      <c r="G86" s="38">
        <f>G83+G85</f>
        <v>101870</v>
      </c>
      <c r="H86" s="38">
        <f t="shared" ref="H86:M86" si="26">H83+H85</f>
        <v>110860</v>
      </c>
      <c r="I86" s="38">
        <f t="shared" si="26"/>
        <v>27900</v>
      </c>
      <c r="J86" s="38">
        <f t="shared" si="26"/>
        <v>15000</v>
      </c>
      <c r="K86" s="38">
        <f t="shared" si="26"/>
        <v>15000</v>
      </c>
      <c r="L86" s="38">
        <f t="shared" si="26"/>
        <v>15000</v>
      </c>
      <c r="M86" s="38">
        <f t="shared" si="26"/>
        <v>15000</v>
      </c>
      <c r="N86" s="38"/>
    </row>
    <row r="87" spans="2:14" ht="16.5" thickBot="1" x14ac:dyDescent="0.3">
      <c r="D87" s="5" t="s">
        <v>397</v>
      </c>
      <c r="E87" s="39"/>
      <c r="F87" s="39">
        <v>0</v>
      </c>
      <c r="G87" s="39">
        <f>F87+G85</f>
        <v>0</v>
      </c>
      <c r="H87" s="39">
        <f t="shared" ref="H87:J87" si="27">G87+H85</f>
        <v>0</v>
      </c>
      <c r="I87" s="39">
        <f t="shared" si="27"/>
        <v>0</v>
      </c>
      <c r="J87" s="39">
        <f t="shared" si="27"/>
        <v>54530</v>
      </c>
      <c r="K87" s="39">
        <f t="shared" ref="K87" si="28">J87+K85</f>
        <v>55438.833333333328</v>
      </c>
      <c r="L87" s="39">
        <f t="shared" ref="L87" si="29">K87+L85</f>
        <v>80298.397222222236</v>
      </c>
      <c r="M87" s="39">
        <f t="shared" ref="M87" si="30">L87+M85</f>
        <v>198914.71356481483</v>
      </c>
      <c r="N87" s="39"/>
    </row>
  </sheetData>
  <mergeCells count="17">
    <mergeCell ref="F56:K63"/>
    <mergeCell ref="D30:E30"/>
    <mergeCell ref="D22:E22"/>
    <mergeCell ref="D29:E29"/>
    <mergeCell ref="G22:H22"/>
    <mergeCell ref="A36:B36"/>
    <mergeCell ref="G35:J35"/>
    <mergeCell ref="E1:F1"/>
    <mergeCell ref="E4:F4"/>
    <mergeCell ref="H15:I20"/>
    <mergeCell ref="D26:E26"/>
    <mergeCell ref="D84:N84"/>
    <mergeCell ref="B74:C74"/>
    <mergeCell ref="B78:C78"/>
    <mergeCell ref="D67:N67"/>
    <mergeCell ref="D72:N72"/>
    <mergeCell ref="D78:N78"/>
  </mergeCells>
  <phoneticPr fontId="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FB62-AE59-4CF9-B934-C2C214E91E4B}">
  <dimension ref="A1:J21"/>
  <sheetViews>
    <sheetView topLeftCell="A2" zoomScale="90" workbookViewId="0">
      <selection activeCell="A20" sqref="A20"/>
    </sheetView>
  </sheetViews>
  <sheetFormatPr defaultRowHeight="15.75" x14ac:dyDescent="0.25"/>
  <cols>
    <col min="1" max="3" width="15.875" customWidth="1"/>
    <col min="5" max="5" width="20.125" customWidth="1"/>
    <col min="6" max="6" width="13.5" bestFit="1" customWidth="1"/>
    <col min="7" max="7" width="16.5" customWidth="1"/>
    <col min="9" max="9" width="21" customWidth="1"/>
    <col min="10" max="10" width="11" bestFit="1" customWidth="1"/>
  </cols>
  <sheetData>
    <row r="1" spans="1:10" x14ac:dyDescent="0.25">
      <c r="A1" s="21" t="s">
        <v>405</v>
      </c>
      <c r="B1" s="80">
        <v>0.1</v>
      </c>
      <c r="C1" s="21" t="s">
        <v>406</v>
      </c>
      <c r="D1" s="80">
        <v>0.05</v>
      </c>
      <c r="E1" t="s">
        <v>414</v>
      </c>
      <c r="F1" s="80">
        <v>0.5</v>
      </c>
      <c r="G1" s="217">
        <f>F1*F4</f>
        <v>275000</v>
      </c>
    </row>
    <row r="2" spans="1:10" x14ac:dyDescent="0.25">
      <c r="A2" s="21">
        <v>2016</v>
      </c>
      <c r="E2" s="21">
        <v>2017</v>
      </c>
      <c r="F2" s="21"/>
    </row>
    <row r="3" spans="1:10" x14ac:dyDescent="0.25">
      <c r="A3" t="s">
        <v>206</v>
      </c>
      <c r="B3" s="42">
        <v>10000000</v>
      </c>
      <c r="E3" t="s">
        <v>206</v>
      </c>
      <c r="F3" s="42">
        <f>B3*(1+$B$1)</f>
        <v>11000000</v>
      </c>
    </row>
    <row r="4" spans="1:10" x14ac:dyDescent="0.25">
      <c r="A4" t="s">
        <v>313</v>
      </c>
      <c r="B4" s="42">
        <v>500000</v>
      </c>
      <c r="E4" t="s">
        <v>313</v>
      </c>
      <c r="F4" s="42">
        <f>$D$1*F3</f>
        <v>550000</v>
      </c>
    </row>
    <row r="5" spans="1:10" ht="16.5" thickBot="1" x14ac:dyDescent="0.3"/>
    <row r="6" spans="1:10" ht="16.5" thickBot="1" x14ac:dyDescent="0.3">
      <c r="A6" s="339" t="s">
        <v>407</v>
      </c>
      <c r="B6" s="340"/>
      <c r="C6" s="9" t="s">
        <v>331</v>
      </c>
      <c r="E6" s="339" t="s">
        <v>407</v>
      </c>
      <c r="F6" s="340"/>
    </row>
    <row r="7" spans="1:10" x14ac:dyDescent="0.25">
      <c r="A7" s="3" t="s">
        <v>256</v>
      </c>
      <c r="B7" s="23">
        <v>2000000</v>
      </c>
      <c r="C7" s="176">
        <f>B7/$B$3</f>
        <v>0.2</v>
      </c>
      <c r="E7" s="14" t="s">
        <v>256</v>
      </c>
      <c r="F7" s="40">
        <f>C7*$F$3</f>
        <v>2200000</v>
      </c>
      <c r="I7" t="s">
        <v>413</v>
      </c>
      <c r="J7" s="42">
        <f>F9</f>
        <v>6600000</v>
      </c>
    </row>
    <row r="8" spans="1:10" x14ac:dyDescent="0.25">
      <c r="A8" s="3" t="s">
        <v>304</v>
      </c>
      <c r="B8" s="23">
        <v>4000000</v>
      </c>
      <c r="C8" s="176">
        <f t="shared" ref="C8:C21" si="0">B8/$B$3</f>
        <v>0.4</v>
      </c>
      <c r="E8" s="3" t="s">
        <v>304</v>
      </c>
      <c r="F8" s="23">
        <f>C8*$F$3</f>
        <v>4400000</v>
      </c>
      <c r="I8" t="s">
        <v>324</v>
      </c>
      <c r="J8" s="42">
        <f>J7-F21</f>
        <v>125000</v>
      </c>
    </row>
    <row r="9" spans="1:10" ht="16.5" thickBot="1" x14ac:dyDescent="0.3">
      <c r="A9" s="3" t="s">
        <v>352</v>
      </c>
      <c r="B9" s="23">
        <f>SUM(B7:B8)</f>
        <v>6000000</v>
      </c>
      <c r="C9" s="176">
        <f t="shared" si="0"/>
        <v>0.6</v>
      </c>
      <c r="E9" s="3" t="s">
        <v>352</v>
      </c>
      <c r="F9" s="23">
        <f>SUM(F7:F8)</f>
        <v>6600000</v>
      </c>
    </row>
    <row r="10" spans="1:10" ht="16.5" thickBot="1" x14ac:dyDescent="0.3">
      <c r="A10" s="339" t="s">
        <v>408</v>
      </c>
      <c r="B10" s="340"/>
      <c r="C10" s="176"/>
      <c r="E10" s="339" t="s">
        <v>408</v>
      </c>
      <c r="F10" s="340"/>
    </row>
    <row r="11" spans="1:10" x14ac:dyDescent="0.25">
      <c r="A11" s="3" t="s">
        <v>150</v>
      </c>
      <c r="B11" s="23">
        <v>1000000</v>
      </c>
      <c r="C11" s="176">
        <f t="shared" si="0"/>
        <v>0.1</v>
      </c>
      <c r="E11" s="3" t="s">
        <v>150</v>
      </c>
      <c r="F11" s="23">
        <f t="shared" ref="F11:F12" si="1">C11*$F$3</f>
        <v>1100000</v>
      </c>
    </row>
    <row r="12" spans="1:10" x14ac:dyDescent="0.25">
      <c r="A12" s="3" t="s">
        <v>409</v>
      </c>
      <c r="B12" s="23">
        <v>1000000</v>
      </c>
      <c r="C12" s="176">
        <f t="shared" si="0"/>
        <v>0.1</v>
      </c>
      <c r="E12" s="3" t="s">
        <v>409</v>
      </c>
      <c r="F12" s="23">
        <f t="shared" si="1"/>
        <v>1100000</v>
      </c>
    </row>
    <row r="13" spans="1:10" x14ac:dyDescent="0.25">
      <c r="A13" s="3" t="s">
        <v>259</v>
      </c>
      <c r="B13" s="23">
        <v>500000</v>
      </c>
      <c r="C13" s="176">
        <f t="shared" si="0"/>
        <v>0.05</v>
      </c>
      <c r="E13" s="3" t="s">
        <v>259</v>
      </c>
      <c r="F13" s="20">
        <f>B13</f>
        <v>500000</v>
      </c>
    </row>
    <row r="14" spans="1:10" x14ac:dyDescent="0.25">
      <c r="A14" s="3" t="s">
        <v>182</v>
      </c>
      <c r="B14" s="23">
        <f>SUM(B11:B13)</f>
        <v>2500000</v>
      </c>
      <c r="C14" s="176">
        <f t="shared" si="0"/>
        <v>0.25</v>
      </c>
      <c r="E14" s="3" t="s">
        <v>182</v>
      </c>
      <c r="F14" s="23">
        <f>SUM(F11:F13)</f>
        <v>2700000</v>
      </c>
    </row>
    <row r="15" spans="1:10" x14ac:dyDescent="0.25">
      <c r="A15" s="3" t="s">
        <v>92</v>
      </c>
      <c r="B15" s="23">
        <v>2000000</v>
      </c>
      <c r="C15" s="176">
        <f t="shared" si="0"/>
        <v>0.2</v>
      </c>
      <c r="E15" s="3" t="s">
        <v>92</v>
      </c>
      <c r="F15" s="20">
        <f>B15</f>
        <v>2000000</v>
      </c>
    </row>
    <row r="16" spans="1:10" x14ac:dyDescent="0.25">
      <c r="A16" s="3" t="s">
        <v>410</v>
      </c>
      <c r="B16" s="23">
        <f>B14+B15</f>
        <v>4500000</v>
      </c>
      <c r="C16" s="176">
        <f t="shared" si="0"/>
        <v>0.45</v>
      </c>
      <c r="E16" s="3" t="s">
        <v>410</v>
      </c>
      <c r="F16" s="23">
        <f>SUM(F14:F15)</f>
        <v>4700000</v>
      </c>
    </row>
    <row r="17" spans="1:6" x14ac:dyDescent="0.25">
      <c r="A17" s="3" t="s">
        <v>411</v>
      </c>
      <c r="B17" s="23">
        <v>100000</v>
      </c>
      <c r="C17" s="176">
        <f t="shared" si="0"/>
        <v>0.01</v>
      </c>
      <c r="E17" s="3" t="s">
        <v>411</v>
      </c>
      <c r="F17" s="20">
        <f>B17</f>
        <v>100000</v>
      </c>
    </row>
    <row r="18" spans="1:6" x14ac:dyDescent="0.25">
      <c r="A18" s="3" t="s">
        <v>308</v>
      </c>
      <c r="B18" s="23">
        <v>200000</v>
      </c>
      <c r="C18" s="176">
        <f t="shared" si="0"/>
        <v>0.02</v>
      </c>
      <c r="E18" s="3" t="s">
        <v>308</v>
      </c>
      <c r="F18" s="20">
        <f>B18</f>
        <v>200000</v>
      </c>
    </row>
    <row r="19" spans="1:6" x14ac:dyDescent="0.25">
      <c r="A19" s="3" t="s">
        <v>309</v>
      </c>
      <c r="B19" s="23">
        <v>1200000</v>
      </c>
      <c r="C19" s="176">
        <f t="shared" si="0"/>
        <v>0.12</v>
      </c>
      <c r="E19" s="218" t="s">
        <v>309</v>
      </c>
      <c r="F19" s="23">
        <f>B19+G1-0</f>
        <v>1475000</v>
      </c>
    </row>
    <row r="20" spans="1:6" x14ac:dyDescent="0.25">
      <c r="A20" s="3" t="s">
        <v>330</v>
      </c>
      <c r="B20" s="23">
        <f>SUM(B17:B19)</f>
        <v>1500000</v>
      </c>
      <c r="C20" s="176">
        <f t="shared" si="0"/>
        <v>0.15</v>
      </c>
      <c r="E20" s="3" t="s">
        <v>330</v>
      </c>
      <c r="F20" s="23">
        <f>SUM(F17:F19)</f>
        <v>1775000</v>
      </c>
    </row>
    <row r="21" spans="1:6" ht="16.5" thickBot="1" x14ac:dyDescent="0.3">
      <c r="A21" s="5" t="s">
        <v>412</v>
      </c>
      <c r="B21" s="15">
        <f>B16+B20</f>
        <v>6000000</v>
      </c>
      <c r="C21" s="177">
        <f t="shared" si="0"/>
        <v>0.6</v>
      </c>
      <c r="E21" s="5" t="s">
        <v>412</v>
      </c>
      <c r="F21" s="15">
        <f>F20+F16</f>
        <v>6475000</v>
      </c>
    </row>
  </sheetData>
  <mergeCells count="4">
    <mergeCell ref="A6:B6"/>
    <mergeCell ref="A10:B10"/>
    <mergeCell ref="E6:F6"/>
    <mergeCell ref="E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1BDE-372D-4875-8E34-51AC1BE9089D}">
  <dimension ref="A1:H81"/>
  <sheetViews>
    <sheetView topLeftCell="A74" zoomScale="75" workbookViewId="0">
      <selection activeCell="G13" sqref="G13"/>
    </sheetView>
  </sheetViews>
  <sheetFormatPr defaultColWidth="8.75" defaultRowHeight="15.75" x14ac:dyDescent="0.25"/>
  <cols>
    <col min="1" max="1" width="33.875" style="222" customWidth="1"/>
    <col min="2" max="2" width="14.625" style="222" bestFit="1" customWidth="1"/>
    <col min="3" max="3" width="17" style="222" customWidth="1"/>
    <col min="4" max="4" width="23.5" style="222" customWidth="1"/>
    <col min="5" max="5" width="20.5" style="222" customWidth="1"/>
    <col min="6" max="6" width="13.25" style="222" bestFit="1" customWidth="1"/>
    <col min="7" max="7" width="41.125" style="222" customWidth="1"/>
    <col min="8" max="8" width="17.375" style="222" customWidth="1"/>
    <col min="9" max="16384" width="8.75" style="222"/>
  </cols>
  <sheetData>
    <row r="1" spans="1:8" x14ac:dyDescent="0.25">
      <c r="A1" s="223" t="s">
        <v>421</v>
      </c>
    </row>
    <row r="2" spans="1:8" ht="16.5" thickBot="1" x14ac:dyDescent="0.3">
      <c r="A2" s="224" t="s">
        <v>422</v>
      </c>
      <c r="B2" s="224">
        <v>2013</v>
      </c>
      <c r="C2" s="224">
        <v>2012</v>
      </c>
      <c r="D2" s="224">
        <v>2011</v>
      </c>
      <c r="E2" s="230" t="s">
        <v>440</v>
      </c>
      <c r="F2" s="234">
        <v>2013</v>
      </c>
      <c r="G2" s="234">
        <v>2012</v>
      </c>
      <c r="H2" s="234">
        <v>2011</v>
      </c>
    </row>
    <row r="3" spans="1:8" ht="16.5" thickTop="1" x14ac:dyDescent="0.25">
      <c r="A3" s="225" t="s">
        <v>423</v>
      </c>
      <c r="B3" s="225"/>
      <c r="C3" s="225"/>
      <c r="D3" s="225"/>
      <c r="E3" s="239" t="s">
        <v>434</v>
      </c>
      <c r="F3" s="237">
        <f t="shared" ref="F3:G3" si="0">B8-B14</f>
        <v>-5977200</v>
      </c>
      <c r="G3" s="251">
        <f t="shared" si="0"/>
        <v>-6680300</v>
      </c>
      <c r="H3" s="251">
        <f>D8-D14</f>
        <v>-5360400</v>
      </c>
    </row>
    <row r="4" spans="1:8" ht="16.5" thickBot="1" x14ac:dyDescent="0.3">
      <c r="A4" s="225" t="s">
        <v>424</v>
      </c>
      <c r="B4" s="227">
        <v>2227500</v>
      </c>
      <c r="C4" s="227">
        <v>2230000</v>
      </c>
      <c r="D4" s="227">
        <v>1777400</v>
      </c>
      <c r="E4" s="240" t="s">
        <v>435</v>
      </c>
      <c r="F4" s="238">
        <f t="shared" ref="F4:G4" si="1">B8/B14</f>
        <v>0.60145357559593271</v>
      </c>
      <c r="G4" s="252">
        <f t="shared" si="1"/>
        <v>0.59317564522611843</v>
      </c>
      <c r="H4" s="252">
        <f>D8/D14</f>
        <v>0.5768984868935142</v>
      </c>
    </row>
    <row r="5" spans="1:8" ht="16.5" thickBot="1" x14ac:dyDescent="0.3">
      <c r="A5" s="225" t="s">
        <v>425</v>
      </c>
      <c r="B5" s="227">
        <v>0</v>
      </c>
      <c r="C5" s="227">
        <v>1665600</v>
      </c>
      <c r="D5" s="227">
        <v>0</v>
      </c>
      <c r="E5" s="231" t="s">
        <v>438</v>
      </c>
      <c r="F5" s="235">
        <f>(F4-G4)/F4</f>
        <v>1.376320751208825E-2</v>
      </c>
      <c r="G5" s="236">
        <f>(G4-H4)/G4</f>
        <v>2.7440705739696016E-2</v>
      </c>
    </row>
    <row r="6" spans="1:8" ht="16.5" thickBot="1" x14ac:dyDescent="0.3">
      <c r="A6" s="225" t="s">
        <v>426</v>
      </c>
      <c r="B6" s="227">
        <v>3839800</v>
      </c>
      <c r="C6" s="227">
        <v>3606600</v>
      </c>
      <c r="D6" s="227">
        <v>3544000</v>
      </c>
      <c r="E6" s="232" t="s">
        <v>439</v>
      </c>
      <c r="F6" s="233" t="str">
        <f>IF(AND(G5,F5),"Increase","Decrease")</f>
        <v>Increase</v>
      </c>
    </row>
    <row r="7" spans="1:8" x14ac:dyDescent="0.25">
      <c r="A7" s="225" t="s">
        <v>427</v>
      </c>
      <c r="B7" s="227">
        <v>2953000</v>
      </c>
      <c r="C7" s="227">
        <v>2238100</v>
      </c>
      <c r="D7" s="227">
        <v>1987500</v>
      </c>
    </row>
    <row r="8" spans="1:8" x14ac:dyDescent="0.25">
      <c r="A8" s="225" t="s">
        <v>428</v>
      </c>
      <c r="B8" s="227">
        <v>9020300</v>
      </c>
      <c r="C8" s="227">
        <v>9740300</v>
      </c>
      <c r="D8" s="227">
        <v>7308900</v>
      </c>
      <c r="E8" s="229"/>
      <c r="F8" s="229" t="s">
        <v>436</v>
      </c>
    </row>
    <row r="9" spans="1:8" x14ac:dyDescent="0.25">
      <c r="A9" s="225"/>
      <c r="B9" s="226"/>
      <c r="C9" s="226"/>
      <c r="D9" s="226"/>
      <c r="E9" s="229"/>
      <c r="F9" s="229" t="s">
        <v>437</v>
      </c>
    </row>
    <row r="10" spans="1:8" x14ac:dyDescent="0.25">
      <c r="A10" s="225" t="s">
        <v>429</v>
      </c>
      <c r="B10" s="226"/>
      <c r="C10" s="226"/>
      <c r="D10" s="226"/>
    </row>
    <row r="11" spans="1:8" x14ac:dyDescent="0.25">
      <c r="A11" s="225" t="s">
        <v>430</v>
      </c>
      <c r="B11" s="227">
        <v>6563500</v>
      </c>
      <c r="C11" s="227">
        <v>3153100</v>
      </c>
      <c r="D11" s="227">
        <v>4656000</v>
      </c>
      <c r="E11" s="229"/>
    </row>
    <row r="12" spans="1:8" x14ac:dyDescent="0.25">
      <c r="A12" s="225" t="s">
        <v>431</v>
      </c>
      <c r="B12" s="227">
        <v>8434000</v>
      </c>
      <c r="C12" s="227">
        <v>10469400</v>
      </c>
      <c r="D12" s="227">
        <v>8013300</v>
      </c>
      <c r="E12" s="229"/>
    </row>
    <row r="13" spans="1:8" x14ac:dyDescent="0.25">
      <c r="A13" s="225" t="s">
        <v>432</v>
      </c>
      <c r="B13" s="227">
        <v>0</v>
      </c>
      <c r="C13" s="227">
        <v>2798100</v>
      </c>
      <c r="D13" s="227">
        <v>0</v>
      </c>
    </row>
    <row r="14" spans="1:8" x14ac:dyDescent="0.25">
      <c r="A14" s="225" t="s">
        <v>433</v>
      </c>
      <c r="B14" s="227">
        <v>14997500</v>
      </c>
      <c r="C14" s="227">
        <v>16420600</v>
      </c>
      <c r="D14" s="227">
        <v>12669300</v>
      </c>
    </row>
    <row r="16" spans="1:8" x14ac:dyDescent="0.25">
      <c r="A16" s="223" t="s">
        <v>441</v>
      </c>
    </row>
    <row r="17" spans="1:8" x14ac:dyDescent="0.25">
      <c r="A17" s="222" t="s">
        <v>442</v>
      </c>
    </row>
    <row r="18" spans="1:8" x14ac:dyDescent="0.25">
      <c r="A18" s="371" t="s">
        <v>443</v>
      </c>
      <c r="B18" s="371"/>
      <c r="C18" s="371"/>
    </row>
    <row r="19" spans="1:8" x14ac:dyDescent="0.25">
      <c r="A19" s="371"/>
      <c r="B19" s="371"/>
      <c r="C19" s="371"/>
    </row>
    <row r="20" spans="1:8" x14ac:dyDescent="0.25">
      <c r="A20" s="371"/>
      <c r="B20" s="371"/>
      <c r="C20" s="371"/>
    </row>
    <row r="22" spans="1:8" ht="16.5" thickBot="1" x14ac:dyDescent="0.3">
      <c r="A22" s="223" t="s">
        <v>444</v>
      </c>
    </row>
    <row r="23" spans="1:8" ht="16.5" thickBot="1" x14ac:dyDescent="0.3">
      <c r="A23" s="241" t="s">
        <v>447</v>
      </c>
      <c r="B23" s="245">
        <v>45</v>
      </c>
      <c r="D23" s="241" t="s">
        <v>447</v>
      </c>
      <c r="E23" s="245">
        <f>B23</f>
        <v>45</v>
      </c>
      <c r="G23" s="222" t="s">
        <v>453</v>
      </c>
      <c r="H23" s="257">
        <f>H26*H27*(H25-H24)</f>
        <v>4200000</v>
      </c>
    </row>
    <row r="24" spans="1:8" x14ac:dyDescent="0.25">
      <c r="A24" s="242" t="s">
        <v>448</v>
      </c>
      <c r="B24" s="246">
        <v>24</v>
      </c>
      <c r="D24" s="242" t="s">
        <v>448</v>
      </c>
      <c r="E24" s="246">
        <f>B24</f>
        <v>24</v>
      </c>
      <c r="G24" s="222" t="s">
        <v>454</v>
      </c>
      <c r="H24" s="254">
        <v>25</v>
      </c>
    </row>
    <row r="25" spans="1:8" x14ac:dyDescent="0.25">
      <c r="A25" s="243" t="s">
        <v>449</v>
      </c>
      <c r="B25" s="247">
        <f>SUM(B23:B24)</f>
        <v>69</v>
      </c>
      <c r="D25" s="243" t="s">
        <v>449</v>
      </c>
      <c r="E25" s="247">
        <f>SUM(E23:E24)</f>
        <v>69</v>
      </c>
      <c r="G25" s="222" t="s">
        <v>455</v>
      </c>
      <c r="H25" s="255">
        <v>45</v>
      </c>
    </row>
    <row r="26" spans="1:8" ht="16.5" thickBot="1" x14ac:dyDescent="0.3">
      <c r="A26" s="243" t="s">
        <v>450</v>
      </c>
      <c r="B26" s="246">
        <v>25</v>
      </c>
      <c r="D26" s="243" t="s">
        <v>450</v>
      </c>
      <c r="E26" s="246">
        <f>H25</f>
        <v>45</v>
      </c>
      <c r="G26" s="222" t="s">
        <v>456</v>
      </c>
      <c r="H26" s="258">
        <v>70</v>
      </c>
    </row>
    <row r="27" spans="1:8" ht="16.5" thickBot="1" x14ac:dyDescent="0.3">
      <c r="A27" s="250" t="s">
        <v>451</v>
      </c>
      <c r="B27" s="248">
        <f>B25-B26</f>
        <v>44</v>
      </c>
      <c r="D27" s="250" t="s">
        <v>452</v>
      </c>
      <c r="E27" s="248">
        <f>E25-E26</f>
        <v>24</v>
      </c>
      <c r="G27" s="222" t="s">
        <v>457</v>
      </c>
      <c r="H27" s="256">
        <v>3000</v>
      </c>
    </row>
    <row r="29" spans="1:8" x14ac:dyDescent="0.25">
      <c r="A29" s="229" t="s">
        <v>445</v>
      </c>
      <c r="G29" s="229" t="s">
        <v>458</v>
      </c>
    </row>
    <row r="30" spans="1:8" x14ac:dyDescent="0.25">
      <c r="A30" s="229" t="s">
        <v>446</v>
      </c>
    </row>
    <row r="32" spans="1:8" ht="16.5" thickBot="1" x14ac:dyDescent="0.3">
      <c r="A32" s="223" t="s">
        <v>459</v>
      </c>
    </row>
    <row r="33" spans="1:5" x14ac:dyDescent="0.25">
      <c r="A33" s="261" t="s">
        <v>460</v>
      </c>
      <c r="B33" s="264">
        <v>0.15</v>
      </c>
      <c r="D33" s="261" t="s">
        <v>464</v>
      </c>
      <c r="E33" s="259">
        <f>B35*B33*(B36/B37)</f>
        <v>2500</v>
      </c>
    </row>
    <row r="34" spans="1:5" ht="16.5" thickBot="1" x14ac:dyDescent="0.3">
      <c r="A34" s="243" t="s">
        <v>468</v>
      </c>
      <c r="B34" s="265">
        <v>0.08</v>
      </c>
      <c r="D34" s="244" t="s">
        <v>467</v>
      </c>
      <c r="E34" s="260">
        <f>B35*B34</f>
        <v>8000</v>
      </c>
    </row>
    <row r="35" spans="1:5" ht="16.5" thickBot="1" x14ac:dyDescent="0.3">
      <c r="A35" s="243" t="s">
        <v>461</v>
      </c>
      <c r="B35" s="266">
        <v>100000</v>
      </c>
      <c r="D35" s="262" t="s">
        <v>466</v>
      </c>
      <c r="E35" s="263">
        <f>(E33/(B35-E34-E33)*(1/(B36/B37)))</f>
        <v>0.16759776536312848</v>
      </c>
    </row>
    <row r="36" spans="1:5" x14ac:dyDescent="0.25">
      <c r="A36" s="243" t="s">
        <v>462</v>
      </c>
      <c r="B36" s="267">
        <v>2</v>
      </c>
    </row>
    <row r="37" spans="1:5" ht="16.5" thickBot="1" x14ac:dyDescent="0.3">
      <c r="A37" s="244" t="s">
        <v>465</v>
      </c>
      <c r="B37" s="253">
        <v>12</v>
      </c>
    </row>
    <row r="38" spans="1:5" x14ac:dyDescent="0.25">
      <c r="A38" s="230"/>
    </row>
    <row r="39" spans="1:5" x14ac:dyDescent="0.25">
      <c r="A39" s="229" t="s">
        <v>470</v>
      </c>
    </row>
    <row r="40" spans="1:5" x14ac:dyDescent="0.25">
      <c r="A40" s="229" t="s">
        <v>463</v>
      </c>
    </row>
    <row r="41" spans="1:5" x14ac:dyDescent="0.25">
      <c r="A41" s="229" t="s">
        <v>469</v>
      </c>
    </row>
    <row r="42" spans="1:5" ht="16.5" thickBot="1" x14ac:dyDescent="0.3"/>
    <row r="43" spans="1:5" ht="16.5" thickBot="1" x14ac:dyDescent="0.3">
      <c r="A43" s="271" t="s">
        <v>471</v>
      </c>
      <c r="B43" s="273">
        <f>(B44/B49)*(1/(B48/B47))</f>
        <v>0.17367168913560668</v>
      </c>
      <c r="C43" s="278"/>
      <c r="D43" s="222" t="s">
        <v>475</v>
      </c>
    </row>
    <row r="44" spans="1:5" x14ac:dyDescent="0.25">
      <c r="A44" s="268" t="s">
        <v>473</v>
      </c>
      <c r="B44" s="277">
        <v>0.03</v>
      </c>
    </row>
    <row r="45" spans="1:5" x14ac:dyDescent="0.25">
      <c r="A45" s="269" t="s">
        <v>474</v>
      </c>
      <c r="B45" s="246">
        <v>10</v>
      </c>
    </row>
    <row r="46" spans="1:5" ht="16.5" thickBot="1" x14ac:dyDescent="0.3">
      <c r="A46" s="249" t="s">
        <v>472</v>
      </c>
      <c r="B46" s="253">
        <v>75</v>
      </c>
    </row>
    <row r="47" spans="1:5" ht="16.5" thickBot="1" x14ac:dyDescent="0.3">
      <c r="A47" s="250" t="s">
        <v>476</v>
      </c>
      <c r="B47" s="272">
        <v>365</v>
      </c>
    </row>
    <row r="48" spans="1:5" ht="16.5" thickBot="1" x14ac:dyDescent="0.3">
      <c r="A48" s="250" t="s">
        <v>477</v>
      </c>
      <c r="B48" s="274">
        <f>B46-B45</f>
        <v>65</v>
      </c>
    </row>
    <row r="49" spans="1:6" ht="16.5" thickBot="1" x14ac:dyDescent="0.3">
      <c r="A49" s="276" t="s">
        <v>478</v>
      </c>
      <c r="B49" s="297">
        <f>1-B44</f>
        <v>0.97</v>
      </c>
    </row>
    <row r="51" spans="1:6" x14ac:dyDescent="0.25">
      <c r="A51" s="229" t="s">
        <v>479</v>
      </c>
    </row>
    <row r="52" spans="1:6" x14ac:dyDescent="0.25">
      <c r="A52" s="229" t="s">
        <v>480</v>
      </c>
    </row>
    <row r="53" spans="1:6" ht="16.5" thickBot="1" x14ac:dyDescent="0.3"/>
    <row r="54" spans="1:6" ht="16.5" thickBot="1" x14ac:dyDescent="0.3">
      <c r="A54" s="223" t="s">
        <v>481</v>
      </c>
      <c r="E54" s="283" t="s">
        <v>482</v>
      </c>
      <c r="F54" s="283" t="s">
        <v>483</v>
      </c>
    </row>
    <row r="55" spans="1:6" x14ac:dyDescent="0.25">
      <c r="A55" s="222" t="s">
        <v>484</v>
      </c>
      <c r="B55" s="228">
        <v>90000</v>
      </c>
      <c r="D55" s="239" t="s">
        <v>487</v>
      </c>
      <c r="E55" s="264">
        <v>0.12</v>
      </c>
      <c r="F55" s="286"/>
    </row>
    <row r="56" spans="1:6" x14ac:dyDescent="0.25">
      <c r="A56" s="222" t="s">
        <v>485</v>
      </c>
      <c r="B56" s="228">
        <v>135000</v>
      </c>
      <c r="D56" s="280" t="s">
        <v>488</v>
      </c>
      <c r="E56" s="265">
        <v>0.16</v>
      </c>
      <c r="F56" s="270"/>
    </row>
    <row r="57" spans="1:6" ht="16.5" thickBot="1" x14ac:dyDescent="0.3">
      <c r="A57" s="222" t="s">
        <v>486</v>
      </c>
      <c r="B57" s="231">
        <v>1</v>
      </c>
      <c r="D57" s="280" t="s">
        <v>489</v>
      </c>
      <c r="E57" s="281">
        <v>22500</v>
      </c>
      <c r="F57" s="270"/>
    </row>
    <row r="58" spans="1:6" ht="16.5" thickBot="1" x14ac:dyDescent="0.3">
      <c r="D58" s="250" t="s">
        <v>490</v>
      </c>
      <c r="E58" s="284" t="s">
        <v>491</v>
      </c>
      <c r="F58" s="282">
        <v>104922</v>
      </c>
    </row>
    <row r="59" spans="1:6" ht="16.5" thickBot="1" x14ac:dyDescent="0.3">
      <c r="D59" s="239" t="s">
        <v>492</v>
      </c>
      <c r="E59" s="285">
        <f>B55/(1-E55)</f>
        <v>102272.72727272728</v>
      </c>
      <c r="F59" s="270"/>
    </row>
    <row r="60" spans="1:6" ht="16.5" thickBot="1" x14ac:dyDescent="0.3">
      <c r="D60" s="280" t="s">
        <v>493</v>
      </c>
      <c r="E60" s="260">
        <f>E59-B55</f>
        <v>12272.727272727279</v>
      </c>
      <c r="F60" s="287">
        <f>F58-B55</f>
        <v>14922</v>
      </c>
    </row>
    <row r="61" spans="1:6" ht="16.5" thickBot="1" x14ac:dyDescent="0.3">
      <c r="D61" s="289" t="s">
        <v>494</v>
      </c>
      <c r="E61" s="288">
        <f>(E60/B55)*1/1</f>
        <v>0.13636363636363644</v>
      </c>
      <c r="F61" s="288">
        <f>(F60/B55)*1/1</f>
        <v>0.1658</v>
      </c>
    </row>
    <row r="62" spans="1:6" ht="16.5" thickBot="1" x14ac:dyDescent="0.3"/>
    <row r="63" spans="1:6" ht="16.5" thickBot="1" x14ac:dyDescent="0.3">
      <c r="E63" s="279" t="s">
        <v>482</v>
      </c>
      <c r="F63" s="283" t="s">
        <v>483</v>
      </c>
    </row>
    <row r="64" spans="1:6" x14ac:dyDescent="0.25">
      <c r="D64" s="239" t="s">
        <v>487</v>
      </c>
      <c r="E64" s="291">
        <f>E55</f>
        <v>0.12</v>
      </c>
      <c r="F64" s="286"/>
    </row>
    <row r="65" spans="1:6" x14ac:dyDescent="0.25">
      <c r="D65" s="280" t="s">
        <v>488</v>
      </c>
      <c r="E65" s="292">
        <f>E56</f>
        <v>0.16</v>
      </c>
      <c r="F65" s="270"/>
    </row>
    <row r="66" spans="1:6" ht="16.5" thickBot="1" x14ac:dyDescent="0.3">
      <c r="D66" s="280" t="s">
        <v>489</v>
      </c>
      <c r="E66" s="293">
        <f>E57</f>
        <v>22500</v>
      </c>
      <c r="F66" s="270"/>
    </row>
    <row r="67" spans="1:6" ht="16.5" thickBot="1" x14ac:dyDescent="0.3">
      <c r="D67" s="250" t="s">
        <v>496</v>
      </c>
      <c r="E67" s="290">
        <f>B55/(1-E64-E65)</f>
        <v>125000</v>
      </c>
      <c r="F67" s="270"/>
    </row>
    <row r="68" spans="1:6" ht="16.5" thickBot="1" x14ac:dyDescent="0.3">
      <c r="D68" s="280" t="s">
        <v>493</v>
      </c>
      <c r="E68" s="294">
        <f>E67*E64</f>
        <v>15000</v>
      </c>
      <c r="F68" s="270"/>
    </row>
    <row r="69" spans="1:6" ht="16.5" thickBot="1" x14ac:dyDescent="0.3">
      <c r="D69" s="289" t="s">
        <v>495</v>
      </c>
      <c r="E69" s="295">
        <f>E68/B55</f>
        <v>0.16666666666666666</v>
      </c>
      <c r="F69" s="288">
        <f>F61</f>
        <v>0.1658</v>
      </c>
    </row>
    <row r="71" spans="1:6" x14ac:dyDescent="0.25">
      <c r="D71" s="296" t="s">
        <v>498</v>
      </c>
      <c r="E71" s="275"/>
    </row>
    <row r="72" spans="1:6" x14ac:dyDescent="0.25">
      <c r="A72" s="223"/>
      <c r="D72" s="229" t="s">
        <v>499</v>
      </c>
    </row>
    <row r="73" spans="1:6" x14ac:dyDescent="0.25">
      <c r="D73" s="229" t="s">
        <v>500</v>
      </c>
    </row>
    <row r="74" spans="1:6" ht="16.5" thickBot="1" x14ac:dyDescent="0.3"/>
    <row r="75" spans="1:6" ht="16.5" thickBot="1" x14ac:dyDescent="0.3">
      <c r="A75" s="271" t="s">
        <v>497</v>
      </c>
      <c r="B75" s="273">
        <f>(B76/B81)*(1/(B80/B79))</f>
        <v>0.12414965986394561</v>
      </c>
    </row>
    <row r="76" spans="1:6" x14ac:dyDescent="0.25">
      <c r="A76" s="268" t="s">
        <v>473</v>
      </c>
      <c r="B76" s="277">
        <v>0.02</v>
      </c>
    </row>
    <row r="77" spans="1:6" x14ac:dyDescent="0.25">
      <c r="A77" s="269" t="s">
        <v>474</v>
      </c>
      <c r="B77" s="246">
        <v>15</v>
      </c>
    </row>
    <row r="78" spans="1:6" ht="16.5" thickBot="1" x14ac:dyDescent="0.3">
      <c r="A78" s="249" t="s">
        <v>472</v>
      </c>
      <c r="B78" s="253">
        <v>75</v>
      </c>
    </row>
    <row r="79" spans="1:6" ht="16.5" thickBot="1" x14ac:dyDescent="0.3">
      <c r="A79" s="250" t="s">
        <v>476</v>
      </c>
      <c r="B79" s="272">
        <v>365</v>
      </c>
    </row>
    <row r="80" spans="1:6" ht="16.5" thickBot="1" x14ac:dyDescent="0.3">
      <c r="A80" s="250" t="s">
        <v>477</v>
      </c>
      <c r="B80" s="274">
        <f>B78-B77</f>
        <v>60</v>
      </c>
    </row>
    <row r="81" spans="1:2" ht="16.5" thickBot="1" x14ac:dyDescent="0.3">
      <c r="A81" s="276" t="s">
        <v>478</v>
      </c>
      <c r="B81" s="297">
        <f>1-B76</f>
        <v>0.98</v>
      </c>
    </row>
  </sheetData>
  <mergeCells count="1">
    <mergeCell ref="A18:C20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35AF-DE48-4E2D-B14C-E3080C585B4F}">
  <dimension ref="A1:J58"/>
  <sheetViews>
    <sheetView topLeftCell="A43" zoomScale="69" workbookViewId="0">
      <selection activeCell="N55" sqref="N55"/>
    </sheetView>
  </sheetViews>
  <sheetFormatPr defaultRowHeight="15.75" x14ac:dyDescent="0.25"/>
  <cols>
    <col min="1" max="1" width="25.125" customWidth="1"/>
    <col min="2" max="2" width="22" customWidth="1"/>
    <col min="3" max="3" width="25.875" customWidth="1"/>
    <col min="4" max="4" width="19.5" customWidth="1"/>
    <col min="5" max="5" width="21.5" customWidth="1"/>
    <col min="6" max="6" width="29.375" customWidth="1"/>
    <col min="7" max="7" width="22.5" customWidth="1"/>
    <col min="8" max="8" width="8.75" customWidth="1"/>
    <col min="9" max="9" width="22.125" customWidth="1"/>
  </cols>
  <sheetData>
    <row r="1" spans="1:10" ht="16.5" thickBot="1" x14ac:dyDescent="0.3">
      <c r="A1" s="223" t="s">
        <v>506</v>
      </c>
    </row>
    <row r="2" spans="1:10" x14ac:dyDescent="0.25">
      <c r="A2" s="372" t="s">
        <v>502</v>
      </c>
      <c r="B2" s="372"/>
      <c r="C2" s="199"/>
    </row>
    <row r="3" spans="1:10" ht="16.5" thickBot="1" x14ac:dyDescent="0.3">
      <c r="A3" s="372" t="s">
        <v>503</v>
      </c>
      <c r="B3" s="372"/>
      <c r="C3" s="10"/>
    </row>
    <row r="4" spans="1:10" ht="16.5" thickBot="1" x14ac:dyDescent="0.3">
      <c r="B4" t="s">
        <v>504</v>
      </c>
      <c r="C4" s="299">
        <f>C2-C3</f>
        <v>0</v>
      </c>
    </row>
    <row r="5" spans="1:10" x14ac:dyDescent="0.25">
      <c r="A5" s="139" t="s">
        <v>501</v>
      </c>
    </row>
    <row r="7" spans="1:10" ht="32.1" customHeight="1" x14ac:dyDescent="0.25">
      <c r="A7" s="321" t="s">
        <v>505</v>
      </c>
      <c r="B7" s="321"/>
      <c r="C7" s="321"/>
      <c r="D7" s="321"/>
      <c r="E7" s="321"/>
    </row>
    <row r="8" spans="1:10" ht="27.6" customHeight="1" x14ac:dyDescent="0.25">
      <c r="A8" s="321"/>
      <c r="B8" s="321"/>
      <c r="C8" s="321"/>
      <c r="D8" s="321"/>
      <c r="E8" s="321"/>
    </row>
    <row r="9" spans="1:10" x14ac:dyDescent="0.25">
      <c r="A9" s="321"/>
      <c r="B9" s="321"/>
      <c r="C9" s="321"/>
      <c r="D9" s="321"/>
      <c r="E9" s="321"/>
    </row>
    <row r="10" spans="1:10" ht="16.5" thickBot="1" x14ac:dyDescent="0.3"/>
    <row r="11" spans="1:10" ht="16.5" thickBot="1" x14ac:dyDescent="0.3">
      <c r="A11" s="223" t="s">
        <v>507</v>
      </c>
      <c r="C11" t="s">
        <v>512</v>
      </c>
      <c r="D11" s="300">
        <v>1000000</v>
      </c>
      <c r="E11" s="1" t="s">
        <v>513</v>
      </c>
      <c r="F11" s="112">
        <v>185</v>
      </c>
      <c r="G11" s="1" t="s">
        <v>514</v>
      </c>
      <c r="H11" s="112">
        <v>20</v>
      </c>
      <c r="I11" t="s">
        <v>517</v>
      </c>
      <c r="J11" s="112">
        <v>135</v>
      </c>
    </row>
    <row r="12" spans="1:10" ht="16.5" thickBot="1" x14ac:dyDescent="0.3">
      <c r="A12" s="9" t="s">
        <v>508</v>
      </c>
      <c r="B12" s="298" t="s">
        <v>509</v>
      </c>
      <c r="C12" s="298" t="s">
        <v>510</v>
      </c>
      <c r="D12" s="298" t="s">
        <v>511</v>
      </c>
      <c r="E12" s="205" t="s">
        <v>515</v>
      </c>
      <c r="F12" s="205" t="s">
        <v>516</v>
      </c>
      <c r="G12" s="205" t="s">
        <v>518</v>
      </c>
    </row>
    <row r="13" spans="1:10" x14ac:dyDescent="0.25">
      <c r="A13" s="98">
        <v>115</v>
      </c>
      <c r="B13" s="306">
        <f>-A13*$D$11</f>
        <v>-115000000</v>
      </c>
      <c r="C13" s="167">
        <f>$D$11*$F$11</f>
        <v>185000000</v>
      </c>
      <c r="D13" s="167">
        <f>$D$11*-$H$11</f>
        <v>-20000000</v>
      </c>
      <c r="E13" s="301">
        <f>SUM(B13:D13)</f>
        <v>50000000</v>
      </c>
      <c r="F13" s="302">
        <f>(A13-$J$11)*$D$11</f>
        <v>-20000000</v>
      </c>
      <c r="G13" s="190">
        <f>SUM(E13:F13)</f>
        <v>30000000</v>
      </c>
    </row>
    <row r="14" spans="1:10" x14ac:dyDescent="0.25">
      <c r="A14" s="98">
        <v>120</v>
      </c>
      <c r="B14" s="125">
        <f t="shared" ref="B14:B21" si="0">-A14*$D$11</f>
        <v>-120000000</v>
      </c>
      <c r="C14" s="108">
        <f t="shared" ref="C14:C21" si="1">$D$11*$F$11</f>
        <v>185000000</v>
      </c>
      <c r="D14" s="108">
        <f t="shared" ref="D14:D21" si="2">$D$11*-$H$11</f>
        <v>-20000000</v>
      </c>
      <c r="E14" s="303">
        <f t="shared" ref="E14:E21" si="3">SUM(B14:D14)</f>
        <v>45000000</v>
      </c>
      <c r="F14" s="304">
        <f t="shared" ref="F14:F21" si="4">(A14-$J$11)*$D$11</f>
        <v>-15000000</v>
      </c>
      <c r="G14" s="191">
        <f t="shared" ref="G14:G21" si="5">SUM(E14:F14)</f>
        <v>30000000</v>
      </c>
    </row>
    <row r="15" spans="1:10" x14ac:dyDescent="0.25">
      <c r="A15" s="98">
        <v>125</v>
      </c>
      <c r="B15" s="125">
        <f t="shared" si="0"/>
        <v>-125000000</v>
      </c>
      <c r="C15" s="108">
        <f t="shared" si="1"/>
        <v>185000000</v>
      </c>
      <c r="D15" s="108">
        <f t="shared" si="2"/>
        <v>-20000000</v>
      </c>
      <c r="E15" s="303">
        <f t="shared" si="3"/>
        <v>40000000</v>
      </c>
      <c r="F15" s="304">
        <f t="shared" si="4"/>
        <v>-10000000</v>
      </c>
      <c r="G15" s="191">
        <f t="shared" si="5"/>
        <v>30000000</v>
      </c>
    </row>
    <row r="16" spans="1:10" x14ac:dyDescent="0.25">
      <c r="A16" s="98">
        <v>130</v>
      </c>
      <c r="B16" s="125">
        <f t="shared" si="0"/>
        <v>-130000000</v>
      </c>
      <c r="C16" s="108">
        <f t="shared" si="1"/>
        <v>185000000</v>
      </c>
      <c r="D16" s="108">
        <f t="shared" si="2"/>
        <v>-20000000</v>
      </c>
      <c r="E16" s="303">
        <f t="shared" si="3"/>
        <v>35000000</v>
      </c>
      <c r="F16" s="304">
        <f t="shared" si="4"/>
        <v>-5000000</v>
      </c>
      <c r="G16" s="191">
        <f t="shared" si="5"/>
        <v>30000000</v>
      </c>
    </row>
    <row r="17" spans="1:7" x14ac:dyDescent="0.25">
      <c r="A17" s="98">
        <v>135</v>
      </c>
      <c r="B17" s="125">
        <f t="shared" si="0"/>
        <v>-135000000</v>
      </c>
      <c r="C17" s="108">
        <f t="shared" si="1"/>
        <v>185000000</v>
      </c>
      <c r="D17" s="108">
        <f t="shared" si="2"/>
        <v>-20000000</v>
      </c>
      <c r="E17" s="303">
        <f t="shared" si="3"/>
        <v>30000000</v>
      </c>
      <c r="F17" s="304">
        <f t="shared" si="4"/>
        <v>0</v>
      </c>
      <c r="G17" s="191">
        <f t="shared" si="5"/>
        <v>30000000</v>
      </c>
    </row>
    <row r="18" spans="1:7" ht="16.5" thickBot="1" x14ac:dyDescent="0.3">
      <c r="A18" s="73">
        <v>140</v>
      </c>
      <c r="B18" s="125">
        <f t="shared" si="0"/>
        <v>-140000000</v>
      </c>
      <c r="C18" s="108">
        <f t="shared" si="1"/>
        <v>185000000</v>
      </c>
      <c r="D18" s="108">
        <f t="shared" si="2"/>
        <v>-20000000</v>
      </c>
      <c r="E18" s="303">
        <f t="shared" si="3"/>
        <v>25000000</v>
      </c>
      <c r="F18" s="304">
        <f t="shared" si="4"/>
        <v>5000000</v>
      </c>
      <c r="G18" s="191">
        <f t="shared" si="5"/>
        <v>30000000</v>
      </c>
    </row>
    <row r="19" spans="1:7" x14ac:dyDescent="0.25">
      <c r="A19" s="98">
        <v>145</v>
      </c>
      <c r="B19" s="125">
        <f t="shared" si="0"/>
        <v>-145000000</v>
      </c>
      <c r="C19" s="108">
        <f t="shared" si="1"/>
        <v>185000000</v>
      </c>
      <c r="D19" s="108">
        <f t="shared" si="2"/>
        <v>-20000000</v>
      </c>
      <c r="E19" s="303">
        <f t="shared" si="3"/>
        <v>20000000</v>
      </c>
      <c r="F19" s="304">
        <f t="shared" si="4"/>
        <v>10000000</v>
      </c>
      <c r="G19" s="191">
        <f t="shared" si="5"/>
        <v>30000000</v>
      </c>
    </row>
    <row r="20" spans="1:7" x14ac:dyDescent="0.25">
      <c r="A20" s="98">
        <v>150</v>
      </c>
      <c r="B20" s="125">
        <f t="shared" si="0"/>
        <v>-150000000</v>
      </c>
      <c r="C20" s="108">
        <f t="shared" si="1"/>
        <v>185000000</v>
      </c>
      <c r="D20" s="108">
        <f t="shared" si="2"/>
        <v>-20000000</v>
      </c>
      <c r="E20" s="303">
        <f t="shared" si="3"/>
        <v>15000000</v>
      </c>
      <c r="F20" s="304">
        <f t="shared" si="4"/>
        <v>15000000</v>
      </c>
      <c r="G20" s="191">
        <f t="shared" si="5"/>
        <v>30000000</v>
      </c>
    </row>
    <row r="21" spans="1:7" ht="16.5" thickBot="1" x14ac:dyDescent="0.3">
      <c r="A21" s="73">
        <v>155</v>
      </c>
      <c r="B21" s="127">
        <f t="shared" si="0"/>
        <v>-155000000</v>
      </c>
      <c r="C21" s="116">
        <f t="shared" si="1"/>
        <v>185000000</v>
      </c>
      <c r="D21" s="116">
        <f t="shared" si="2"/>
        <v>-20000000</v>
      </c>
      <c r="E21" s="305">
        <f t="shared" si="3"/>
        <v>10000000</v>
      </c>
      <c r="F21" s="194">
        <f t="shared" si="4"/>
        <v>20000000</v>
      </c>
      <c r="G21" s="168">
        <f t="shared" si="5"/>
        <v>30000000</v>
      </c>
    </row>
    <row r="22" spans="1:7" ht="16.5" thickBot="1" x14ac:dyDescent="0.3"/>
    <row r="23" spans="1:7" ht="16.5" thickBot="1" x14ac:dyDescent="0.3">
      <c r="A23" s="223" t="s">
        <v>519</v>
      </c>
      <c r="B23" s="21" t="s">
        <v>440</v>
      </c>
      <c r="C23" t="s">
        <v>521</v>
      </c>
      <c r="D23" s="112">
        <v>50</v>
      </c>
      <c r="E23" t="s">
        <v>524</v>
      </c>
      <c r="F23" s="112">
        <v>5</v>
      </c>
    </row>
    <row r="24" spans="1:7" ht="16.5" thickBot="1" x14ac:dyDescent="0.3">
      <c r="A24" s="9" t="s">
        <v>520</v>
      </c>
      <c r="B24" s="9" t="s">
        <v>521</v>
      </c>
      <c r="C24" s="9" t="s">
        <v>522</v>
      </c>
      <c r="D24" s="154"/>
      <c r="E24" s="205" t="s">
        <v>523</v>
      </c>
      <c r="F24" s="9" t="str">
        <f>A24</f>
        <v>Stock Price @ Expiration</v>
      </c>
      <c r="G24" s="310" t="str">
        <f>E24</f>
        <v>Profit (Or Loss)</v>
      </c>
    </row>
    <row r="25" spans="1:7" x14ac:dyDescent="0.25">
      <c r="A25" s="307">
        <v>0</v>
      </c>
      <c r="B25" s="42">
        <f>$D$23</f>
        <v>50</v>
      </c>
      <c r="C25" s="42">
        <f>$F$23</f>
        <v>5</v>
      </c>
      <c r="D25" s="42">
        <f>(A25)-(B25)-(C25)</f>
        <v>-55</v>
      </c>
      <c r="E25" s="208">
        <f>MAX(D25,-C25)</f>
        <v>-5</v>
      </c>
      <c r="F25" s="4">
        <f t="shared" ref="F25:F35" si="6">A25</f>
        <v>0</v>
      </c>
      <c r="G25" s="161">
        <f t="shared" ref="G25:G35" si="7">E25</f>
        <v>-5</v>
      </c>
    </row>
    <row r="26" spans="1:7" x14ac:dyDescent="0.25">
      <c r="A26" s="307">
        <v>10</v>
      </c>
      <c r="B26" s="42">
        <f t="shared" ref="B26:B35" si="8">$D$23</f>
        <v>50</v>
      </c>
      <c r="C26" s="42">
        <f t="shared" ref="C26:C35" si="9">$F$23</f>
        <v>5</v>
      </c>
      <c r="D26" s="42">
        <f t="shared" ref="D26:D35" si="10">(A26)-(B26)-(C26)</f>
        <v>-45</v>
      </c>
      <c r="E26" s="38">
        <f t="shared" ref="E26:E35" si="11">MAX(D26,-C26)</f>
        <v>-5</v>
      </c>
      <c r="F26" s="4">
        <f t="shared" si="6"/>
        <v>10</v>
      </c>
      <c r="G26" s="161">
        <f t="shared" si="7"/>
        <v>-5</v>
      </c>
    </row>
    <row r="27" spans="1:7" x14ac:dyDescent="0.25">
      <c r="A27" s="307">
        <v>20</v>
      </c>
      <c r="B27" s="42">
        <f t="shared" si="8"/>
        <v>50</v>
      </c>
      <c r="C27" s="42">
        <f t="shared" si="9"/>
        <v>5</v>
      </c>
      <c r="D27" s="42">
        <f t="shared" si="10"/>
        <v>-35</v>
      </c>
      <c r="E27" s="38">
        <f t="shared" si="11"/>
        <v>-5</v>
      </c>
      <c r="F27" s="4">
        <f t="shared" si="6"/>
        <v>20</v>
      </c>
      <c r="G27" s="161">
        <f t="shared" si="7"/>
        <v>-5</v>
      </c>
    </row>
    <row r="28" spans="1:7" x14ac:dyDescent="0.25">
      <c r="A28" s="307">
        <v>30</v>
      </c>
      <c r="B28" s="42">
        <f t="shared" si="8"/>
        <v>50</v>
      </c>
      <c r="C28" s="42">
        <f t="shared" si="9"/>
        <v>5</v>
      </c>
      <c r="D28" s="42">
        <f t="shared" si="10"/>
        <v>-25</v>
      </c>
      <c r="E28" s="38">
        <f t="shared" si="11"/>
        <v>-5</v>
      </c>
      <c r="F28" s="4">
        <f t="shared" si="6"/>
        <v>30</v>
      </c>
      <c r="G28" s="161">
        <f t="shared" si="7"/>
        <v>-5</v>
      </c>
    </row>
    <row r="29" spans="1:7" x14ac:dyDescent="0.25">
      <c r="A29" s="307">
        <v>40</v>
      </c>
      <c r="B29" s="42">
        <f t="shared" si="8"/>
        <v>50</v>
      </c>
      <c r="C29" s="42">
        <f t="shared" si="9"/>
        <v>5</v>
      </c>
      <c r="D29" s="42">
        <f t="shared" si="10"/>
        <v>-15</v>
      </c>
      <c r="E29" s="38">
        <f t="shared" si="11"/>
        <v>-5</v>
      </c>
      <c r="F29" s="4">
        <f t="shared" si="6"/>
        <v>40</v>
      </c>
      <c r="G29" s="161">
        <f t="shared" si="7"/>
        <v>-5</v>
      </c>
    </row>
    <row r="30" spans="1:7" x14ac:dyDescent="0.25">
      <c r="A30" s="307">
        <v>50</v>
      </c>
      <c r="B30" s="42">
        <f t="shared" si="8"/>
        <v>50</v>
      </c>
      <c r="C30" s="42">
        <f t="shared" si="9"/>
        <v>5</v>
      </c>
      <c r="D30" s="42">
        <f t="shared" si="10"/>
        <v>-5</v>
      </c>
      <c r="E30" s="38">
        <f t="shared" si="11"/>
        <v>-5</v>
      </c>
      <c r="F30" s="4">
        <f t="shared" si="6"/>
        <v>50</v>
      </c>
      <c r="G30" s="161">
        <f t="shared" si="7"/>
        <v>-5</v>
      </c>
    </row>
    <row r="31" spans="1:7" x14ac:dyDescent="0.25">
      <c r="A31" s="307">
        <v>60</v>
      </c>
      <c r="B31" s="42">
        <f t="shared" si="8"/>
        <v>50</v>
      </c>
      <c r="C31" s="42">
        <f t="shared" si="9"/>
        <v>5</v>
      </c>
      <c r="D31" s="42">
        <f t="shared" si="10"/>
        <v>5</v>
      </c>
      <c r="E31" s="38">
        <f t="shared" si="11"/>
        <v>5</v>
      </c>
      <c r="F31" s="4">
        <f t="shared" si="6"/>
        <v>60</v>
      </c>
      <c r="G31" s="161">
        <f t="shared" si="7"/>
        <v>5</v>
      </c>
    </row>
    <row r="32" spans="1:7" x14ac:dyDescent="0.25">
      <c r="A32" s="307">
        <v>70</v>
      </c>
      <c r="B32" s="42">
        <f t="shared" si="8"/>
        <v>50</v>
      </c>
      <c r="C32" s="42">
        <f t="shared" si="9"/>
        <v>5</v>
      </c>
      <c r="D32" s="42">
        <f t="shared" si="10"/>
        <v>15</v>
      </c>
      <c r="E32" s="38">
        <f t="shared" si="11"/>
        <v>15</v>
      </c>
      <c r="F32" s="4">
        <f t="shared" si="6"/>
        <v>70</v>
      </c>
      <c r="G32" s="161">
        <f t="shared" si="7"/>
        <v>15</v>
      </c>
    </row>
    <row r="33" spans="1:8" x14ac:dyDescent="0.25">
      <c r="A33" s="307">
        <v>80</v>
      </c>
      <c r="B33" s="42">
        <f t="shared" si="8"/>
        <v>50</v>
      </c>
      <c r="C33" s="42">
        <f t="shared" si="9"/>
        <v>5</v>
      </c>
      <c r="D33" s="42">
        <f t="shared" si="10"/>
        <v>25</v>
      </c>
      <c r="E33" s="38">
        <f t="shared" si="11"/>
        <v>25</v>
      </c>
      <c r="F33" s="4">
        <f t="shared" si="6"/>
        <v>80</v>
      </c>
      <c r="G33" s="161">
        <f t="shared" si="7"/>
        <v>25</v>
      </c>
    </row>
    <row r="34" spans="1:8" x14ac:dyDescent="0.25">
      <c r="A34" s="307">
        <v>90</v>
      </c>
      <c r="B34" s="42">
        <f t="shared" si="8"/>
        <v>50</v>
      </c>
      <c r="C34" s="42">
        <f t="shared" si="9"/>
        <v>5</v>
      </c>
      <c r="D34" s="42">
        <f t="shared" si="10"/>
        <v>35</v>
      </c>
      <c r="E34" s="38">
        <f t="shared" si="11"/>
        <v>35</v>
      </c>
      <c r="F34" s="4">
        <f t="shared" si="6"/>
        <v>90</v>
      </c>
      <c r="G34" s="161">
        <f t="shared" si="7"/>
        <v>35</v>
      </c>
    </row>
    <row r="35" spans="1:8" ht="16.5" thickBot="1" x14ac:dyDescent="0.3">
      <c r="A35" s="308">
        <v>100</v>
      </c>
      <c r="B35" s="311">
        <f t="shared" si="8"/>
        <v>50</v>
      </c>
      <c r="C35" s="311">
        <f t="shared" si="9"/>
        <v>5</v>
      </c>
      <c r="D35" s="311">
        <f t="shared" si="10"/>
        <v>45</v>
      </c>
      <c r="E35" s="39">
        <f t="shared" si="11"/>
        <v>45</v>
      </c>
      <c r="F35" s="309">
        <f t="shared" si="6"/>
        <v>100</v>
      </c>
      <c r="G35" s="161">
        <f t="shared" si="7"/>
        <v>45</v>
      </c>
    </row>
    <row r="36" spans="1:8" ht="16.5" thickBot="1" x14ac:dyDescent="0.3">
      <c r="A36" s="312"/>
    </row>
    <row r="37" spans="1:8" ht="16.5" thickBot="1" x14ac:dyDescent="0.3">
      <c r="A37" s="16" t="s">
        <v>521</v>
      </c>
      <c r="B37" s="72">
        <f>D23</f>
        <v>50</v>
      </c>
      <c r="C37" s="373" t="s">
        <v>529</v>
      </c>
      <c r="D37" s="374"/>
    </row>
    <row r="38" spans="1:8" ht="16.5" thickBot="1" x14ac:dyDescent="0.3">
      <c r="A38" s="313" t="s">
        <v>524</v>
      </c>
      <c r="B38" s="73">
        <f>F23</f>
        <v>5</v>
      </c>
      <c r="C38" t="s">
        <v>527</v>
      </c>
      <c r="D38" t="s">
        <v>528</v>
      </c>
    </row>
    <row r="39" spans="1:8" ht="16.5" thickBot="1" x14ac:dyDescent="0.3">
      <c r="A39" s="314" t="s">
        <v>525</v>
      </c>
      <c r="B39" s="22">
        <f>B37+B38</f>
        <v>55</v>
      </c>
      <c r="C39" t="s">
        <v>530</v>
      </c>
    </row>
    <row r="40" spans="1:8" x14ac:dyDescent="0.25">
      <c r="A40" s="312" t="s">
        <v>526</v>
      </c>
    </row>
    <row r="42" spans="1:8" ht="16.5" thickBot="1" x14ac:dyDescent="0.3">
      <c r="A42" s="21" t="s">
        <v>531</v>
      </c>
    </row>
    <row r="43" spans="1:8" ht="16.5" thickBot="1" x14ac:dyDescent="0.3">
      <c r="A43" s="223" t="s">
        <v>519</v>
      </c>
      <c r="B43" s="21" t="s">
        <v>440</v>
      </c>
      <c r="C43" t="s">
        <v>521</v>
      </c>
      <c r="D43" s="112">
        <v>45</v>
      </c>
      <c r="E43" t="s">
        <v>524</v>
      </c>
      <c r="F43" s="112">
        <v>5</v>
      </c>
    </row>
    <row r="44" spans="1:8" ht="16.5" thickBot="1" x14ac:dyDescent="0.3">
      <c r="A44" s="9" t="s">
        <v>520</v>
      </c>
      <c r="B44" s="9" t="s">
        <v>521</v>
      </c>
      <c r="C44" s="9" t="s">
        <v>532</v>
      </c>
      <c r="D44" s="154"/>
      <c r="E44" s="205" t="s">
        <v>523</v>
      </c>
      <c r="F44" s="9" t="str">
        <f>A44</f>
        <v>Stock Price @ Expiration</v>
      </c>
      <c r="G44" s="310" t="str">
        <f>E44</f>
        <v>Profit (Or Loss)</v>
      </c>
      <c r="H44" s="24"/>
    </row>
    <row r="45" spans="1:8" x14ac:dyDescent="0.25">
      <c r="A45" s="307">
        <f>A25</f>
        <v>0</v>
      </c>
      <c r="B45" s="42">
        <f>$D$43</f>
        <v>45</v>
      </c>
      <c r="C45" s="42">
        <f>$F$43</f>
        <v>5</v>
      </c>
      <c r="D45" s="42">
        <f>(A45)-(B45)-(C45)</f>
        <v>-50</v>
      </c>
      <c r="E45" s="208">
        <f>MAX(D45,-C45)</f>
        <v>-5</v>
      </c>
      <c r="F45" s="4">
        <f t="shared" ref="F45:F55" si="12">A45</f>
        <v>0</v>
      </c>
      <c r="G45" s="214">
        <f t="shared" ref="G45:G55" si="13">E45</f>
        <v>-5</v>
      </c>
      <c r="H45" s="215"/>
    </row>
    <row r="46" spans="1:8" x14ac:dyDescent="0.25">
      <c r="A46" s="307">
        <f t="shared" ref="A46:A55" si="14">A26</f>
        <v>10</v>
      </c>
      <c r="B46" s="42">
        <f t="shared" ref="B46:B55" si="15">$D$43</f>
        <v>45</v>
      </c>
      <c r="C46" s="42">
        <f t="shared" ref="C46:C55" si="16">$F$43</f>
        <v>5</v>
      </c>
      <c r="D46" s="42">
        <f t="shared" ref="D46:D55" si="17">(A46)-(B46)-(C46)</f>
        <v>-40</v>
      </c>
      <c r="E46" s="38">
        <f t="shared" ref="E46:E55" si="18">MAX(D46,-C46)</f>
        <v>-5</v>
      </c>
      <c r="F46" s="4">
        <f t="shared" si="12"/>
        <v>10</v>
      </c>
      <c r="G46" s="215">
        <f t="shared" si="13"/>
        <v>-5</v>
      </c>
      <c r="H46" s="215"/>
    </row>
    <row r="47" spans="1:8" x14ac:dyDescent="0.25">
      <c r="A47" s="307">
        <f t="shared" si="14"/>
        <v>20</v>
      </c>
      <c r="B47" s="42">
        <f t="shared" si="15"/>
        <v>45</v>
      </c>
      <c r="C47" s="42">
        <f t="shared" si="16"/>
        <v>5</v>
      </c>
      <c r="D47" s="42">
        <f t="shared" si="17"/>
        <v>-30</v>
      </c>
      <c r="E47" s="38">
        <f t="shared" si="18"/>
        <v>-5</v>
      </c>
      <c r="F47" s="4">
        <f t="shared" si="12"/>
        <v>20</v>
      </c>
      <c r="G47" s="215">
        <f t="shared" si="13"/>
        <v>-5</v>
      </c>
      <c r="H47" s="215"/>
    </row>
    <row r="48" spans="1:8" x14ac:dyDescent="0.25">
      <c r="A48" s="307">
        <f t="shared" si="14"/>
        <v>30</v>
      </c>
      <c r="B48" s="42">
        <f t="shared" si="15"/>
        <v>45</v>
      </c>
      <c r="C48" s="42">
        <f t="shared" si="16"/>
        <v>5</v>
      </c>
      <c r="D48" s="42">
        <f t="shared" si="17"/>
        <v>-20</v>
      </c>
      <c r="E48" s="38">
        <f t="shared" si="18"/>
        <v>-5</v>
      </c>
      <c r="F48" s="4">
        <f t="shared" si="12"/>
        <v>30</v>
      </c>
      <c r="G48" s="215">
        <f t="shared" si="13"/>
        <v>-5</v>
      </c>
      <c r="H48" s="215"/>
    </row>
    <row r="49" spans="1:8" x14ac:dyDescent="0.25">
      <c r="A49" s="307">
        <f t="shared" si="14"/>
        <v>40</v>
      </c>
      <c r="B49" s="42">
        <f t="shared" si="15"/>
        <v>45</v>
      </c>
      <c r="C49" s="42">
        <f t="shared" si="16"/>
        <v>5</v>
      </c>
      <c r="D49" s="42">
        <f t="shared" si="17"/>
        <v>-10</v>
      </c>
      <c r="E49" s="38">
        <f t="shared" si="18"/>
        <v>-5</v>
      </c>
      <c r="F49" s="4">
        <f t="shared" si="12"/>
        <v>40</v>
      </c>
      <c r="G49" s="215">
        <f t="shared" si="13"/>
        <v>-5</v>
      </c>
      <c r="H49" s="215"/>
    </row>
    <row r="50" spans="1:8" x14ac:dyDescent="0.25">
      <c r="A50" s="307">
        <f t="shared" si="14"/>
        <v>50</v>
      </c>
      <c r="B50" s="42">
        <f t="shared" si="15"/>
        <v>45</v>
      </c>
      <c r="C50" s="42">
        <f t="shared" si="16"/>
        <v>5</v>
      </c>
      <c r="D50" s="42">
        <f t="shared" si="17"/>
        <v>0</v>
      </c>
      <c r="E50" s="38">
        <f t="shared" si="18"/>
        <v>0</v>
      </c>
      <c r="F50" s="4">
        <f t="shared" si="12"/>
        <v>50</v>
      </c>
      <c r="G50" s="215">
        <f t="shared" si="13"/>
        <v>0</v>
      </c>
      <c r="H50" s="215"/>
    </row>
    <row r="51" spans="1:8" x14ac:dyDescent="0.25">
      <c r="A51" s="307">
        <f t="shared" si="14"/>
        <v>60</v>
      </c>
      <c r="B51" s="42">
        <f t="shared" si="15"/>
        <v>45</v>
      </c>
      <c r="C51" s="42">
        <f t="shared" si="16"/>
        <v>5</v>
      </c>
      <c r="D51" s="42">
        <f t="shared" si="17"/>
        <v>10</v>
      </c>
      <c r="E51" s="38">
        <f t="shared" si="18"/>
        <v>10</v>
      </c>
      <c r="F51" s="4">
        <f t="shared" si="12"/>
        <v>60</v>
      </c>
      <c r="G51" s="215">
        <f t="shared" si="13"/>
        <v>10</v>
      </c>
      <c r="H51" s="215"/>
    </row>
    <row r="52" spans="1:8" x14ac:dyDescent="0.25">
      <c r="A52" s="307">
        <f t="shared" si="14"/>
        <v>70</v>
      </c>
      <c r="B52" s="42">
        <f t="shared" si="15"/>
        <v>45</v>
      </c>
      <c r="C52" s="42">
        <f t="shared" si="16"/>
        <v>5</v>
      </c>
      <c r="D52" s="42">
        <f t="shared" si="17"/>
        <v>20</v>
      </c>
      <c r="E52" s="38">
        <f t="shared" si="18"/>
        <v>20</v>
      </c>
      <c r="F52" s="4">
        <f t="shared" si="12"/>
        <v>70</v>
      </c>
      <c r="G52" s="215">
        <f t="shared" si="13"/>
        <v>20</v>
      </c>
      <c r="H52" s="215"/>
    </row>
    <row r="53" spans="1:8" x14ac:dyDescent="0.25">
      <c r="A53" s="307">
        <f t="shared" si="14"/>
        <v>80</v>
      </c>
      <c r="B53" s="42">
        <f t="shared" si="15"/>
        <v>45</v>
      </c>
      <c r="C53" s="42">
        <f t="shared" si="16"/>
        <v>5</v>
      </c>
      <c r="D53" s="42">
        <f t="shared" si="17"/>
        <v>30</v>
      </c>
      <c r="E53" s="38">
        <f t="shared" si="18"/>
        <v>30</v>
      </c>
      <c r="F53" s="4">
        <f t="shared" si="12"/>
        <v>80</v>
      </c>
      <c r="G53" s="215">
        <f t="shared" si="13"/>
        <v>30</v>
      </c>
      <c r="H53" s="215"/>
    </row>
    <row r="54" spans="1:8" x14ac:dyDescent="0.25">
      <c r="A54" s="307">
        <f t="shared" si="14"/>
        <v>90</v>
      </c>
      <c r="B54" s="42">
        <f t="shared" si="15"/>
        <v>45</v>
      </c>
      <c r="C54" s="42">
        <f t="shared" si="16"/>
        <v>5</v>
      </c>
      <c r="D54" s="42">
        <f t="shared" si="17"/>
        <v>40</v>
      </c>
      <c r="E54" s="38">
        <f t="shared" si="18"/>
        <v>40</v>
      </c>
      <c r="F54" s="4">
        <f t="shared" si="12"/>
        <v>90</v>
      </c>
      <c r="G54" s="215">
        <f t="shared" si="13"/>
        <v>40</v>
      </c>
      <c r="H54" s="215"/>
    </row>
    <row r="55" spans="1:8" ht="16.5" thickBot="1" x14ac:dyDescent="0.3">
      <c r="A55" s="307">
        <f t="shared" si="14"/>
        <v>100</v>
      </c>
      <c r="B55" s="42">
        <f t="shared" si="15"/>
        <v>45</v>
      </c>
      <c r="C55" s="42">
        <f t="shared" si="16"/>
        <v>5</v>
      </c>
      <c r="D55" s="311">
        <f t="shared" si="17"/>
        <v>50</v>
      </c>
      <c r="E55" s="39">
        <f t="shared" si="18"/>
        <v>50</v>
      </c>
      <c r="F55" s="309">
        <f t="shared" si="12"/>
        <v>100</v>
      </c>
      <c r="G55" s="216">
        <f t="shared" si="13"/>
        <v>50</v>
      </c>
      <c r="H55" s="216"/>
    </row>
    <row r="56" spans="1:8" ht="16.5" thickBot="1" x14ac:dyDescent="0.3">
      <c r="A56" s="16" t="s">
        <v>521</v>
      </c>
      <c r="B56" s="72">
        <f>D43</f>
        <v>45</v>
      </c>
      <c r="C56" s="373" t="s">
        <v>529</v>
      </c>
      <c r="D56" s="374"/>
    </row>
    <row r="57" spans="1:8" ht="16.5" thickBot="1" x14ac:dyDescent="0.3">
      <c r="A57" s="313" t="s">
        <v>524</v>
      </c>
      <c r="B57" s="73">
        <f>F43</f>
        <v>5</v>
      </c>
      <c r="C57" t="s">
        <v>530</v>
      </c>
    </row>
    <row r="58" spans="1:8" ht="16.5" thickBot="1" x14ac:dyDescent="0.3">
      <c r="A58" s="314" t="s">
        <v>525</v>
      </c>
      <c r="B58" s="22">
        <f>B56+B57</f>
        <v>50</v>
      </c>
      <c r="C58" t="s">
        <v>527</v>
      </c>
      <c r="D58" t="s">
        <v>533</v>
      </c>
    </row>
  </sheetData>
  <mergeCells count="5">
    <mergeCell ref="A2:B2"/>
    <mergeCell ref="A3:B3"/>
    <mergeCell ref="A7:E9"/>
    <mergeCell ref="C37:D37"/>
    <mergeCell ref="C56:D5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CH13 Finance Model</vt:lpstr>
      <vt:lpstr>CH14 Finance Model</vt:lpstr>
      <vt:lpstr>CH15 Finance Model</vt:lpstr>
      <vt:lpstr>CH16 Finance Model</vt:lpstr>
      <vt:lpstr>CH17 Finance Model</vt:lpstr>
      <vt:lpstr>DFN Class Example</vt:lpstr>
      <vt:lpstr>CH18 Finance Model</vt:lpstr>
      <vt:lpstr>CH20 Finance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robinson</dc:creator>
  <cp:lastModifiedBy>kevin robinson</cp:lastModifiedBy>
  <dcterms:created xsi:type="dcterms:W3CDTF">2024-03-22T14:46:56Z</dcterms:created>
  <dcterms:modified xsi:type="dcterms:W3CDTF">2025-05-16T16:15:09Z</dcterms:modified>
</cp:coreProperties>
</file>